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160" yWindow="0" windowWidth="25600" windowHeight="15620" tabRatio="500" activeTab="3"/>
  </bookViews>
  <sheets>
    <sheet name="Cornerstone articles" sheetId="1" r:id="rId1"/>
    <sheet name="Week 25" sheetId="2" r:id="rId2"/>
    <sheet name="Week 26" sheetId="3" r:id="rId3"/>
    <sheet name="Outlets" sheetId="4" r:id="rId4"/>
    <sheet name="Submitted" sheetId="5" r:id="rId5"/>
    <sheet name="Outstanding" sheetId="6" r:id="rId6"/>
    <sheet name="done" sheetId="7" r:id="rId7"/>
    <sheet name="Kool8" sheetId="8" r:id="rId8"/>
    <sheet name="Samples" sheetId="9" r:id="rId9"/>
    <sheet name="FREE" sheetId="10" r:id="rId10"/>
    <sheet name="Week 24" sheetId="11" r:id="rId11"/>
    <sheet name="Week 1" sheetId="12" r:id="rId12"/>
    <sheet name="Week 2" sheetId="13" r:id="rId13"/>
    <sheet name="Week 3" sheetId="14" r:id="rId14"/>
    <sheet name="Week 4" sheetId="15" r:id="rId15"/>
    <sheet name="Week 5" sheetId="16" r:id="rId16"/>
    <sheet name="week 6" sheetId="17" r:id="rId17"/>
    <sheet name="Week 7" sheetId="18" r:id="rId18"/>
    <sheet name="Week 8" sheetId="19" r:id="rId19"/>
    <sheet name="Week 9" sheetId="20" r:id="rId20"/>
    <sheet name="Week 10" sheetId="21" r:id="rId21"/>
    <sheet name="Week 11" sheetId="22" r:id="rId22"/>
    <sheet name="Week 12" sheetId="23" r:id="rId23"/>
    <sheet name="Week 13" sheetId="24" r:id="rId24"/>
    <sheet name="Week 14" sheetId="25" r:id="rId25"/>
    <sheet name="Week 15" sheetId="26" r:id="rId26"/>
    <sheet name="Week 16" sheetId="27" r:id="rId27"/>
    <sheet name="Week 17" sheetId="28" r:id="rId28"/>
    <sheet name="Week 18" sheetId="29" r:id="rId29"/>
    <sheet name="Week 19" sheetId="30" r:id="rId30"/>
    <sheet name="Week 20" sheetId="31" r:id="rId31"/>
    <sheet name="Week 21" sheetId="32" r:id="rId32"/>
    <sheet name="Week 22" sheetId="33" r:id="rId33"/>
    <sheet name="Week 23" sheetId="34" r:id="rId34"/>
    <sheet name="Fiverr people" sheetId="35" r:id="rId35"/>
  </sheets>
  <definedNames>
    <definedName name="_xlnm._FilterDatabase" localSheetId="3" hidden="1">Outlets!$A$1:$T$297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2" i="34" l="1"/>
  <c r="C71" i="34"/>
  <c r="B70" i="34"/>
  <c r="C70" i="34"/>
  <c r="B69" i="34"/>
  <c r="C69" i="34"/>
  <c r="B68" i="34"/>
  <c r="C68" i="34"/>
  <c r="B67" i="34"/>
  <c r="C67" i="34"/>
  <c r="D66" i="34"/>
  <c r="B66" i="34"/>
  <c r="C66" i="34"/>
  <c r="D65" i="34"/>
  <c r="B65" i="34"/>
  <c r="C65" i="34"/>
  <c r="D64" i="34"/>
  <c r="B64" i="34"/>
  <c r="C64" i="34"/>
  <c r="D63" i="34"/>
  <c r="B63" i="34"/>
  <c r="C63" i="34"/>
  <c r="D62" i="34"/>
  <c r="B62" i="34"/>
  <c r="C62" i="34"/>
  <c r="B61" i="34"/>
  <c r="C61" i="34"/>
  <c r="D60" i="34"/>
  <c r="B60" i="34"/>
  <c r="C60" i="34"/>
  <c r="D59" i="34"/>
  <c r="B59" i="34"/>
  <c r="C59" i="34"/>
  <c r="B58" i="34"/>
  <c r="C58" i="34"/>
  <c r="D57" i="34"/>
  <c r="B57" i="34"/>
  <c r="C57" i="34"/>
  <c r="D56" i="34"/>
  <c r="B56" i="34"/>
  <c r="C56" i="34"/>
  <c r="D55" i="34"/>
  <c r="B55" i="34"/>
  <c r="C55" i="34"/>
  <c r="B54" i="34"/>
  <c r="C54" i="34"/>
  <c r="D53" i="34"/>
  <c r="B53" i="34"/>
  <c r="C53" i="34"/>
  <c r="D52" i="34"/>
  <c r="B52" i="34"/>
  <c r="C52" i="34"/>
  <c r="D51" i="34"/>
  <c r="B51" i="34"/>
  <c r="C51" i="34"/>
  <c r="D50" i="34"/>
  <c r="B50" i="34"/>
  <c r="C50" i="34"/>
  <c r="D49" i="34"/>
  <c r="B49" i="34"/>
  <c r="C49" i="34"/>
  <c r="D48" i="34"/>
  <c r="B48" i="34"/>
  <c r="C48" i="34"/>
  <c r="D47" i="34"/>
  <c r="B47" i="34"/>
  <c r="C47" i="34"/>
  <c r="B46" i="34"/>
  <c r="C46" i="34"/>
  <c r="B45" i="34"/>
  <c r="C45" i="34"/>
  <c r="D44" i="34"/>
  <c r="B44" i="34"/>
  <c r="C44" i="34"/>
  <c r="D43" i="34"/>
  <c r="B43" i="34"/>
  <c r="C43" i="34"/>
  <c r="D42" i="34"/>
  <c r="B42" i="34"/>
  <c r="C42" i="34"/>
  <c r="D41" i="34"/>
  <c r="B41" i="34"/>
  <c r="C41" i="34"/>
  <c r="D40" i="34"/>
  <c r="B40" i="34"/>
  <c r="C40" i="34"/>
  <c r="D39" i="34"/>
  <c r="D38" i="34"/>
  <c r="B38" i="34"/>
  <c r="C38" i="34"/>
  <c r="B37" i="34"/>
  <c r="C37" i="34"/>
  <c r="D36" i="34"/>
  <c r="B36" i="34"/>
  <c r="C36" i="34"/>
  <c r="B35" i="34"/>
  <c r="C35" i="34"/>
  <c r="B34" i="34"/>
  <c r="C34" i="34"/>
  <c r="D33" i="34"/>
  <c r="B33" i="34"/>
  <c r="C33" i="34"/>
  <c r="D32" i="34"/>
  <c r="B32" i="34"/>
  <c r="C32" i="34"/>
  <c r="D31" i="34"/>
  <c r="B31" i="34"/>
  <c r="C31" i="34"/>
  <c r="D30" i="34"/>
  <c r="B30" i="34"/>
  <c r="C30" i="34"/>
  <c r="D29" i="34"/>
  <c r="B29" i="34"/>
  <c r="C29" i="34"/>
  <c r="B28" i="34"/>
  <c r="C28" i="34"/>
  <c r="B27" i="34"/>
  <c r="C27" i="34"/>
  <c r="B26" i="34"/>
  <c r="C26" i="34"/>
  <c r="B25" i="34"/>
  <c r="C25" i="34"/>
  <c r="B24" i="34"/>
  <c r="C24" i="34"/>
  <c r="B23" i="34"/>
  <c r="C23" i="34"/>
  <c r="B22" i="34"/>
  <c r="C22" i="34"/>
  <c r="D21" i="34"/>
  <c r="B21" i="34"/>
  <c r="C21" i="34"/>
  <c r="B20" i="34"/>
  <c r="C20" i="34"/>
  <c r="B19" i="34"/>
  <c r="C19" i="34"/>
  <c r="B18" i="34"/>
  <c r="C18" i="34"/>
  <c r="B17" i="34"/>
  <c r="C17" i="34"/>
  <c r="D16" i="34"/>
  <c r="B16" i="34"/>
  <c r="C16" i="34"/>
  <c r="D15" i="34"/>
  <c r="B15" i="34"/>
  <c r="C15" i="34"/>
  <c r="D14" i="34"/>
  <c r="B14" i="34"/>
  <c r="C14" i="34"/>
  <c r="D13" i="34"/>
  <c r="B13" i="34"/>
  <c r="C13" i="34"/>
  <c r="D12" i="34"/>
  <c r="B12" i="34"/>
  <c r="C12" i="34"/>
  <c r="D11" i="34"/>
  <c r="B11" i="34"/>
  <c r="C11" i="34"/>
  <c r="D10" i="34"/>
  <c r="D9" i="34"/>
  <c r="B9" i="34"/>
  <c r="C9" i="34"/>
  <c r="D8" i="34"/>
  <c r="B8" i="34"/>
  <c r="C8" i="34"/>
  <c r="B7" i="34"/>
  <c r="C7" i="34"/>
  <c r="B6" i="34"/>
  <c r="C6" i="34"/>
  <c r="D5" i="34"/>
  <c r="B5" i="34"/>
  <c r="C5" i="34"/>
  <c r="D4" i="34"/>
  <c r="B4" i="34"/>
  <c r="C4" i="34"/>
  <c r="D3" i="34"/>
  <c r="B3" i="34"/>
  <c r="C3" i="34"/>
  <c r="D2" i="34"/>
  <c r="B2" i="34"/>
  <c r="C2" i="34"/>
  <c r="C72" i="33"/>
  <c r="C71" i="33"/>
  <c r="B70" i="33"/>
  <c r="C70" i="33"/>
  <c r="B69" i="33"/>
  <c r="C69" i="33"/>
  <c r="B68" i="33"/>
  <c r="C68" i="33"/>
  <c r="B67" i="33"/>
  <c r="C67" i="33"/>
  <c r="D66" i="33"/>
  <c r="B66" i="33"/>
  <c r="C66" i="33"/>
  <c r="D65" i="33"/>
  <c r="B65" i="33"/>
  <c r="C65" i="33"/>
  <c r="D64" i="33"/>
  <c r="B64" i="33"/>
  <c r="C64" i="33"/>
  <c r="D63" i="33"/>
  <c r="B63" i="33"/>
  <c r="C63" i="33"/>
  <c r="D62" i="33"/>
  <c r="B62" i="33"/>
  <c r="C62" i="33"/>
  <c r="B61" i="33"/>
  <c r="C61" i="33"/>
  <c r="D60" i="33"/>
  <c r="B60" i="33"/>
  <c r="C60" i="33"/>
  <c r="D59" i="33"/>
  <c r="B59" i="33"/>
  <c r="C59" i="33"/>
  <c r="B58" i="33"/>
  <c r="C58" i="33"/>
  <c r="D57" i="33"/>
  <c r="B57" i="33"/>
  <c r="C57" i="33"/>
  <c r="D56" i="33"/>
  <c r="B56" i="33"/>
  <c r="C56" i="33"/>
  <c r="D55" i="33"/>
  <c r="B55" i="33"/>
  <c r="C55" i="33"/>
  <c r="B54" i="33"/>
  <c r="C54" i="33"/>
  <c r="D53" i="33"/>
  <c r="B53" i="33"/>
  <c r="C53" i="33"/>
  <c r="D52" i="33"/>
  <c r="B52" i="33"/>
  <c r="C52" i="33"/>
  <c r="D51" i="33"/>
  <c r="B51" i="33"/>
  <c r="C51" i="33"/>
  <c r="D50" i="33"/>
  <c r="B50" i="33"/>
  <c r="C50" i="33"/>
  <c r="D49" i="33"/>
  <c r="B49" i="33"/>
  <c r="C49" i="33"/>
  <c r="D48" i="33"/>
  <c r="B48" i="33"/>
  <c r="C48" i="33"/>
  <c r="D47" i="33"/>
  <c r="B47" i="33"/>
  <c r="C47" i="33"/>
  <c r="B46" i="33"/>
  <c r="C46" i="33"/>
  <c r="B45" i="33"/>
  <c r="C45" i="33"/>
  <c r="D44" i="33"/>
  <c r="B44" i="33"/>
  <c r="C44" i="33"/>
  <c r="D43" i="33"/>
  <c r="B43" i="33"/>
  <c r="C43" i="33"/>
  <c r="D42" i="33"/>
  <c r="B42" i="33"/>
  <c r="C42" i="33"/>
  <c r="D41" i="33"/>
  <c r="B41" i="33"/>
  <c r="C41" i="33"/>
  <c r="D40" i="33"/>
  <c r="B40" i="33"/>
  <c r="C40" i="33"/>
  <c r="D39" i="33"/>
  <c r="D38" i="33"/>
  <c r="B38" i="33"/>
  <c r="C38" i="33"/>
  <c r="B37" i="33"/>
  <c r="C37" i="33"/>
  <c r="D36" i="33"/>
  <c r="B36" i="33"/>
  <c r="C36" i="33"/>
  <c r="B35" i="33"/>
  <c r="C35" i="33"/>
  <c r="B34" i="33"/>
  <c r="C34" i="33"/>
  <c r="D33" i="33"/>
  <c r="B33" i="33"/>
  <c r="C33" i="33"/>
  <c r="D32" i="33"/>
  <c r="B32" i="33"/>
  <c r="C32" i="33"/>
  <c r="D31" i="33"/>
  <c r="B31" i="33"/>
  <c r="C31" i="33"/>
  <c r="D30" i="33"/>
  <c r="B30" i="33"/>
  <c r="C30" i="33"/>
  <c r="D29" i="33"/>
  <c r="B29" i="33"/>
  <c r="C29" i="33"/>
  <c r="B28" i="33"/>
  <c r="C28" i="33"/>
  <c r="B27" i="33"/>
  <c r="C27" i="33"/>
  <c r="B26" i="33"/>
  <c r="C26" i="33"/>
  <c r="B25" i="33"/>
  <c r="C25" i="33"/>
  <c r="B24" i="33"/>
  <c r="C24" i="33"/>
  <c r="B23" i="33"/>
  <c r="C23" i="33"/>
  <c r="B22" i="33"/>
  <c r="C22" i="33"/>
  <c r="D21" i="33"/>
  <c r="B21" i="33"/>
  <c r="C21" i="33"/>
  <c r="B20" i="33"/>
  <c r="C20" i="33"/>
  <c r="B19" i="33"/>
  <c r="C19" i="33"/>
  <c r="B18" i="33"/>
  <c r="C18" i="33"/>
  <c r="B17" i="33"/>
  <c r="C17" i="33"/>
  <c r="D16" i="33"/>
  <c r="B16" i="33"/>
  <c r="C16" i="33"/>
  <c r="D15" i="33"/>
  <c r="B15" i="33"/>
  <c r="C15" i="33"/>
  <c r="D14" i="33"/>
  <c r="B14" i="33"/>
  <c r="C14" i="33"/>
  <c r="D13" i="33"/>
  <c r="B13" i="33"/>
  <c r="C13" i="33"/>
  <c r="D12" i="33"/>
  <c r="B12" i="33"/>
  <c r="C12" i="33"/>
  <c r="D11" i="33"/>
  <c r="B11" i="33"/>
  <c r="C11" i="33"/>
  <c r="D10" i="33"/>
  <c r="D9" i="33"/>
  <c r="B9" i="33"/>
  <c r="C9" i="33"/>
  <c r="D8" i="33"/>
  <c r="B8" i="33"/>
  <c r="C8" i="33"/>
  <c r="B7" i="33"/>
  <c r="C7" i="33"/>
  <c r="B6" i="33"/>
  <c r="C6" i="33"/>
  <c r="D5" i="33"/>
  <c r="B5" i="33"/>
  <c r="C5" i="33"/>
  <c r="D4" i="33"/>
  <c r="B4" i="33"/>
  <c r="C4" i="33"/>
  <c r="D3" i="33"/>
  <c r="B3" i="33"/>
  <c r="C3" i="33"/>
  <c r="D2" i="33"/>
  <c r="B2" i="33"/>
  <c r="C2" i="33"/>
  <c r="B64" i="32"/>
  <c r="C64" i="32"/>
  <c r="D63" i="32"/>
  <c r="B63" i="32"/>
  <c r="C63" i="32"/>
  <c r="D62" i="32"/>
  <c r="B62" i="32"/>
  <c r="C62" i="32"/>
  <c r="D61" i="32"/>
  <c r="B61" i="32"/>
  <c r="C61" i="32"/>
  <c r="D60" i="32"/>
  <c r="B60" i="32"/>
  <c r="C60" i="32"/>
  <c r="B59" i="32"/>
  <c r="C59" i="32"/>
  <c r="B58" i="32"/>
  <c r="C58" i="32"/>
  <c r="D57" i="32"/>
  <c r="B57" i="32"/>
  <c r="C57" i="32"/>
  <c r="D56" i="32"/>
  <c r="B56" i="32"/>
  <c r="C56" i="32"/>
  <c r="D55" i="32"/>
  <c r="B55" i="32"/>
  <c r="C55" i="32"/>
  <c r="D54" i="32"/>
  <c r="B54" i="32"/>
  <c r="C54" i="32"/>
  <c r="D53" i="32"/>
  <c r="B53" i="32"/>
  <c r="C53" i="32"/>
  <c r="D52" i="32"/>
  <c r="B52" i="32"/>
  <c r="C52" i="32"/>
  <c r="D51" i="32"/>
  <c r="B51" i="32"/>
  <c r="C51" i="32"/>
  <c r="D50" i="32"/>
  <c r="B50" i="32"/>
  <c r="C50" i="32"/>
  <c r="B49" i="32"/>
  <c r="C49" i="32"/>
  <c r="D48" i="32"/>
  <c r="B48" i="32"/>
  <c r="C48" i="32"/>
  <c r="D47" i="32"/>
  <c r="B47" i="32"/>
  <c r="C47" i="32"/>
  <c r="D46" i="32"/>
  <c r="B46" i="32"/>
  <c r="C46" i="32"/>
  <c r="D45" i="32"/>
  <c r="B45" i="32"/>
  <c r="C45" i="32"/>
  <c r="D44" i="32"/>
  <c r="B44" i="32"/>
  <c r="C44" i="32"/>
  <c r="D43" i="32"/>
  <c r="B43" i="32"/>
  <c r="C43" i="32"/>
  <c r="B42" i="32"/>
  <c r="C42" i="32"/>
  <c r="D41" i="32"/>
  <c r="B41" i="32"/>
  <c r="C41" i="32"/>
  <c r="D40" i="32"/>
  <c r="B40" i="32"/>
  <c r="C40" i="32"/>
  <c r="D39" i="32"/>
  <c r="B39" i="32"/>
  <c r="C39" i="32"/>
  <c r="D38" i="32"/>
  <c r="B38" i="32"/>
  <c r="C38" i="32"/>
  <c r="D37" i="32"/>
  <c r="B37" i="32"/>
  <c r="C37" i="32"/>
  <c r="D36" i="32"/>
  <c r="D35" i="32"/>
  <c r="B35" i="32"/>
  <c r="C35" i="32"/>
  <c r="B34" i="32"/>
  <c r="C34" i="32"/>
  <c r="D33" i="32"/>
  <c r="B33" i="32"/>
  <c r="C33" i="32"/>
  <c r="B32" i="32"/>
  <c r="C32" i="32"/>
  <c r="B31" i="32"/>
  <c r="C31" i="32"/>
  <c r="D30" i="32"/>
  <c r="B30" i="32"/>
  <c r="C30" i="32"/>
  <c r="D29" i="32"/>
  <c r="B29" i="32"/>
  <c r="C29" i="32"/>
  <c r="D28" i="32"/>
  <c r="B28" i="32"/>
  <c r="C28" i="32"/>
  <c r="D27" i="32"/>
  <c r="B27" i="32"/>
  <c r="C27" i="32"/>
  <c r="D26" i="32"/>
  <c r="B26" i="32"/>
  <c r="C26" i="32"/>
  <c r="B25" i="32"/>
  <c r="C25" i="32"/>
  <c r="B24" i="32"/>
  <c r="C24" i="32"/>
  <c r="B23" i="32"/>
  <c r="C23" i="32"/>
  <c r="B22" i="32"/>
  <c r="C22" i="32"/>
  <c r="B21" i="32"/>
  <c r="C21" i="32"/>
  <c r="B20" i="32"/>
  <c r="C20" i="32"/>
  <c r="B19" i="32"/>
  <c r="C19" i="32"/>
  <c r="D18" i="32"/>
  <c r="B18" i="32"/>
  <c r="C18" i="32"/>
  <c r="B17" i="32"/>
  <c r="C17" i="32"/>
  <c r="B16" i="32"/>
  <c r="C16" i="32"/>
  <c r="B15" i="32"/>
  <c r="C15" i="32"/>
  <c r="B14" i="32"/>
  <c r="C14" i="32"/>
  <c r="D13" i="32"/>
  <c r="B13" i="32"/>
  <c r="C13" i="32"/>
  <c r="D12" i="32"/>
  <c r="B12" i="32"/>
  <c r="C12" i="32"/>
  <c r="D11" i="32"/>
  <c r="B11" i="32"/>
  <c r="C11" i="32"/>
  <c r="D10" i="32"/>
  <c r="B10" i="32"/>
  <c r="C10" i="32"/>
  <c r="D9" i="32"/>
  <c r="B9" i="32"/>
  <c r="C9" i="32"/>
  <c r="D8" i="32"/>
  <c r="D7" i="32"/>
  <c r="B7" i="32"/>
  <c r="C7" i="32"/>
  <c r="D6" i="32"/>
  <c r="B6" i="32"/>
  <c r="C6" i="32"/>
  <c r="D5" i="32"/>
  <c r="B5" i="32"/>
  <c r="C5" i="32"/>
  <c r="D4" i="32"/>
  <c r="B4" i="32"/>
  <c r="C4" i="32"/>
  <c r="D3" i="32"/>
  <c r="B3" i="32"/>
  <c r="C3" i="32"/>
  <c r="D2" i="32"/>
  <c r="B2" i="32"/>
  <c r="C2" i="32"/>
  <c r="B64" i="31"/>
  <c r="C64" i="31"/>
  <c r="D63" i="31"/>
  <c r="B63" i="31"/>
  <c r="C63" i="31"/>
  <c r="D62" i="31"/>
  <c r="B62" i="31"/>
  <c r="C62" i="31"/>
  <c r="D61" i="31"/>
  <c r="B61" i="31"/>
  <c r="C61" i="31"/>
  <c r="D60" i="31"/>
  <c r="B60" i="31"/>
  <c r="C60" i="31"/>
  <c r="B59" i="31"/>
  <c r="C59" i="31"/>
  <c r="B58" i="31"/>
  <c r="C58" i="31"/>
  <c r="D57" i="31"/>
  <c r="B57" i="31"/>
  <c r="C57" i="31"/>
  <c r="D56" i="31"/>
  <c r="B56" i="31"/>
  <c r="C56" i="31"/>
  <c r="D55" i="31"/>
  <c r="B55" i="31"/>
  <c r="C55" i="31"/>
  <c r="D54" i="31"/>
  <c r="B54" i="31"/>
  <c r="C54" i="31"/>
  <c r="D53" i="31"/>
  <c r="B53" i="31"/>
  <c r="C53" i="31"/>
  <c r="D52" i="31"/>
  <c r="B52" i="31"/>
  <c r="C52" i="31"/>
  <c r="D51" i="31"/>
  <c r="B51" i="31"/>
  <c r="C51" i="31"/>
  <c r="D50" i="31"/>
  <c r="B50" i="31"/>
  <c r="C50" i="31"/>
  <c r="B49" i="31"/>
  <c r="C49" i="31"/>
  <c r="D48" i="31"/>
  <c r="B48" i="31"/>
  <c r="C48" i="31"/>
  <c r="D47" i="31"/>
  <c r="B47" i="31"/>
  <c r="C47" i="31"/>
  <c r="D46" i="31"/>
  <c r="B46" i="31"/>
  <c r="C46" i="31"/>
  <c r="D45" i="31"/>
  <c r="B45" i="31"/>
  <c r="C45" i="31"/>
  <c r="D44" i="31"/>
  <c r="B44" i="31"/>
  <c r="C44" i="31"/>
  <c r="D43" i="31"/>
  <c r="B43" i="31"/>
  <c r="C43" i="31"/>
  <c r="B42" i="31"/>
  <c r="C42" i="31"/>
  <c r="D41" i="31"/>
  <c r="B41" i="31"/>
  <c r="C41" i="31"/>
  <c r="D40" i="31"/>
  <c r="B40" i="31"/>
  <c r="C40" i="31"/>
  <c r="D39" i="31"/>
  <c r="B39" i="31"/>
  <c r="C39" i="31"/>
  <c r="D38" i="31"/>
  <c r="B38" i="31"/>
  <c r="C38" i="31"/>
  <c r="D37" i="31"/>
  <c r="B37" i="31"/>
  <c r="C37" i="31"/>
  <c r="D36" i="31"/>
  <c r="D35" i="31"/>
  <c r="B35" i="31"/>
  <c r="C35" i="31"/>
  <c r="B34" i="31"/>
  <c r="C34" i="31"/>
  <c r="D33" i="31"/>
  <c r="B33" i="31"/>
  <c r="C33" i="31"/>
  <c r="B32" i="31"/>
  <c r="C32" i="31"/>
  <c r="B31" i="31"/>
  <c r="C31" i="31"/>
  <c r="D30" i="31"/>
  <c r="B30" i="31"/>
  <c r="C30" i="31"/>
  <c r="D29" i="31"/>
  <c r="B29" i="31"/>
  <c r="C29" i="31"/>
  <c r="D28" i="31"/>
  <c r="B28" i="31"/>
  <c r="C28" i="31"/>
  <c r="D27" i="31"/>
  <c r="B27" i="31"/>
  <c r="C27" i="31"/>
  <c r="D26" i="31"/>
  <c r="B26" i="31"/>
  <c r="C26" i="31"/>
  <c r="B25" i="31"/>
  <c r="C25" i="31"/>
  <c r="B24" i="31"/>
  <c r="C24" i="31"/>
  <c r="B23" i="31"/>
  <c r="C23" i="31"/>
  <c r="B22" i="31"/>
  <c r="C22" i="31"/>
  <c r="B21" i="31"/>
  <c r="C21" i="31"/>
  <c r="B20" i="31"/>
  <c r="C20" i="31"/>
  <c r="B19" i="31"/>
  <c r="C19" i="31"/>
  <c r="D18" i="31"/>
  <c r="B18" i="31"/>
  <c r="C18" i="31"/>
  <c r="B17" i="31"/>
  <c r="C17" i="31"/>
  <c r="B16" i="31"/>
  <c r="C16" i="31"/>
  <c r="B15" i="31"/>
  <c r="C15" i="31"/>
  <c r="B14" i="31"/>
  <c r="C14" i="31"/>
  <c r="D13" i="31"/>
  <c r="B13" i="31"/>
  <c r="C13" i="31"/>
  <c r="D12" i="31"/>
  <c r="B12" i="31"/>
  <c r="C12" i="31"/>
  <c r="D11" i="31"/>
  <c r="B11" i="31"/>
  <c r="C11" i="31"/>
  <c r="D10" i="31"/>
  <c r="B10" i="31"/>
  <c r="C10" i="31"/>
  <c r="D9" i="31"/>
  <c r="B9" i="31"/>
  <c r="C9" i="31"/>
  <c r="D8" i="31"/>
  <c r="D7" i="31"/>
  <c r="B7" i="31"/>
  <c r="C7" i="31"/>
  <c r="D6" i="31"/>
  <c r="B6" i="31"/>
  <c r="C6" i="31"/>
  <c r="D5" i="31"/>
  <c r="B5" i="31"/>
  <c r="C5" i="31"/>
  <c r="D4" i="31"/>
  <c r="B4" i="31"/>
  <c r="C4" i="31"/>
  <c r="D3" i="31"/>
  <c r="B3" i="31"/>
  <c r="C3" i="31"/>
  <c r="D2" i="31"/>
  <c r="B2" i="31"/>
  <c r="C2" i="31"/>
  <c r="D63" i="30"/>
  <c r="B63" i="30"/>
  <c r="C63" i="30"/>
  <c r="D62" i="30"/>
  <c r="B62" i="30"/>
  <c r="C62" i="30"/>
  <c r="D61" i="30"/>
  <c r="B61" i="30"/>
  <c r="C61" i="30"/>
  <c r="D60" i="30"/>
  <c r="B60" i="30"/>
  <c r="C60" i="30"/>
  <c r="B59" i="30"/>
  <c r="C59" i="30"/>
  <c r="B58" i="30"/>
  <c r="C58" i="30"/>
  <c r="D57" i="30"/>
  <c r="B57" i="30"/>
  <c r="C57" i="30"/>
  <c r="D56" i="30"/>
  <c r="B56" i="30"/>
  <c r="C56" i="30"/>
  <c r="D55" i="30"/>
  <c r="B55" i="30"/>
  <c r="C55" i="30"/>
  <c r="D54" i="30"/>
  <c r="B54" i="30"/>
  <c r="C54" i="30"/>
  <c r="D53" i="30"/>
  <c r="B53" i="30"/>
  <c r="C53" i="30"/>
  <c r="D52" i="30"/>
  <c r="B52" i="30"/>
  <c r="C52" i="30"/>
  <c r="D51" i="30"/>
  <c r="B51" i="30"/>
  <c r="C51" i="30"/>
  <c r="D50" i="30"/>
  <c r="B50" i="30"/>
  <c r="C50" i="30"/>
  <c r="B49" i="30"/>
  <c r="C49" i="30"/>
  <c r="D48" i="30"/>
  <c r="B48" i="30"/>
  <c r="C48" i="30"/>
  <c r="D47" i="30"/>
  <c r="B47" i="30"/>
  <c r="C47" i="30"/>
  <c r="D46" i="30"/>
  <c r="B46" i="30"/>
  <c r="C46" i="30"/>
  <c r="D45" i="30"/>
  <c r="B45" i="30"/>
  <c r="C45" i="30"/>
  <c r="D44" i="30"/>
  <c r="B44" i="30"/>
  <c r="C44" i="30"/>
  <c r="D43" i="30"/>
  <c r="B43" i="30"/>
  <c r="C43" i="30"/>
  <c r="B42" i="30"/>
  <c r="C42" i="30"/>
  <c r="D41" i="30"/>
  <c r="B41" i="30"/>
  <c r="C41" i="30"/>
  <c r="D40" i="30"/>
  <c r="B40" i="30"/>
  <c r="C40" i="30"/>
  <c r="D39" i="30"/>
  <c r="B39" i="30"/>
  <c r="C39" i="30"/>
  <c r="D38" i="30"/>
  <c r="B38" i="30"/>
  <c r="C38" i="30"/>
  <c r="D37" i="30"/>
  <c r="B37" i="30"/>
  <c r="C37" i="30"/>
  <c r="D36" i="30"/>
  <c r="D35" i="30"/>
  <c r="B35" i="30"/>
  <c r="C35" i="30"/>
  <c r="B34" i="30"/>
  <c r="C34" i="30"/>
  <c r="D33" i="30"/>
  <c r="B33" i="30"/>
  <c r="C33" i="30"/>
  <c r="B32" i="30"/>
  <c r="C32" i="30"/>
  <c r="B31" i="30"/>
  <c r="C31" i="30"/>
  <c r="D30" i="30"/>
  <c r="B30" i="30"/>
  <c r="C30" i="30"/>
  <c r="D29" i="30"/>
  <c r="B29" i="30"/>
  <c r="C29" i="30"/>
  <c r="D28" i="30"/>
  <c r="B28" i="30"/>
  <c r="C28" i="30"/>
  <c r="D27" i="30"/>
  <c r="B27" i="30"/>
  <c r="C27" i="30"/>
  <c r="D26" i="30"/>
  <c r="B26" i="30"/>
  <c r="C26" i="30"/>
  <c r="B25" i="30"/>
  <c r="C25" i="30"/>
  <c r="B24" i="30"/>
  <c r="C24" i="30"/>
  <c r="B23" i="30"/>
  <c r="C23" i="30"/>
  <c r="B22" i="30"/>
  <c r="C22" i="30"/>
  <c r="B21" i="30"/>
  <c r="C21" i="30"/>
  <c r="B20" i="30"/>
  <c r="C20" i="30"/>
  <c r="B19" i="30"/>
  <c r="C19" i="30"/>
  <c r="D18" i="30"/>
  <c r="B18" i="30"/>
  <c r="C18" i="30"/>
  <c r="B17" i="30"/>
  <c r="C17" i="30"/>
  <c r="B16" i="30"/>
  <c r="C16" i="30"/>
  <c r="B15" i="30"/>
  <c r="C15" i="30"/>
  <c r="B14" i="30"/>
  <c r="C14" i="30"/>
  <c r="D13" i="30"/>
  <c r="B13" i="30"/>
  <c r="C13" i="30"/>
  <c r="D12" i="30"/>
  <c r="B12" i="30"/>
  <c r="C12" i="30"/>
  <c r="D11" i="30"/>
  <c r="B11" i="30"/>
  <c r="C11" i="30"/>
  <c r="D10" i="30"/>
  <c r="B10" i="30"/>
  <c r="C10" i="30"/>
  <c r="D9" i="30"/>
  <c r="B9" i="30"/>
  <c r="C9" i="30"/>
  <c r="D8" i="30"/>
  <c r="D7" i="30"/>
  <c r="B7" i="30"/>
  <c r="C7" i="30"/>
  <c r="D6" i="30"/>
  <c r="B6" i="30"/>
  <c r="C6" i="30"/>
  <c r="D5" i="30"/>
  <c r="B5" i="30"/>
  <c r="C5" i="30"/>
  <c r="D4" i="30"/>
  <c r="B4" i="30"/>
  <c r="C4" i="30"/>
  <c r="D3" i="30"/>
  <c r="B3" i="30"/>
  <c r="C3" i="30"/>
  <c r="D2" i="30"/>
  <c r="B2" i="30"/>
  <c r="C2" i="30"/>
  <c r="D63" i="29"/>
  <c r="B63" i="29"/>
  <c r="C63" i="29"/>
  <c r="D62" i="29"/>
  <c r="B62" i="29"/>
  <c r="C62" i="29"/>
  <c r="D61" i="29"/>
  <c r="B61" i="29"/>
  <c r="C61" i="29"/>
  <c r="D60" i="29"/>
  <c r="B60" i="29"/>
  <c r="C60" i="29"/>
  <c r="B59" i="29"/>
  <c r="C59" i="29"/>
  <c r="B58" i="29"/>
  <c r="C58" i="29"/>
  <c r="D57" i="29"/>
  <c r="B57" i="29"/>
  <c r="C57" i="29"/>
  <c r="D56" i="29"/>
  <c r="B56" i="29"/>
  <c r="C56" i="29"/>
  <c r="D55" i="29"/>
  <c r="B55" i="29"/>
  <c r="C55" i="29"/>
  <c r="D54" i="29"/>
  <c r="B54" i="29"/>
  <c r="C54" i="29"/>
  <c r="D53" i="29"/>
  <c r="B53" i="29"/>
  <c r="C53" i="29"/>
  <c r="D52" i="29"/>
  <c r="B52" i="29"/>
  <c r="C52" i="29"/>
  <c r="D51" i="29"/>
  <c r="B51" i="29"/>
  <c r="C51" i="29"/>
  <c r="D50" i="29"/>
  <c r="B50" i="29"/>
  <c r="C50" i="29"/>
  <c r="B49" i="29"/>
  <c r="C49" i="29"/>
  <c r="D48" i="29"/>
  <c r="B48" i="29"/>
  <c r="C48" i="29"/>
  <c r="D47" i="29"/>
  <c r="B47" i="29"/>
  <c r="C47" i="29"/>
  <c r="D46" i="29"/>
  <c r="B46" i="29"/>
  <c r="C46" i="29"/>
  <c r="D45" i="29"/>
  <c r="B45" i="29"/>
  <c r="C45" i="29"/>
  <c r="D44" i="29"/>
  <c r="B44" i="29"/>
  <c r="C44" i="29"/>
  <c r="D43" i="29"/>
  <c r="B43" i="29"/>
  <c r="C43" i="29"/>
  <c r="B42" i="29"/>
  <c r="C42" i="29"/>
  <c r="D41" i="29"/>
  <c r="B41" i="29"/>
  <c r="C41" i="29"/>
  <c r="D40" i="29"/>
  <c r="B40" i="29"/>
  <c r="C40" i="29"/>
  <c r="D39" i="29"/>
  <c r="B39" i="29"/>
  <c r="C39" i="29"/>
  <c r="D38" i="29"/>
  <c r="B38" i="29"/>
  <c r="C38" i="29"/>
  <c r="D37" i="29"/>
  <c r="B37" i="29"/>
  <c r="C37" i="29"/>
  <c r="D36" i="29"/>
  <c r="D35" i="29"/>
  <c r="B35" i="29"/>
  <c r="C35" i="29"/>
  <c r="B34" i="29"/>
  <c r="C34" i="29"/>
  <c r="D33" i="29"/>
  <c r="B33" i="29"/>
  <c r="C33" i="29"/>
  <c r="B32" i="29"/>
  <c r="C32" i="29"/>
  <c r="B31" i="29"/>
  <c r="C31" i="29"/>
  <c r="D30" i="29"/>
  <c r="B30" i="29"/>
  <c r="C30" i="29"/>
  <c r="D29" i="29"/>
  <c r="B29" i="29"/>
  <c r="C29" i="29"/>
  <c r="D28" i="29"/>
  <c r="B28" i="29"/>
  <c r="C28" i="29"/>
  <c r="D27" i="29"/>
  <c r="B27" i="29"/>
  <c r="C27" i="29"/>
  <c r="D26" i="29"/>
  <c r="B26" i="29"/>
  <c r="C26" i="29"/>
  <c r="B25" i="29"/>
  <c r="C25" i="29"/>
  <c r="B24" i="29"/>
  <c r="C24" i="29"/>
  <c r="B23" i="29"/>
  <c r="C23" i="29"/>
  <c r="B22" i="29"/>
  <c r="C22" i="29"/>
  <c r="B21" i="29"/>
  <c r="C21" i="29"/>
  <c r="B20" i="29"/>
  <c r="C20" i="29"/>
  <c r="B19" i="29"/>
  <c r="C19" i="29"/>
  <c r="D18" i="29"/>
  <c r="B18" i="29"/>
  <c r="C18" i="29"/>
  <c r="B17" i="29"/>
  <c r="C17" i="29"/>
  <c r="B16" i="29"/>
  <c r="C16" i="29"/>
  <c r="B15" i="29"/>
  <c r="C15" i="29"/>
  <c r="B14" i="29"/>
  <c r="C14" i="29"/>
  <c r="D13" i="29"/>
  <c r="B13" i="29"/>
  <c r="C13" i="29"/>
  <c r="D12" i="29"/>
  <c r="B12" i="29"/>
  <c r="C12" i="29"/>
  <c r="D11" i="29"/>
  <c r="B11" i="29"/>
  <c r="C11" i="29"/>
  <c r="D10" i="29"/>
  <c r="B10" i="29"/>
  <c r="C10" i="29"/>
  <c r="D9" i="29"/>
  <c r="B9" i="29"/>
  <c r="C9" i="29"/>
  <c r="D8" i="29"/>
  <c r="D7" i="29"/>
  <c r="B7" i="29"/>
  <c r="C7" i="29"/>
  <c r="D6" i="29"/>
  <c r="B6" i="29"/>
  <c r="C6" i="29"/>
  <c r="D5" i="29"/>
  <c r="B5" i="29"/>
  <c r="C5" i="29"/>
  <c r="D4" i="29"/>
  <c r="B4" i="29"/>
  <c r="C4" i="29"/>
  <c r="D3" i="29"/>
  <c r="B3" i="29"/>
  <c r="C3" i="29"/>
  <c r="D2" i="29"/>
  <c r="B2" i="29"/>
  <c r="C2" i="29"/>
  <c r="D63" i="28"/>
  <c r="B63" i="28"/>
  <c r="C63" i="28"/>
  <c r="D62" i="28"/>
  <c r="B62" i="28"/>
  <c r="C62" i="28"/>
  <c r="D61" i="28"/>
  <c r="B61" i="28"/>
  <c r="C61" i="28"/>
  <c r="D60" i="28"/>
  <c r="B60" i="28"/>
  <c r="C60" i="28"/>
  <c r="B59" i="28"/>
  <c r="C59" i="28"/>
  <c r="B58" i="28"/>
  <c r="C58" i="28"/>
  <c r="D57" i="28"/>
  <c r="B57" i="28"/>
  <c r="C57" i="28"/>
  <c r="D56" i="28"/>
  <c r="B56" i="28"/>
  <c r="C56" i="28"/>
  <c r="D55" i="28"/>
  <c r="B55" i="28"/>
  <c r="C55" i="28"/>
  <c r="D54" i="28"/>
  <c r="B54" i="28"/>
  <c r="C54" i="28"/>
  <c r="D53" i="28"/>
  <c r="B53" i="28"/>
  <c r="C53" i="28"/>
  <c r="D52" i="28"/>
  <c r="B52" i="28"/>
  <c r="C52" i="28"/>
  <c r="D51" i="28"/>
  <c r="B51" i="28"/>
  <c r="C51" i="28"/>
  <c r="D50" i="28"/>
  <c r="B50" i="28"/>
  <c r="C50" i="28"/>
  <c r="B49" i="28"/>
  <c r="C49" i="28"/>
  <c r="D48" i="28"/>
  <c r="B48" i="28"/>
  <c r="C48" i="28"/>
  <c r="D47" i="28"/>
  <c r="B47" i="28"/>
  <c r="C47" i="28"/>
  <c r="D46" i="28"/>
  <c r="B46" i="28"/>
  <c r="C46" i="28"/>
  <c r="D45" i="28"/>
  <c r="B45" i="28"/>
  <c r="C45" i="28"/>
  <c r="D44" i="28"/>
  <c r="B44" i="28"/>
  <c r="C44" i="28"/>
  <c r="D43" i="28"/>
  <c r="B43" i="28"/>
  <c r="C43" i="28"/>
  <c r="B42" i="28"/>
  <c r="C42" i="28"/>
  <c r="D41" i="28"/>
  <c r="B41" i="28"/>
  <c r="C41" i="28"/>
  <c r="D40" i="28"/>
  <c r="B40" i="28"/>
  <c r="C40" i="28"/>
  <c r="D39" i="28"/>
  <c r="B39" i="28"/>
  <c r="C39" i="28"/>
  <c r="D38" i="28"/>
  <c r="B38" i="28"/>
  <c r="C38" i="28"/>
  <c r="D37" i="28"/>
  <c r="B37" i="28"/>
  <c r="C37" i="28"/>
  <c r="D36" i="28"/>
  <c r="D35" i="28"/>
  <c r="B35" i="28"/>
  <c r="C35" i="28"/>
  <c r="B34" i="28"/>
  <c r="C34" i="28"/>
  <c r="D33" i="28"/>
  <c r="B33" i="28"/>
  <c r="C33" i="28"/>
  <c r="B32" i="28"/>
  <c r="C32" i="28"/>
  <c r="B31" i="28"/>
  <c r="C31" i="28"/>
  <c r="D30" i="28"/>
  <c r="B30" i="28"/>
  <c r="C30" i="28"/>
  <c r="D29" i="28"/>
  <c r="B29" i="28"/>
  <c r="C29" i="28"/>
  <c r="D28" i="28"/>
  <c r="B28" i="28"/>
  <c r="C28" i="28"/>
  <c r="D27" i="28"/>
  <c r="B27" i="28"/>
  <c r="C27" i="28"/>
  <c r="D26" i="28"/>
  <c r="B26" i="28"/>
  <c r="C26" i="28"/>
  <c r="B25" i="28"/>
  <c r="C25" i="28"/>
  <c r="B24" i="28"/>
  <c r="C24" i="28"/>
  <c r="B23" i="28"/>
  <c r="C23" i="28"/>
  <c r="B22" i="28"/>
  <c r="C22" i="28"/>
  <c r="B21" i="28"/>
  <c r="C21" i="28"/>
  <c r="B20" i="28"/>
  <c r="C20" i="28"/>
  <c r="B19" i="28"/>
  <c r="C19" i="28"/>
  <c r="D18" i="28"/>
  <c r="B18" i="28"/>
  <c r="C18" i="28"/>
  <c r="B17" i="28"/>
  <c r="C17" i="28"/>
  <c r="B16" i="28"/>
  <c r="C16" i="28"/>
  <c r="B15" i="28"/>
  <c r="C15" i="28"/>
  <c r="B14" i="28"/>
  <c r="C14" i="28"/>
  <c r="D13" i="28"/>
  <c r="B13" i="28"/>
  <c r="C13" i="28"/>
  <c r="D12" i="28"/>
  <c r="B12" i="28"/>
  <c r="C12" i="28"/>
  <c r="D11" i="28"/>
  <c r="B11" i="28"/>
  <c r="C11" i="28"/>
  <c r="D10" i="28"/>
  <c r="B10" i="28"/>
  <c r="C10" i="28"/>
  <c r="D9" i="28"/>
  <c r="B9" i="28"/>
  <c r="C9" i="28"/>
  <c r="D8" i="28"/>
  <c r="D7" i="28"/>
  <c r="B7" i="28"/>
  <c r="C7" i="28"/>
  <c r="D6" i="28"/>
  <c r="B6" i="28"/>
  <c r="C6" i="28"/>
  <c r="D5" i="28"/>
  <c r="B5" i="28"/>
  <c r="C5" i="28"/>
  <c r="D4" i="28"/>
  <c r="B4" i="28"/>
  <c r="C4" i="28"/>
  <c r="D3" i="28"/>
  <c r="B3" i="28"/>
  <c r="C3" i="28"/>
  <c r="D2" i="28"/>
  <c r="B2" i="28"/>
  <c r="C2" i="28"/>
  <c r="D61" i="27"/>
  <c r="B61" i="27"/>
  <c r="C61" i="27"/>
  <c r="D60" i="27"/>
  <c r="B60" i="27"/>
  <c r="C60" i="27"/>
  <c r="B59" i="27"/>
  <c r="C59" i="27"/>
  <c r="B58" i="27"/>
  <c r="C58" i="27"/>
  <c r="D57" i="27"/>
  <c r="B57" i="27"/>
  <c r="C57" i="27"/>
  <c r="D56" i="27"/>
  <c r="B56" i="27"/>
  <c r="C56" i="27"/>
  <c r="D55" i="27"/>
  <c r="B55" i="27"/>
  <c r="C55" i="27"/>
  <c r="D54" i="27"/>
  <c r="B54" i="27"/>
  <c r="C54" i="27"/>
  <c r="D53" i="27"/>
  <c r="B53" i="27"/>
  <c r="C53" i="27"/>
  <c r="D52" i="27"/>
  <c r="B52" i="27"/>
  <c r="C52" i="27"/>
  <c r="D51" i="27"/>
  <c r="B51" i="27"/>
  <c r="C51" i="27"/>
  <c r="D50" i="27"/>
  <c r="B50" i="27"/>
  <c r="C50" i="27"/>
  <c r="B49" i="27"/>
  <c r="C49" i="27"/>
  <c r="D48" i="27"/>
  <c r="B48" i="27"/>
  <c r="C48" i="27"/>
  <c r="D47" i="27"/>
  <c r="B47" i="27"/>
  <c r="C47" i="27"/>
  <c r="D46" i="27"/>
  <c r="B46" i="27"/>
  <c r="C46" i="27"/>
  <c r="D45" i="27"/>
  <c r="B45" i="27"/>
  <c r="C45" i="27"/>
  <c r="D44" i="27"/>
  <c r="B44" i="27"/>
  <c r="C44" i="27"/>
  <c r="D43" i="27"/>
  <c r="B43" i="27"/>
  <c r="C43" i="27"/>
  <c r="B42" i="27"/>
  <c r="C42" i="27"/>
  <c r="D41" i="27"/>
  <c r="B41" i="27"/>
  <c r="C41" i="27"/>
  <c r="D40" i="27"/>
  <c r="B40" i="27"/>
  <c r="C40" i="27"/>
  <c r="D39" i="27"/>
  <c r="B39" i="27"/>
  <c r="C39" i="27"/>
  <c r="D38" i="27"/>
  <c r="B38" i="27"/>
  <c r="C38" i="27"/>
  <c r="D37" i="27"/>
  <c r="B37" i="27"/>
  <c r="C37" i="27"/>
  <c r="D36" i="27"/>
  <c r="D35" i="27"/>
  <c r="B35" i="27"/>
  <c r="C35" i="27"/>
  <c r="B34" i="27"/>
  <c r="C34" i="27"/>
  <c r="D33" i="27"/>
  <c r="B33" i="27"/>
  <c r="C33" i="27"/>
  <c r="B32" i="27"/>
  <c r="C32" i="27"/>
  <c r="B31" i="27"/>
  <c r="C31" i="27"/>
  <c r="D30" i="27"/>
  <c r="B30" i="27"/>
  <c r="C30" i="27"/>
  <c r="D29" i="27"/>
  <c r="B29" i="27"/>
  <c r="C29" i="27"/>
  <c r="D28" i="27"/>
  <c r="B28" i="27"/>
  <c r="C28" i="27"/>
  <c r="D27" i="27"/>
  <c r="B27" i="27"/>
  <c r="C27" i="27"/>
  <c r="D26" i="27"/>
  <c r="B26" i="27"/>
  <c r="C26" i="27"/>
  <c r="B25" i="27"/>
  <c r="C25" i="27"/>
  <c r="B24" i="27"/>
  <c r="C24" i="27"/>
  <c r="B23" i="27"/>
  <c r="C23" i="27"/>
  <c r="B22" i="27"/>
  <c r="C22" i="27"/>
  <c r="B21" i="27"/>
  <c r="C21" i="27"/>
  <c r="B20" i="27"/>
  <c r="C20" i="27"/>
  <c r="B19" i="27"/>
  <c r="C19" i="27"/>
  <c r="D18" i="27"/>
  <c r="B18" i="27"/>
  <c r="C18" i="27"/>
  <c r="B17" i="27"/>
  <c r="C17" i="27"/>
  <c r="B16" i="27"/>
  <c r="C16" i="27"/>
  <c r="B15" i="27"/>
  <c r="C15" i="27"/>
  <c r="B14" i="27"/>
  <c r="C14" i="27"/>
  <c r="D13" i="27"/>
  <c r="B13" i="27"/>
  <c r="C13" i="27"/>
  <c r="D12" i="27"/>
  <c r="B12" i="27"/>
  <c r="C12" i="27"/>
  <c r="D11" i="27"/>
  <c r="B11" i="27"/>
  <c r="C11" i="27"/>
  <c r="D10" i="27"/>
  <c r="B10" i="27"/>
  <c r="C10" i="27"/>
  <c r="D9" i="27"/>
  <c r="B9" i="27"/>
  <c r="C9" i="27"/>
  <c r="D8" i="27"/>
  <c r="D7" i="27"/>
  <c r="B7" i="27"/>
  <c r="C7" i="27"/>
  <c r="D6" i="27"/>
  <c r="B6" i="27"/>
  <c r="C6" i="27"/>
  <c r="D5" i="27"/>
  <c r="B5" i="27"/>
  <c r="C5" i="27"/>
  <c r="D4" i="27"/>
  <c r="B4" i="27"/>
  <c r="C4" i="27"/>
  <c r="D3" i="27"/>
  <c r="B3" i="27"/>
  <c r="C3" i="27"/>
  <c r="D2" i="27"/>
  <c r="B2" i="27"/>
  <c r="C2" i="27"/>
  <c r="C65" i="26"/>
  <c r="C64" i="26"/>
  <c r="C63" i="26"/>
  <c r="B62" i="26"/>
  <c r="C62" i="26"/>
  <c r="B61" i="26"/>
  <c r="C61" i="26"/>
  <c r="D60" i="26"/>
  <c r="B60" i="26"/>
  <c r="C60" i="26"/>
  <c r="D59" i="26"/>
  <c r="B59" i="26"/>
  <c r="C59" i="26"/>
  <c r="D58" i="26"/>
  <c r="B58" i="26"/>
  <c r="C58" i="26"/>
  <c r="D57" i="26"/>
  <c r="B57" i="26"/>
  <c r="C57" i="26"/>
  <c r="B56" i="26"/>
  <c r="C56" i="26"/>
  <c r="D55" i="26"/>
  <c r="B55" i="26"/>
  <c r="C55" i="26"/>
  <c r="D54" i="26"/>
  <c r="B54" i="26"/>
  <c r="C54" i="26"/>
  <c r="D53" i="26"/>
  <c r="B53" i="26"/>
  <c r="C53" i="26"/>
  <c r="D52" i="26"/>
  <c r="B52" i="26"/>
  <c r="C52" i="26"/>
  <c r="B51" i="26"/>
  <c r="C51" i="26"/>
  <c r="D50" i="26"/>
  <c r="B50" i="26"/>
  <c r="C50" i="26"/>
  <c r="D49" i="26"/>
  <c r="B49" i="26"/>
  <c r="C49" i="26"/>
  <c r="D48" i="26"/>
  <c r="B48" i="26"/>
  <c r="C48" i="26"/>
  <c r="D47" i="26"/>
  <c r="B47" i="26"/>
  <c r="C47" i="26"/>
  <c r="D46" i="26"/>
  <c r="B46" i="26"/>
  <c r="C46" i="26"/>
  <c r="D45" i="26"/>
  <c r="B45" i="26"/>
  <c r="C45" i="26"/>
  <c r="B44" i="26"/>
  <c r="C44" i="26"/>
  <c r="D43" i="26"/>
  <c r="B43" i="26"/>
  <c r="C43" i="26"/>
  <c r="D42" i="26"/>
  <c r="B42" i="26"/>
  <c r="C42" i="26"/>
  <c r="D41" i="26"/>
  <c r="B41" i="26"/>
  <c r="C41" i="26"/>
  <c r="D40" i="26"/>
  <c r="B40" i="26"/>
  <c r="C40" i="26"/>
  <c r="D39" i="26"/>
  <c r="B39" i="26"/>
  <c r="C39" i="26"/>
  <c r="D38" i="26"/>
  <c r="D37" i="26"/>
  <c r="B37" i="26"/>
  <c r="C37" i="26"/>
  <c r="B36" i="26"/>
  <c r="C36" i="26"/>
  <c r="D35" i="26"/>
  <c r="B35" i="26"/>
  <c r="C35" i="26"/>
  <c r="B34" i="26"/>
  <c r="C34" i="26"/>
  <c r="B33" i="26"/>
  <c r="C33" i="26"/>
  <c r="D32" i="26"/>
  <c r="B32" i="26"/>
  <c r="C32" i="26"/>
  <c r="D31" i="26"/>
  <c r="B31" i="26"/>
  <c r="C31" i="26"/>
  <c r="D30" i="26"/>
  <c r="B30" i="26"/>
  <c r="C30" i="26"/>
  <c r="D29" i="26"/>
  <c r="B29" i="26"/>
  <c r="C29" i="26"/>
  <c r="D28" i="26"/>
  <c r="B28" i="26"/>
  <c r="C28" i="26"/>
  <c r="B27" i="26"/>
  <c r="C27" i="26"/>
  <c r="B26" i="26"/>
  <c r="C26" i="26"/>
  <c r="B25" i="26"/>
  <c r="C25" i="26"/>
  <c r="B24" i="26"/>
  <c r="C24" i="26"/>
  <c r="B23" i="26"/>
  <c r="C23" i="26"/>
  <c r="B22" i="26"/>
  <c r="C22" i="26"/>
  <c r="B21" i="26"/>
  <c r="C21" i="26"/>
  <c r="D20" i="26"/>
  <c r="B20" i="26"/>
  <c r="C20" i="26"/>
  <c r="B19" i="26"/>
  <c r="C19" i="26"/>
  <c r="B18" i="26"/>
  <c r="C18" i="26"/>
  <c r="B17" i="26"/>
  <c r="C17" i="26"/>
  <c r="B16" i="26"/>
  <c r="C16" i="26"/>
  <c r="D15" i="26"/>
  <c r="B15" i="26"/>
  <c r="C15" i="26"/>
  <c r="D14" i="26"/>
  <c r="B14" i="26"/>
  <c r="C14" i="26"/>
  <c r="D13" i="26"/>
  <c r="B13" i="26"/>
  <c r="C13" i="26"/>
  <c r="D12" i="26"/>
  <c r="B12" i="26"/>
  <c r="C12" i="26"/>
  <c r="D11" i="26"/>
  <c r="B11" i="26"/>
  <c r="C11" i="26"/>
  <c r="D10" i="26"/>
  <c r="B10" i="26"/>
  <c r="C10" i="26"/>
  <c r="D9" i="26"/>
  <c r="D8" i="26"/>
  <c r="B8" i="26"/>
  <c r="C8" i="26"/>
  <c r="D7" i="26"/>
  <c r="B7" i="26"/>
  <c r="C7" i="26"/>
  <c r="B6" i="26"/>
  <c r="C6" i="26"/>
  <c r="D5" i="26"/>
  <c r="B5" i="26"/>
  <c r="C5" i="26"/>
  <c r="D4" i="26"/>
  <c r="B4" i="26"/>
  <c r="C4" i="26"/>
  <c r="D3" i="26"/>
  <c r="B3" i="26"/>
  <c r="C3" i="26"/>
  <c r="D2" i="26"/>
  <c r="B2" i="26"/>
  <c r="C2" i="26"/>
  <c r="B59" i="25"/>
  <c r="C59" i="25"/>
  <c r="B58" i="25"/>
  <c r="C58" i="25"/>
  <c r="D57" i="25"/>
  <c r="B57" i="25"/>
  <c r="C57" i="25"/>
  <c r="D56" i="25"/>
  <c r="B56" i="25"/>
  <c r="C56" i="25"/>
  <c r="D55" i="25"/>
  <c r="B55" i="25"/>
  <c r="C55" i="25"/>
  <c r="D54" i="25"/>
  <c r="B54" i="25"/>
  <c r="C54" i="25"/>
  <c r="D53" i="25"/>
  <c r="B53" i="25"/>
  <c r="C53" i="25"/>
  <c r="D52" i="25"/>
  <c r="B52" i="25"/>
  <c r="C52" i="25"/>
  <c r="D51" i="25"/>
  <c r="B51" i="25"/>
  <c r="C51" i="25"/>
  <c r="D50" i="25"/>
  <c r="B50" i="25"/>
  <c r="C50" i="25"/>
  <c r="B49" i="25"/>
  <c r="C49" i="25"/>
  <c r="D48" i="25"/>
  <c r="B48" i="25"/>
  <c r="C48" i="25"/>
  <c r="D47" i="25"/>
  <c r="B47" i="25"/>
  <c r="C47" i="25"/>
  <c r="D46" i="25"/>
  <c r="B46" i="25"/>
  <c r="C46" i="25"/>
  <c r="D45" i="25"/>
  <c r="B45" i="25"/>
  <c r="C45" i="25"/>
  <c r="D44" i="25"/>
  <c r="B44" i="25"/>
  <c r="C44" i="25"/>
  <c r="D43" i="25"/>
  <c r="B43" i="25"/>
  <c r="C43" i="25"/>
  <c r="B42" i="25"/>
  <c r="C42" i="25"/>
  <c r="D41" i="25"/>
  <c r="B41" i="25"/>
  <c r="C41" i="25"/>
  <c r="D40" i="25"/>
  <c r="B40" i="25"/>
  <c r="C40" i="25"/>
  <c r="D39" i="25"/>
  <c r="B39" i="25"/>
  <c r="C39" i="25"/>
  <c r="D38" i="25"/>
  <c r="B38" i="25"/>
  <c r="C38" i="25"/>
  <c r="D37" i="25"/>
  <c r="B37" i="25"/>
  <c r="C37" i="25"/>
  <c r="D36" i="25"/>
  <c r="D35" i="25"/>
  <c r="B35" i="25"/>
  <c r="C35" i="25"/>
  <c r="B34" i="25"/>
  <c r="C34" i="25"/>
  <c r="D33" i="25"/>
  <c r="B33" i="25"/>
  <c r="C33" i="25"/>
  <c r="B32" i="25"/>
  <c r="C32" i="25"/>
  <c r="B31" i="25"/>
  <c r="C31" i="25"/>
  <c r="D30" i="25"/>
  <c r="B30" i="25"/>
  <c r="C30" i="25"/>
  <c r="D29" i="25"/>
  <c r="B29" i="25"/>
  <c r="C29" i="25"/>
  <c r="D28" i="25"/>
  <c r="B28" i="25"/>
  <c r="C28" i="25"/>
  <c r="D27" i="25"/>
  <c r="B27" i="25"/>
  <c r="C27" i="25"/>
  <c r="D26" i="25"/>
  <c r="B26" i="25"/>
  <c r="C26" i="25"/>
  <c r="B25" i="25"/>
  <c r="C25" i="25"/>
  <c r="B24" i="25"/>
  <c r="C24" i="25"/>
  <c r="B23" i="25"/>
  <c r="C23" i="25"/>
  <c r="B22" i="25"/>
  <c r="C22" i="25"/>
  <c r="B21" i="25"/>
  <c r="C21" i="25"/>
  <c r="B20" i="25"/>
  <c r="C20" i="25"/>
  <c r="B19" i="25"/>
  <c r="C19" i="25"/>
  <c r="D18" i="25"/>
  <c r="B18" i="25"/>
  <c r="C18" i="25"/>
  <c r="B17" i="25"/>
  <c r="C17" i="25"/>
  <c r="B16" i="25"/>
  <c r="C16" i="25"/>
  <c r="B15" i="25"/>
  <c r="C15" i="25"/>
  <c r="B14" i="25"/>
  <c r="C14" i="25"/>
  <c r="D13" i="25"/>
  <c r="B13" i="25"/>
  <c r="C13" i="25"/>
  <c r="D12" i="25"/>
  <c r="B12" i="25"/>
  <c r="C12" i="25"/>
  <c r="D11" i="25"/>
  <c r="B11" i="25"/>
  <c r="C11" i="25"/>
  <c r="D10" i="25"/>
  <c r="B10" i="25"/>
  <c r="C10" i="25"/>
  <c r="D9" i="25"/>
  <c r="B9" i="25"/>
  <c r="C9" i="25"/>
  <c r="D8" i="25"/>
  <c r="D7" i="25"/>
  <c r="B7" i="25"/>
  <c r="C7" i="25"/>
  <c r="D6" i="25"/>
  <c r="B6" i="25"/>
  <c r="C6" i="25"/>
  <c r="D5" i="25"/>
  <c r="B5" i="25"/>
  <c r="C5" i="25"/>
  <c r="D4" i="25"/>
  <c r="B4" i="25"/>
  <c r="C4" i="25"/>
  <c r="D3" i="25"/>
  <c r="B3" i="25"/>
  <c r="C3" i="25"/>
  <c r="D2" i="25"/>
  <c r="B2" i="25"/>
  <c r="C2" i="25"/>
  <c r="B58" i="24"/>
  <c r="C58" i="24"/>
  <c r="D57" i="24"/>
  <c r="B57" i="24"/>
  <c r="C57" i="24"/>
  <c r="D56" i="24"/>
  <c r="B56" i="24"/>
  <c r="C56" i="24"/>
  <c r="D55" i="24"/>
  <c r="B55" i="24"/>
  <c r="C55" i="24"/>
  <c r="D54" i="24"/>
  <c r="B54" i="24"/>
  <c r="C54" i="24"/>
  <c r="D53" i="24"/>
  <c r="B53" i="24"/>
  <c r="C53" i="24"/>
  <c r="D52" i="24"/>
  <c r="B52" i="24"/>
  <c r="C52" i="24"/>
  <c r="D51" i="24"/>
  <c r="B51" i="24"/>
  <c r="C51" i="24"/>
  <c r="D50" i="24"/>
  <c r="B50" i="24"/>
  <c r="C50" i="24"/>
  <c r="B49" i="24"/>
  <c r="C49" i="24"/>
  <c r="D48" i="24"/>
  <c r="B48" i="24"/>
  <c r="C48" i="24"/>
  <c r="D47" i="24"/>
  <c r="B47" i="24"/>
  <c r="C47" i="24"/>
  <c r="D46" i="24"/>
  <c r="B46" i="24"/>
  <c r="C46" i="24"/>
  <c r="D45" i="24"/>
  <c r="B45" i="24"/>
  <c r="C45" i="24"/>
  <c r="D44" i="24"/>
  <c r="B44" i="24"/>
  <c r="C44" i="24"/>
  <c r="D43" i="24"/>
  <c r="B43" i="24"/>
  <c r="C43" i="24"/>
  <c r="B42" i="24"/>
  <c r="C42" i="24"/>
  <c r="D41" i="24"/>
  <c r="B41" i="24"/>
  <c r="C41" i="24"/>
  <c r="D40" i="24"/>
  <c r="B40" i="24"/>
  <c r="C40" i="24"/>
  <c r="D39" i="24"/>
  <c r="B39" i="24"/>
  <c r="C39" i="24"/>
  <c r="D38" i="24"/>
  <c r="B38" i="24"/>
  <c r="C38" i="24"/>
  <c r="D37" i="24"/>
  <c r="B37" i="24"/>
  <c r="C37" i="24"/>
  <c r="D36" i="24"/>
  <c r="D35" i="24"/>
  <c r="B35" i="24"/>
  <c r="C35" i="24"/>
  <c r="B34" i="24"/>
  <c r="C34" i="24"/>
  <c r="D33" i="24"/>
  <c r="B33" i="24"/>
  <c r="C33" i="24"/>
  <c r="B32" i="24"/>
  <c r="C32" i="24"/>
  <c r="B31" i="24"/>
  <c r="C31" i="24"/>
  <c r="D30" i="24"/>
  <c r="B30" i="24"/>
  <c r="C30" i="24"/>
  <c r="D29" i="24"/>
  <c r="B29" i="24"/>
  <c r="C29" i="24"/>
  <c r="D28" i="24"/>
  <c r="B28" i="24"/>
  <c r="C28" i="24"/>
  <c r="D27" i="24"/>
  <c r="B27" i="24"/>
  <c r="C27" i="24"/>
  <c r="D26" i="24"/>
  <c r="B26" i="24"/>
  <c r="C26" i="24"/>
  <c r="B25" i="24"/>
  <c r="C25" i="24"/>
  <c r="B24" i="24"/>
  <c r="C24" i="24"/>
  <c r="B23" i="24"/>
  <c r="C23" i="24"/>
  <c r="B22" i="24"/>
  <c r="C22" i="24"/>
  <c r="B21" i="24"/>
  <c r="C21" i="24"/>
  <c r="B20" i="24"/>
  <c r="C20" i="24"/>
  <c r="B19" i="24"/>
  <c r="C19" i="24"/>
  <c r="D18" i="24"/>
  <c r="B18" i="24"/>
  <c r="C18" i="24"/>
  <c r="B17" i="24"/>
  <c r="C17" i="24"/>
  <c r="B16" i="24"/>
  <c r="C16" i="24"/>
  <c r="B15" i="24"/>
  <c r="C15" i="24"/>
  <c r="B14" i="24"/>
  <c r="C14" i="24"/>
  <c r="D13" i="24"/>
  <c r="B13" i="24"/>
  <c r="C13" i="24"/>
  <c r="D12" i="24"/>
  <c r="B12" i="24"/>
  <c r="C12" i="24"/>
  <c r="D11" i="24"/>
  <c r="B11" i="24"/>
  <c r="C11" i="24"/>
  <c r="D10" i="24"/>
  <c r="B10" i="24"/>
  <c r="C10" i="24"/>
  <c r="D9" i="24"/>
  <c r="B9" i="24"/>
  <c r="C9" i="24"/>
  <c r="D8" i="24"/>
  <c r="C8" i="24"/>
  <c r="D7" i="24"/>
  <c r="B7" i="24"/>
  <c r="C7" i="24"/>
  <c r="D6" i="24"/>
  <c r="B6" i="24"/>
  <c r="C6" i="24"/>
  <c r="D5" i="24"/>
  <c r="B5" i="24"/>
  <c r="C5" i="24"/>
  <c r="D4" i="24"/>
  <c r="B4" i="24"/>
  <c r="C4" i="24"/>
  <c r="D3" i="24"/>
  <c r="B3" i="24"/>
  <c r="C3" i="24"/>
  <c r="D2" i="24"/>
  <c r="B2" i="24"/>
  <c r="C2" i="24"/>
  <c r="D58" i="23"/>
  <c r="B58" i="23"/>
  <c r="C58" i="23"/>
  <c r="D57" i="23"/>
  <c r="B57" i="23"/>
  <c r="C57" i="23"/>
  <c r="D56" i="23"/>
  <c r="B56" i="23"/>
  <c r="C56" i="23"/>
  <c r="B55" i="23"/>
  <c r="C55" i="23"/>
  <c r="B54" i="23"/>
  <c r="C54" i="23"/>
  <c r="D53" i="23"/>
  <c r="B53" i="23"/>
  <c r="C53" i="23"/>
  <c r="D52" i="23"/>
  <c r="B52" i="23"/>
  <c r="C52" i="23"/>
  <c r="D51" i="23"/>
  <c r="B51" i="23"/>
  <c r="C51" i="23"/>
  <c r="D50" i="23"/>
  <c r="B50" i="23"/>
  <c r="C50" i="23"/>
  <c r="D49" i="23"/>
  <c r="B49" i="23"/>
  <c r="C49" i="23"/>
  <c r="D48" i="23"/>
  <c r="B48" i="23"/>
  <c r="C48" i="23"/>
  <c r="D47" i="23"/>
  <c r="B47" i="23"/>
  <c r="C47" i="23"/>
  <c r="B46" i="23"/>
  <c r="C46" i="23"/>
  <c r="D45" i="23"/>
  <c r="B45" i="23"/>
  <c r="C45" i="23"/>
  <c r="D44" i="23"/>
  <c r="B44" i="23"/>
  <c r="C44" i="23"/>
  <c r="D43" i="23"/>
  <c r="B43" i="23"/>
  <c r="C43" i="23"/>
  <c r="D42" i="23"/>
  <c r="B42" i="23"/>
  <c r="C42" i="23"/>
  <c r="D41" i="23"/>
  <c r="B41" i="23"/>
  <c r="C41" i="23"/>
  <c r="D40" i="23"/>
  <c r="B40" i="23"/>
  <c r="C40" i="23"/>
  <c r="D39" i="23"/>
  <c r="B39" i="23"/>
  <c r="C39" i="23"/>
  <c r="D38" i="23"/>
  <c r="B38" i="23"/>
  <c r="C38" i="23"/>
  <c r="D37" i="23"/>
  <c r="B37" i="23"/>
  <c r="C37" i="23"/>
  <c r="D36" i="23"/>
  <c r="B36" i="23"/>
  <c r="C36" i="23"/>
  <c r="D35" i="23"/>
  <c r="B35" i="23"/>
  <c r="C35" i="23"/>
  <c r="D34" i="23"/>
  <c r="B33" i="23"/>
  <c r="C33" i="23"/>
  <c r="D32" i="23"/>
  <c r="B32" i="23"/>
  <c r="C32" i="23"/>
  <c r="B31" i="23"/>
  <c r="C31" i="23"/>
  <c r="B30" i="23"/>
  <c r="C30" i="23"/>
  <c r="D29" i="23"/>
  <c r="B29" i="23"/>
  <c r="C29" i="23"/>
  <c r="D28" i="23"/>
  <c r="B28" i="23"/>
  <c r="C28" i="23"/>
  <c r="D27" i="23"/>
  <c r="B27" i="23"/>
  <c r="C27" i="23"/>
  <c r="D26" i="23"/>
  <c r="B26" i="23"/>
  <c r="C26" i="23"/>
  <c r="D25" i="23"/>
  <c r="B25" i="23"/>
  <c r="C25" i="23"/>
  <c r="B24" i="23"/>
  <c r="C24" i="23"/>
  <c r="B23" i="23"/>
  <c r="C23" i="23"/>
  <c r="B22" i="23"/>
  <c r="C22" i="23"/>
  <c r="B21" i="23"/>
  <c r="C21" i="23"/>
  <c r="B20" i="23"/>
  <c r="C20" i="23"/>
  <c r="B19" i="23"/>
  <c r="C19" i="23"/>
  <c r="B18" i="23"/>
  <c r="C18" i="23"/>
  <c r="D17" i="23"/>
  <c r="B17" i="23"/>
  <c r="C17" i="23"/>
  <c r="B16" i="23"/>
  <c r="C16" i="23"/>
  <c r="B15" i="23"/>
  <c r="C15" i="23"/>
  <c r="B14" i="23"/>
  <c r="C14" i="23"/>
  <c r="B13" i="23"/>
  <c r="C13" i="23"/>
  <c r="D12" i="23"/>
  <c r="B12" i="23"/>
  <c r="C12" i="23"/>
  <c r="D11" i="23"/>
  <c r="B11" i="23"/>
  <c r="C11" i="23"/>
  <c r="D10" i="23"/>
  <c r="B10" i="23"/>
  <c r="C10" i="23"/>
  <c r="D9" i="23"/>
  <c r="B9" i="23"/>
  <c r="C9" i="23"/>
  <c r="D8" i="23"/>
  <c r="D7" i="23"/>
  <c r="B7" i="23"/>
  <c r="C7" i="23"/>
  <c r="D6" i="23"/>
  <c r="B6" i="23"/>
  <c r="C6" i="23"/>
  <c r="D5" i="23"/>
  <c r="B5" i="23"/>
  <c r="C5" i="23"/>
  <c r="D4" i="23"/>
  <c r="B4" i="23"/>
  <c r="C4" i="23"/>
  <c r="D3" i="23"/>
  <c r="B3" i="23"/>
  <c r="C3" i="23"/>
  <c r="D2" i="23"/>
  <c r="B2" i="23"/>
  <c r="C2" i="23"/>
  <c r="B55" i="22"/>
  <c r="C55" i="22"/>
  <c r="B54" i="22"/>
  <c r="C54" i="22"/>
  <c r="D53" i="22"/>
  <c r="B53" i="22"/>
  <c r="C53" i="22"/>
  <c r="D52" i="22"/>
  <c r="B52" i="22"/>
  <c r="C52" i="22"/>
  <c r="D51" i="22"/>
  <c r="B51" i="22"/>
  <c r="C51" i="22"/>
  <c r="D50" i="22"/>
  <c r="B50" i="22"/>
  <c r="C50" i="22"/>
  <c r="D49" i="22"/>
  <c r="B49" i="22"/>
  <c r="C49" i="22"/>
  <c r="D48" i="22"/>
  <c r="B48" i="22"/>
  <c r="C48" i="22"/>
  <c r="D47" i="22"/>
  <c r="B47" i="22"/>
  <c r="C47" i="22"/>
  <c r="B46" i="22"/>
  <c r="C46" i="22"/>
  <c r="D45" i="22"/>
  <c r="B45" i="22"/>
  <c r="C45" i="22"/>
  <c r="D44" i="22"/>
  <c r="B44" i="22"/>
  <c r="C44" i="22"/>
  <c r="D43" i="22"/>
  <c r="B43" i="22"/>
  <c r="C43" i="22"/>
  <c r="D42" i="22"/>
  <c r="B42" i="22"/>
  <c r="C42" i="22"/>
  <c r="D41" i="22"/>
  <c r="B41" i="22"/>
  <c r="C41" i="22"/>
  <c r="D40" i="22"/>
  <c r="B40" i="22"/>
  <c r="C40" i="22"/>
  <c r="D39" i="22"/>
  <c r="B39" i="22"/>
  <c r="C39" i="22"/>
  <c r="D38" i="22"/>
  <c r="B38" i="22"/>
  <c r="C38" i="22"/>
  <c r="D37" i="22"/>
  <c r="B37" i="22"/>
  <c r="C37" i="22"/>
  <c r="D36" i="22"/>
  <c r="B36" i="22"/>
  <c r="C36" i="22"/>
  <c r="D35" i="22"/>
  <c r="B35" i="22"/>
  <c r="C35" i="22"/>
  <c r="D34" i="22"/>
  <c r="B33" i="22"/>
  <c r="C33" i="22"/>
  <c r="D32" i="22"/>
  <c r="B32" i="22"/>
  <c r="C32" i="22"/>
  <c r="B31" i="22"/>
  <c r="C31" i="22"/>
  <c r="B30" i="22"/>
  <c r="C30" i="22"/>
  <c r="D29" i="22"/>
  <c r="B29" i="22"/>
  <c r="C29" i="22"/>
  <c r="D28" i="22"/>
  <c r="B28" i="22"/>
  <c r="C28" i="22"/>
  <c r="D27" i="22"/>
  <c r="B27" i="22"/>
  <c r="C27" i="22"/>
  <c r="D26" i="22"/>
  <c r="B26" i="22"/>
  <c r="C26" i="22"/>
  <c r="D25" i="22"/>
  <c r="B25" i="22"/>
  <c r="C25" i="22"/>
  <c r="B24" i="22"/>
  <c r="C24" i="22"/>
  <c r="B23" i="22"/>
  <c r="C23" i="22"/>
  <c r="B22" i="22"/>
  <c r="C22" i="22"/>
  <c r="B21" i="22"/>
  <c r="C21" i="22"/>
  <c r="B20" i="22"/>
  <c r="C20" i="22"/>
  <c r="B19" i="22"/>
  <c r="C19" i="22"/>
  <c r="B18" i="22"/>
  <c r="C18" i="22"/>
  <c r="D17" i="22"/>
  <c r="B17" i="22"/>
  <c r="C17" i="22"/>
  <c r="B16" i="22"/>
  <c r="C16" i="22"/>
  <c r="B15" i="22"/>
  <c r="C15" i="22"/>
  <c r="B14" i="22"/>
  <c r="C14" i="22"/>
  <c r="B13" i="22"/>
  <c r="C13" i="22"/>
  <c r="D12" i="22"/>
  <c r="B12" i="22"/>
  <c r="C12" i="22"/>
  <c r="D11" i="22"/>
  <c r="B11" i="22"/>
  <c r="C11" i="22"/>
  <c r="D10" i="22"/>
  <c r="B10" i="22"/>
  <c r="C10" i="22"/>
  <c r="D9" i="22"/>
  <c r="B9" i="22"/>
  <c r="C9" i="22"/>
  <c r="D8" i="22"/>
  <c r="D7" i="22"/>
  <c r="B7" i="22"/>
  <c r="C7" i="22"/>
  <c r="D6" i="22"/>
  <c r="B6" i="22"/>
  <c r="C6" i="22"/>
  <c r="D5" i="22"/>
  <c r="B5" i="22"/>
  <c r="C5" i="22"/>
  <c r="D4" i="22"/>
  <c r="B4" i="22"/>
  <c r="C4" i="22"/>
  <c r="D3" i="22"/>
  <c r="B3" i="22"/>
  <c r="C3" i="22"/>
  <c r="D2" i="22"/>
  <c r="B2" i="22"/>
  <c r="C2" i="22"/>
  <c r="D54" i="21"/>
  <c r="B54" i="21"/>
  <c r="C54" i="21"/>
  <c r="D53" i="21"/>
  <c r="B53" i="21"/>
  <c r="C53" i="21"/>
  <c r="B52" i="21"/>
  <c r="C52" i="21"/>
  <c r="D51" i="21"/>
  <c r="B51" i="21"/>
  <c r="C51" i="21"/>
  <c r="D50" i="21"/>
  <c r="B50" i="21"/>
  <c r="C50" i="21"/>
  <c r="D49" i="21"/>
  <c r="B49" i="21"/>
  <c r="C49" i="21"/>
  <c r="D48" i="21"/>
  <c r="B48" i="21"/>
  <c r="C48" i="21"/>
  <c r="D47" i="21"/>
  <c r="B47" i="21"/>
  <c r="C47" i="21"/>
  <c r="D46" i="21"/>
  <c r="B46" i="21"/>
  <c r="C46" i="21"/>
  <c r="B45" i="21"/>
  <c r="C45" i="21"/>
  <c r="D44" i="21"/>
  <c r="B44" i="21"/>
  <c r="C44" i="21"/>
  <c r="D43" i="21"/>
  <c r="B43" i="21"/>
  <c r="C43" i="21"/>
  <c r="D42" i="21"/>
  <c r="B42" i="21"/>
  <c r="C42" i="21"/>
  <c r="D41" i="21"/>
  <c r="B41" i="21"/>
  <c r="C41" i="21"/>
  <c r="D40" i="21"/>
  <c r="B40" i="21"/>
  <c r="C40" i="21"/>
  <c r="D39" i="21"/>
  <c r="B39" i="21"/>
  <c r="C39" i="21"/>
  <c r="D38" i="21"/>
  <c r="B38" i="21"/>
  <c r="C38" i="21"/>
  <c r="D37" i="21"/>
  <c r="B37" i="21"/>
  <c r="C37" i="21"/>
  <c r="D36" i="21"/>
  <c r="B36" i="21"/>
  <c r="C36" i="21"/>
  <c r="D35" i="21"/>
  <c r="B35" i="21"/>
  <c r="C35" i="21"/>
  <c r="D34" i="21"/>
  <c r="B33" i="21"/>
  <c r="C33" i="21"/>
  <c r="D32" i="21"/>
  <c r="B32" i="21"/>
  <c r="C32" i="21"/>
  <c r="B31" i="21"/>
  <c r="C31" i="21"/>
  <c r="B30" i="21"/>
  <c r="C30" i="21"/>
  <c r="D29" i="21"/>
  <c r="B29" i="21"/>
  <c r="C29" i="21"/>
  <c r="D28" i="21"/>
  <c r="B28" i="21"/>
  <c r="C28" i="21"/>
  <c r="D27" i="21"/>
  <c r="B27" i="21"/>
  <c r="C27" i="21"/>
  <c r="D26" i="21"/>
  <c r="B26" i="21"/>
  <c r="C26" i="21"/>
  <c r="D25" i="21"/>
  <c r="B25" i="21"/>
  <c r="C25" i="21"/>
  <c r="B24" i="21"/>
  <c r="C24" i="21"/>
  <c r="B23" i="21"/>
  <c r="C23" i="21"/>
  <c r="B22" i="21"/>
  <c r="C22" i="21"/>
  <c r="B21" i="21"/>
  <c r="C21" i="21"/>
  <c r="B20" i="21"/>
  <c r="C20" i="21"/>
  <c r="B19" i="21"/>
  <c r="C19" i="21"/>
  <c r="B18" i="21"/>
  <c r="C18" i="21"/>
  <c r="D17" i="21"/>
  <c r="B17" i="21"/>
  <c r="C17" i="21"/>
  <c r="B16" i="21"/>
  <c r="C16" i="21"/>
  <c r="B15" i="21"/>
  <c r="C15" i="21"/>
  <c r="B14" i="21"/>
  <c r="C14" i="21"/>
  <c r="B13" i="21"/>
  <c r="C13" i="21"/>
  <c r="D12" i="21"/>
  <c r="B12" i="21"/>
  <c r="C12" i="21"/>
  <c r="D11" i="21"/>
  <c r="B11" i="21"/>
  <c r="C11" i="21"/>
  <c r="D10" i="21"/>
  <c r="B10" i="21"/>
  <c r="C10" i="21"/>
  <c r="D9" i="21"/>
  <c r="B9" i="21"/>
  <c r="C9" i="21"/>
  <c r="D8" i="21"/>
  <c r="D7" i="21"/>
  <c r="B7" i="21"/>
  <c r="C7" i="21"/>
  <c r="D6" i="21"/>
  <c r="B6" i="21"/>
  <c r="C6" i="21"/>
  <c r="D5" i="21"/>
  <c r="B5" i="21"/>
  <c r="C5" i="21"/>
  <c r="D4" i="21"/>
  <c r="B4" i="21"/>
  <c r="C4" i="21"/>
  <c r="D3" i="21"/>
  <c r="B3" i="21"/>
  <c r="C3" i="21"/>
  <c r="D2" i="21"/>
  <c r="B2" i="21"/>
  <c r="C2" i="21"/>
  <c r="B55" i="20"/>
  <c r="B54" i="20"/>
  <c r="B53" i="20"/>
  <c r="B52" i="20"/>
  <c r="B51" i="20"/>
  <c r="B50" i="20"/>
  <c r="C50" i="20"/>
  <c r="D49" i="20"/>
  <c r="B49" i="20"/>
  <c r="C49" i="20"/>
  <c r="D48" i="20"/>
  <c r="B48" i="20"/>
  <c r="C48" i="20"/>
  <c r="D47" i="20"/>
  <c r="B47" i="20"/>
  <c r="C47" i="20"/>
  <c r="D46" i="20"/>
  <c r="B46" i="20"/>
  <c r="C46" i="20"/>
  <c r="D45" i="20"/>
  <c r="B45" i="20"/>
  <c r="C45" i="20"/>
  <c r="D44" i="20"/>
  <c r="B44" i="20"/>
  <c r="C44" i="20"/>
  <c r="B43" i="20"/>
  <c r="C43" i="20"/>
  <c r="D42" i="20"/>
  <c r="B42" i="20"/>
  <c r="C42" i="20"/>
  <c r="D41" i="20"/>
  <c r="B41" i="20"/>
  <c r="C41" i="20"/>
  <c r="D40" i="20"/>
  <c r="B40" i="20"/>
  <c r="C40" i="20"/>
  <c r="D39" i="20"/>
  <c r="B39" i="20"/>
  <c r="C39" i="20"/>
  <c r="D38" i="20"/>
  <c r="B38" i="20"/>
  <c r="C38" i="20"/>
  <c r="D37" i="20"/>
  <c r="B37" i="20"/>
  <c r="C37" i="20"/>
  <c r="D36" i="20"/>
  <c r="B36" i="20"/>
  <c r="C36" i="20"/>
  <c r="D35" i="20"/>
  <c r="B35" i="20"/>
  <c r="C35" i="20"/>
  <c r="D34" i="20"/>
  <c r="B33" i="20"/>
  <c r="C33" i="20"/>
  <c r="D32" i="20"/>
  <c r="B32" i="20"/>
  <c r="C32" i="20"/>
  <c r="B31" i="20"/>
  <c r="C31" i="20"/>
  <c r="B30" i="20"/>
  <c r="C30" i="20"/>
  <c r="D29" i="20"/>
  <c r="B29" i="20"/>
  <c r="C29" i="20"/>
  <c r="D28" i="20"/>
  <c r="B28" i="20"/>
  <c r="C28" i="20"/>
  <c r="D27" i="20"/>
  <c r="B27" i="20"/>
  <c r="C27" i="20"/>
  <c r="D26" i="20"/>
  <c r="B26" i="20"/>
  <c r="C26" i="20"/>
  <c r="D25" i="20"/>
  <c r="B25" i="20"/>
  <c r="C25" i="20"/>
  <c r="B24" i="20"/>
  <c r="C24" i="20"/>
  <c r="B23" i="20"/>
  <c r="C23" i="20"/>
  <c r="B22" i="20"/>
  <c r="C22" i="20"/>
  <c r="B21" i="20"/>
  <c r="C21" i="20"/>
  <c r="B20" i="20"/>
  <c r="C20" i="20"/>
  <c r="B19" i="20"/>
  <c r="C19" i="20"/>
  <c r="B18" i="20"/>
  <c r="C18" i="20"/>
  <c r="D17" i="20"/>
  <c r="B17" i="20"/>
  <c r="C17" i="20"/>
  <c r="B16" i="20"/>
  <c r="C16" i="20"/>
  <c r="B15" i="20"/>
  <c r="C15" i="20"/>
  <c r="B14" i="20"/>
  <c r="C14" i="20"/>
  <c r="B13" i="20"/>
  <c r="C13" i="20"/>
  <c r="D12" i="20"/>
  <c r="B12" i="20"/>
  <c r="C12" i="20"/>
  <c r="D11" i="20"/>
  <c r="B11" i="20"/>
  <c r="C11" i="20"/>
  <c r="D10" i="20"/>
  <c r="B10" i="20"/>
  <c r="C10" i="20"/>
  <c r="D9" i="20"/>
  <c r="B9" i="20"/>
  <c r="C9" i="20"/>
  <c r="D8" i="20"/>
  <c r="D7" i="20"/>
  <c r="B7" i="20"/>
  <c r="C7" i="20"/>
  <c r="D6" i="20"/>
  <c r="B6" i="20"/>
  <c r="C6" i="20"/>
  <c r="D5" i="20"/>
  <c r="B5" i="20"/>
  <c r="C5" i="20"/>
  <c r="D4" i="20"/>
  <c r="B4" i="20"/>
  <c r="C4" i="20"/>
  <c r="D3" i="20"/>
  <c r="B3" i="20"/>
  <c r="C3" i="20"/>
  <c r="D2" i="20"/>
  <c r="B2" i="20"/>
  <c r="C2" i="20"/>
  <c r="B55" i="19"/>
  <c r="B54" i="19"/>
  <c r="B53" i="19"/>
  <c r="B52" i="19"/>
  <c r="B51" i="19"/>
  <c r="B50" i="19"/>
  <c r="C50" i="19"/>
  <c r="D49" i="19"/>
  <c r="B49" i="19"/>
  <c r="C49" i="19"/>
  <c r="D48" i="19"/>
  <c r="B48" i="19"/>
  <c r="C48" i="19"/>
  <c r="D47" i="19"/>
  <c r="B47" i="19"/>
  <c r="C47" i="19"/>
  <c r="D46" i="19"/>
  <c r="B46" i="19"/>
  <c r="C46" i="19"/>
  <c r="D45" i="19"/>
  <c r="B45" i="19"/>
  <c r="C45" i="19"/>
  <c r="D44" i="19"/>
  <c r="B44" i="19"/>
  <c r="C44" i="19"/>
  <c r="B43" i="19"/>
  <c r="C43" i="19"/>
  <c r="D42" i="19"/>
  <c r="B42" i="19"/>
  <c r="C42" i="19"/>
  <c r="D41" i="19"/>
  <c r="B41" i="19"/>
  <c r="C41" i="19"/>
  <c r="D40" i="19"/>
  <c r="B40" i="19"/>
  <c r="C40" i="19"/>
  <c r="D39" i="19"/>
  <c r="B39" i="19"/>
  <c r="C39" i="19"/>
  <c r="D38" i="19"/>
  <c r="B38" i="19"/>
  <c r="C38" i="19"/>
  <c r="D37" i="19"/>
  <c r="B37" i="19"/>
  <c r="C37" i="19"/>
  <c r="D36" i="19"/>
  <c r="B36" i="19"/>
  <c r="C36" i="19"/>
  <c r="D35" i="19"/>
  <c r="B35" i="19"/>
  <c r="C35" i="19"/>
  <c r="D34" i="19"/>
  <c r="B34" i="19"/>
  <c r="C34" i="19"/>
  <c r="D33" i="19"/>
  <c r="B32" i="19"/>
  <c r="C32" i="19"/>
  <c r="D31" i="19"/>
  <c r="B31" i="19"/>
  <c r="C31" i="19"/>
  <c r="B30" i="19"/>
  <c r="C30" i="19"/>
  <c r="B29" i="19"/>
  <c r="C29" i="19"/>
  <c r="D28" i="19"/>
  <c r="B28" i="19"/>
  <c r="C28" i="19"/>
  <c r="D27" i="19"/>
  <c r="B27" i="19"/>
  <c r="C27" i="19"/>
  <c r="D26" i="19"/>
  <c r="B26" i="19"/>
  <c r="C26" i="19"/>
  <c r="D25" i="19"/>
  <c r="B25" i="19"/>
  <c r="C25" i="19"/>
  <c r="D24" i="19"/>
  <c r="B24" i="19"/>
  <c r="C24" i="19"/>
  <c r="B23" i="19"/>
  <c r="C23" i="19"/>
  <c r="B22" i="19"/>
  <c r="C22" i="19"/>
  <c r="B21" i="19"/>
  <c r="C21" i="19"/>
  <c r="B20" i="19"/>
  <c r="C20" i="19"/>
  <c r="B19" i="19"/>
  <c r="C19" i="19"/>
  <c r="B18" i="19"/>
  <c r="C18" i="19"/>
  <c r="B17" i="19"/>
  <c r="C17" i="19"/>
  <c r="D16" i="19"/>
  <c r="B16" i="19"/>
  <c r="C16" i="19"/>
  <c r="B15" i="19"/>
  <c r="C15" i="19"/>
  <c r="B14" i="19"/>
  <c r="C14" i="19"/>
  <c r="B13" i="19"/>
  <c r="C13" i="19"/>
  <c r="B12" i="19"/>
  <c r="C12" i="19"/>
  <c r="D11" i="19"/>
  <c r="B11" i="19"/>
  <c r="C11" i="19"/>
  <c r="D10" i="19"/>
  <c r="B10" i="19"/>
  <c r="C10" i="19"/>
  <c r="D9" i="19"/>
  <c r="B9" i="19"/>
  <c r="C9" i="19"/>
  <c r="D8" i="19"/>
  <c r="B8" i="19"/>
  <c r="C8" i="19"/>
  <c r="D7" i="19"/>
  <c r="D6" i="19"/>
  <c r="B6" i="19"/>
  <c r="C6" i="19"/>
  <c r="D5" i="19"/>
  <c r="B5" i="19"/>
  <c r="C5" i="19"/>
  <c r="D4" i="19"/>
  <c r="B4" i="19"/>
  <c r="C4" i="19"/>
  <c r="D3" i="19"/>
  <c r="B3" i="19"/>
  <c r="C3" i="19"/>
  <c r="D2" i="19"/>
  <c r="B2" i="19"/>
  <c r="C2" i="19"/>
  <c r="B55" i="18"/>
  <c r="B54" i="18"/>
  <c r="B53" i="18"/>
  <c r="B52" i="18"/>
  <c r="B51" i="18"/>
  <c r="C50" i="18"/>
  <c r="B50" i="18"/>
  <c r="C49" i="18"/>
  <c r="B49" i="18"/>
  <c r="D48" i="18"/>
  <c r="C48" i="18"/>
  <c r="B47" i="18"/>
  <c r="D46" i="18"/>
  <c r="C46" i="18"/>
  <c r="B46" i="18"/>
  <c r="D45" i="18"/>
  <c r="B45" i="18"/>
  <c r="C45" i="18"/>
  <c r="D44" i="18"/>
  <c r="B44" i="18"/>
  <c r="C44" i="18"/>
  <c r="D43" i="18"/>
  <c r="B43" i="18"/>
  <c r="C43" i="18"/>
  <c r="D42" i="18"/>
  <c r="B42" i="18"/>
  <c r="C42" i="18"/>
  <c r="D41" i="18"/>
  <c r="B41" i="18"/>
  <c r="C41" i="18"/>
  <c r="C40" i="18"/>
  <c r="B40" i="18"/>
  <c r="D39" i="18"/>
  <c r="B39" i="18"/>
  <c r="C39" i="18"/>
  <c r="D38" i="18"/>
  <c r="B38" i="18"/>
  <c r="C38" i="18"/>
  <c r="D37" i="18"/>
  <c r="B37" i="18"/>
  <c r="C37" i="18"/>
  <c r="D36" i="18"/>
  <c r="B36" i="18"/>
  <c r="C36" i="18"/>
  <c r="D35" i="18"/>
  <c r="B35" i="18"/>
  <c r="C35" i="18"/>
  <c r="D34" i="18"/>
  <c r="B34" i="18"/>
  <c r="C34" i="18"/>
  <c r="D33" i="18"/>
  <c r="B33" i="18"/>
  <c r="C33" i="18"/>
  <c r="B32" i="18"/>
  <c r="C32" i="18"/>
  <c r="D31" i="18"/>
  <c r="B31" i="18"/>
  <c r="C31" i="18"/>
  <c r="B30" i="18"/>
  <c r="C30" i="18"/>
  <c r="B29" i="18"/>
  <c r="C29" i="18"/>
  <c r="D28" i="18"/>
  <c r="B28" i="18"/>
  <c r="C28" i="18"/>
  <c r="D27" i="18"/>
  <c r="B27" i="18"/>
  <c r="C27" i="18"/>
  <c r="D26" i="18"/>
  <c r="B26" i="18"/>
  <c r="C26" i="18"/>
  <c r="D25" i="18"/>
  <c r="B25" i="18"/>
  <c r="D24" i="18"/>
  <c r="B24" i="18"/>
  <c r="C24" i="18"/>
  <c r="B23" i="18"/>
  <c r="C23" i="18"/>
  <c r="B22" i="18"/>
  <c r="C22" i="18"/>
  <c r="B21" i="18"/>
  <c r="C21" i="18"/>
  <c r="C20" i="18"/>
  <c r="B20" i="18"/>
  <c r="B19" i="18"/>
  <c r="C19" i="18"/>
  <c r="C18" i="18"/>
  <c r="B18" i="18"/>
  <c r="C17" i="18"/>
  <c r="B17" i="18"/>
  <c r="D16" i="18"/>
  <c r="B16" i="18"/>
  <c r="C16" i="18"/>
  <c r="B15" i="18"/>
  <c r="C15" i="18"/>
  <c r="E14" i="18"/>
  <c r="B14" i="18"/>
  <c r="C14" i="18"/>
  <c r="B13" i="18"/>
  <c r="C13" i="18"/>
  <c r="B12" i="18"/>
  <c r="C12" i="18"/>
  <c r="D11" i="18"/>
  <c r="B11" i="18"/>
  <c r="C11" i="18"/>
  <c r="D10" i="18"/>
  <c r="B10" i="18"/>
  <c r="C10" i="18"/>
  <c r="D9" i="18"/>
  <c r="C9" i="18"/>
  <c r="B9" i="18"/>
  <c r="D8" i="18"/>
  <c r="B8" i="18"/>
  <c r="C8" i="18"/>
  <c r="D7" i="18"/>
  <c r="B7" i="18"/>
  <c r="C7" i="18"/>
  <c r="G6" i="18"/>
  <c r="E6" i="18"/>
  <c r="D6" i="18"/>
  <c r="C6" i="18"/>
  <c r="B6" i="18"/>
  <c r="D5" i="18"/>
  <c r="C5" i="18"/>
  <c r="B5" i="18"/>
  <c r="D4" i="18"/>
  <c r="C4" i="18"/>
  <c r="B4" i="18"/>
  <c r="D3" i="18"/>
  <c r="C3" i="18"/>
  <c r="B3" i="18"/>
  <c r="D2" i="18"/>
  <c r="B2" i="18"/>
  <c r="C2" i="18"/>
  <c r="B55" i="17"/>
  <c r="B54" i="17"/>
  <c r="B53" i="17"/>
  <c r="B52" i="17"/>
  <c r="B51" i="17"/>
  <c r="C50" i="17"/>
  <c r="B50" i="17"/>
  <c r="C49" i="17"/>
  <c r="B49" i="17"/>
  <c r="C48" i="17"/>
  <c r="B48" i="17"/>
  <c r="C47" i="17"/>
  <c r="B47" i="17"/>
  <c r="I46" i="17"/>
  <c r="G46" i="17"/>
  <c r="E46" i="17"/>
  <c r="D46" i="17"/>
  <c r="C46" i="17"/>
  <c r="B46" i="17"/>
  <c r="D45" i="17"/>
  <c r="B45" i="17"/>
  <c r="C45" i="17"/>
  <c r="D44" i="17"/>
  <c r="B44" i="17"/>
  <c r="C44" i="17"/>
  <c r="D43" i="17"/>
  <c r="B43" i="17"/>
  <c r="C43" i="17"/>
  <c r="I42" i="17"/>
  <c r="G42" i="17"/>
  <c r="E42" i="17"/>
  <c r="D42" i="17"/>
  <c r="B42" i="17"/>
  <c r="C42" i="17"/>
  <c r="D41" i="17"/>
  <c r="B41" i="17"/>
  <c r="C41" i="17"/>
  <c r="C40" i="17"/>
  <c r="B40" i="17"/>
  <c r="D39" i="17"/>
  <c r="B39" i="17"/>
  <c r="C39" i="17"/>
  <c r="D38" i="17"/>
  <c r="B38" i="17"/>
  <c r="C38" i="17"/>
  <c r="E37" i="17"/>
  <c r="D37" i="17"/>
  <c r="B37" i="17"/>
  <c r="C37" i="17"/>
  <c r="D36" i="17"/>
  <c r="B36" i="17"/>
  <c r="C36" i="17"/>
  <c r="D35" i="17"/>
  <c r="B35" i="17"/>
  <c r="C35" i="17"/>
  <c r="D34" i="17"/>
  <c r="B34" i="17"/>
  <c r="C34" i="17"/>
  <c r="D33" i="17"/>
  <c r="B33" i="17"/>
  <c r="C33" i="17"/>
  <c r="E32" i="17"/>
  <c r="B32" i="17"/>
  <c r="C32" i="17"/>
  <c r="E31" i="17"/>
  <c r="D31" i="17"/>
  <c r="B31" i="17"/>
  <c r="C31" i="17"/>
  <c r="B30" i="17"/>
  <c r="C30" i="17"/>
  <c r="E29" i="17"/>
  <c r="B29" i="17"/>
  <c r="C29" i="17"/>
  <c r="E28" i="17"/>
  <c r="D28" i="17"/>
  <c r="B28" i="17"/>
  <c r="C28" i="17"/>
  <c r="D27" i="17"/>
  <c r="B27" i="17"/>
  <c r="C27" i="17"/>
  <c r="D26" i="17"/>
  <c r="B26" i="17"/>
  <c r="C26" i="17"/>
  <c r="D25" i="17"/>
  <c r="B25" i="17"/>
  <c r="D24" i="17"/>
  <c r="B24" i="17"/>
  <c r="C24" i="17"/>
  <c r="B23" i="17"/>
  <c r="C23" i="17"/>
  <c r="B22" i="17"/>
  <c r="C22" i="17"/>
  <c r="B21" i="17"/>
  <c r="C21" i="17"/>
  <c r="C20" i="17"/>
  <c r="B20" i="17"/>
  <c r="B19" i="17"/>
  <c r="C19" i="17"/>
  <c r="C18" i="17"/>
  <c r="B18" i="17"/>
  <c r="C17" i="17"/>
  <c r="B17" i="17"/>
  <c r="D16" i="17"/>
  <c r="B16" i="17"/>
  <c r="C16" i="17"/>
  <c r="B15" i="17"/>
  <c r="C15" i="17"/>
  <c r="B14" i="17"/>
  <c r="C14" i="17"/>
  <c r="B13" i="17"/>
  <c r="C13" i="17"/>
  <c r="B12" i="17"/>
  <c r="C12" i="17"/>
  <c r="D11" i="17"/>
  <c r="B11" i="17"/>
  <c r="C11" i="17"/>
  <c r="D10" i="17"/>
  <c r="B10" i="17"/>
  <c r="C10" i="17"/>
  <c r="D9" i="17"/>
  <c r="C9" i="17"/>
  <c r="B9" i="17"/>
  <c r="G8" i="17"/>
  <c r="E8" i="17"/>
  <c r="D8" i="17"/>
  <c r="B8" i="17"/>
  <c r="C8" i="17"/>
  <c r="D7" i="17"/>
  <c r="B7" i="17"/>
  <c r="C7" i="17"/>
  <c r="E6" i="17"/>
  <c r="D6" i="17"/>
  <c r="C6" i="17"/>
  <c r="B6" i="17"/>
  <c r="D5" i="17"/>
  <c r="C5" i="17"/>
  <c r="B5" i="17"/>
  <c r="I4" i="17"/>
  <c r="G4" i="17"/>
  <c r="E4" i="17"/>
  <c r="D4" i="17"/>
  <c r="C4" i="17"/>
  <c r="B4" i="17"/>
  <c r="D3" i="17"/>
  <c r="B3" i="17"/>
  <c r="C3" i="17"/>
  <c r="D2" i="17"/>
  <c r="B2" i="17"/>
  <c r="C2" i="17"/>
  <c r="D72" i="16"/>
  <c r="D71" i="16"/>
  <c r="D70" i="16"/>
  <c r="D68" i="16"/>
  <c r="D67" i="16"/>
  <c r="D66" i="16"/>
  <c r="D65" i="16"/>
  <c r="D64" i="16"/>
  <c r="D63" i="16"/>
  <c r="D62" i="16"/>
  <c r="D61" i="16"/>
  <c r="D60" i="16"/>
  <c r="B55" i="16"/>
  <c r="B54" i="16"/>
  <c r="B53" i="16"/>
  <c r="B52" i="16"/>
  <c r="B51" i="16"/>
  <c r="B50" i="16"/>
  <c r="B49" i="16"/>
  <c r="B48" i="16"/>
  <c r="B47" i="16"/>
  <c r="B46" i="16"/>
  <c r="C45" i="16"/>
  <c r="B45" i="16"/>
  <c r="F44" i="16"/>
  <c r="E44" i="16"/>
  <c r="D44" i="16"/>
  <c r="C44" i="16"/>
  <c r="B44" i="16"/>
  <c r="H43" i="16"/>
  <c r="F43" i="16"/>
  <c r="E43" i="16"/>
  <c r="D43" i="16"/>
  <c r="B43" i="16"/>
  <c r="C43" i="16"/>
  <c r="D42" i="16"/>
  <c r="B42" i="16"/>
  <c r="C42" i="16"/>
  <c r="D41" i="16"/>
  <c r="B41" i="16"/>
  <c r="C41" i="16"/>
  <c r="F40" i="16"/>
  <c r="E40" i="16"/>
  <c r="D40" i="16"/>
  <c r="B40" i="16"/>
  <c r="C40" i="16"/>
  <c r="F39" i="16"/>
  <c r="E39" i="16"/>
  <c r="D39" i="16"/>
  <c r="B39" i="16"/>
  <c r="C39" i="16"/>
  <c r="C38" i="16"/>
  <c r="B38" i="16"/>
  <c r="D37" i="16"/>
  <c r="B37" i="16"/>
  <c r="C37" i="16"/>
  <c r="D36" i="16"/>
  <c r="B36" i="16"/>
  <c r="C36" i="16"/>
  <c r="F35" i="16"/>
  <c r="E35" i="16"/>
  <c r="D35" i="16"/>
  <c r="B35" i="16"/>
  <c r="C35" i="16"/>
  <c r="D34" i="16"/>
  <c r="B34" i="16"/>
  <c r="C34" i="16"/>
  <c r="E33" i="16"/>
  <c r="D33" i="16"/>
  <c r="B33" i="16"/>
  <c r="C33" i="16"/>
  <c r="D32" i="16"/>
  <c r="B32" i="16"/>
  <c r="C32" i="16"/>
  <c r="D31" i="16"/>
  <c r="B31" i="16"/>
  <c r="C31" i="16"/>
  <c r="T30" i="16"/>
  <c r="R30" i="16"/>
  <c r="P30" i="16"/>
  <c r="N30" i="16"/>
  <c r="L30" i="16"/>
  <c r="J30" i="16"/>
  <c r="H30" i="16"/>
  <c r="F30" i="16"/>
  <c r="E30" i="16"/>
  <c r="B30" i="16"/>
  <c r="C30" i="16"/>
  <c r="P29" i="16"/>
  <c r="N29" i="16"/>
  <c r="L29" i="16"/>
  <c r="J29" i="16"/>
  <c r="H29" i="16"/>
  <c r="F29" i="16"/>
  <c r="E29" i="16"/>
  <c r="D29" i="16"/>
  <c r="B29" i="16"/>
  <c r="C29" i="16"/>
  <c r="B28" i="16"/>
  <c r="C28" i="16"/>
  <c r="F27" i="16"/>
  <c r="E27" i="16"/>
  <c r="B27" i="16"/>
  <c r="C27" i="16"/>
  <c r="H26" i="16"/>
  <c r="F26" i="16"/>
  <c r="E26" i="16"/>
  <c r="D26" i="16"/>
  <c r="B26" i="16"/>
  <c r="C26" i="16"/>
  <c r="J25" i="16"/>
  <c r="H25" i="16"/>
  <c r="F25" i="16"/>
  <c r="E25" i="16"/>
  <c r="D25" i="16"/>
  <c r="B25" i="16"/>
  <c r="C25" i="16"/>
  <c r="F24" i="16"/>
  <c r="E24" i="16"/>
  <c r="D24" i="16"/>
  <c r="B24" i="16"/>
  <c r="C24" i="16"/>
  <c r="D23" i="16"/>
  <c r="B23" i="16"/>
  <c r="D22" i="16"/>
  <c r="B22" i="16"/>
  <c r="C22" i="16"/>
  <c r="B21" i="16"/>
  <c r="C21" i="16"/>
  <c r="B20" i="16"/>
  <c r="C20" i="16"/>
  <c r="B19" i="16"/>
  <c r="C19" i="16"/>
  <c r="H18" i="16"/>
  <c r="E18" i="16"/>
  <c r="C18" i="16"/>
  <c r="B18" i="16"/>
  <c r="B17" i="16"/>
  <c r="C17" i="16"/>
  <c r="D16" i="16"/>
  <c r="B16" i="16"/>
  <c r="C16" i="16"/>
  <c r="B15" i="16"/>
  <c r="C15" i="16"/>
  <c r="F14" i="16"/>
  <c r="E14" i="16"/>
  <c r="B14" i="16"/>
  <c r="C14" i="16"/>
  <c r="B13" i="16"/>
  <c r="C13" i="16"/>
  <c r="E12" i="16"/>
  <c r="B12" i="16"/>
  <c r="C12" i="16"/>
  <c r="D11" i="16"/>
  <c r="B11" i="16"/>
  <c r="C11" i="16"/>
  <c r="D10" i="16"/>
  <c r="B10" i="16"/>
  <c r="C10" i="16"/>
  <c r="D9" i="16"/>
  <c r="C9" i="16"/>
  <c r="B9" i="16"/>
  <c r="J8" i="16"/>
  <c r="H8" i="16"/>
  <c r="F8" i="16"/>
  <c r="E8" i="16"/>
  <c r="D8" i="16"/>
  <c r="B8" i="16"/>
  <c r="C8" i="16"/>
  <c r="D7" i="16"/>
  <c r="B7" i="16"/>
  <c r="C7" i="16"/>
  <c r="E6" i="16"/>
  <c r="D6" i="16"/>
  <c r="C6" i="16"/>
  <c r="B6" i="16"/>
  <c r="E5" i="16"/>
  <c r="D5" i="16"/>
  <c r="C5" i="16"/>
  <c r="B5" i="16"/>
  <c r="E4" i="16"/>
  <c r="D4" i="16"/>
  <c r="C4" i="16"/>
  <c r="B4" i="16"/>
  <c r="D3" i="16"/>
  <c r="B3" i="16"/>
  <c r="C3" i="16"/>
  <c r="D2" i="16"/>
  <c r="B2" i="16"/>
  <c r="C2" i="16"/>
  <c r="B37" i="15"/>
  <c r="C37" i="15"/>
  <c r="E36" i="15"/>
  <c r="D36" i="15"/>
  <c r="B36" i="15"/>
  <c r="C36" i="15"/>
  <c r="D35" i="15"/>
  <c r="B35" i="15"/>
  <c r="C35" i="15"/>
  <c r="D34" i="15"/>
  <c r="B34" i="15"/>
  <c r="C34" i="15"/>
  <c r="E33" i="15"/>
  <c r="D33" i="15"/>
  <c r="B33" i="15"/>
  <c r="C33" i="15"/>
  <c r="K32" i="15"/>
  <c r="I32" i="15"/>
  <c r="G32" i="15"/>
  <c r="E32" i="15"/>
  <c r="D32" i="15"/>
  <c r="B32" i="15"/>
  <c r="C32" i="15"/>
  <c r="D31" i="15"/>
  <c r="B31" i="15"/>
  <c r="C31" i="15"/>
  <c r="D30" i="15"/>
  <c r="B30" i="15"/>
  <c r="C30" i="15"/>
  <c r="D29" i="15"/>
  <c r="B29" i="15"/>
  <c r="C29" i="15"/>
  <c r="D28" i="15"/>
  <c r="B28" i="15"/>
  <c r="C28" i="15"/>
  <c r="M27" i="15"/>
  <c r="K27" i="15"/>
  <c r="I27" i="15"/>
  <c r="G27" i="15"/>
  <c r="E27" i="15"/>
  <c r="D27" i="15"/>
  <c r="B27" i="15"/>
  <c r="C27" i="15"/>
  <c r="E26" i="15"/>
  <c r="D26" i="15"/>
  <c r="B26" i="15"/>
  <c r="C26" i="15"/>
  <c r="D25" i="15"/>
  <c r="B25" i="15"/>
  <c r="C25" i="15"/>
  <c r="I24" i="15"/>
  <c r="G24" i="15"/>
  <c r="E24" i="15"/>
  <c r="B24" i="15"/>
  <c r="C24" i="15"/>
  <c r="E23" i="15"/>
  <c r="D23" i="15"/>
  <c r="B23" i="15"/>
  <c r="C23" i="15"/>
  <c r="B22" i="15"/>
  <c r="C22" i="15"/>
  <c r="G21" i="15"/>
  <c r="E21" i="15"/>
  <c r="D21" i="15"/>
  <c r="B21" i="15"/>
  <c r="C21" i="15"/>
  <c r="D20" i="15"/>
  <c r="B20" i="15"/>
  <c r="C20" i="15"/>
  <c r="D19" i="15"/>
  <c r="B19" i="15"/>
  <c r="C19" i="15"/>
  <c r="D18" i="15"/>
  <c r="B18" i="15"/>
  <c r="D17" i="15"/>
  <c r="B17" i="15"/>
  <c r="C17" i="15"/>
  <c r="B16" i="15"/>
  <c r="C16" i="15"/>
  <c r="E15" i="15"/>
  <c r="B15" i="15"/>
  <c r="C15" i="15"/>
  <c r="E14" i="15"/>
  <c r="B14" i="15"/>
  <c r="C14" i="15"/>
  <c r="E13" i="15"/>
  <c r="B13" i="15"/>
  <c r="C13" i="15"/>
  <c r="D12" i="15"/>
  <c r="B12" i="15"/>
  <c r="C12" i="15"/>
  <c r="E11" i="15"/>
  <c r="B11" i="15"/>
  <c r="C11" i="15"/>
  <c r="B10" i="15"/>
  <c r="B9" i="15"/>
  <c r="C9" i="15"/>
  <c r="B8" i="15"/>
  <c r="D7" i="15"/>
  <c r="B7" i="15"/>
  <c r="C7" i="15"/>
  <c r="D6" i="15"/>
  <c r="B6" i="15"/>
  <c r="C6" i="15"/>
  <c r="O5" i="15"/>
  <c r="M5" i="15"/>
  <c r="K5" i="15"/>
  <c r="I5" i="15"/>
  <c r="G5" i="15"/>
  <c r="E5" i="15"/>
  <c r="D5" i="15"/>
  <c r="B5" i="15"/>
  <c r="C5" i="15"/>
  <c r="D4" i="15"/>
  <c r="B4" i="15"/>
  <c r="C4" i="15"/>
  <c r="D3" i="15"/>
  <c r="B3" i="15"/>
  <c r="C3" i="15"/>
  <c r="E2" i="15"/>
  <c r="D2" i="15"/>
  <c r="B2" i="15"/>
  <c r="C2" i="15"/>
  <c r="D47" i="14"/>
  <c r="D44" i="14"/>
  <c r="D43" i="14"/>
  <c r="D42" i="14"/>
  <c r="E31" i="14"/>
  <c r="B31" i="14"/>
  <c r="C31" i="14"/>
  <c r="D30" i="14"/>
  <c r="B30" i="14"/>
  <c r="C30" i="14"/>
  <c r="D29" i="14"/>
  <c r="B29" i="14"/>
  <c r="C29" i="14"/>
  <c r="G28" i="14"/>
  <c r="E28" i="14"/>
  <c r="D28" i="14"/>
  <c r="B28" i="14"/>
  <c r="C28" i="14"/>
  <c r="D27" i="14"/>
  <c r="B27" i="14"/>
  <c r="C27" i="14"/>
  <c r="D26" i="14"/>
  <c r="B26" i="14"/>
  <c r="C26" i="14"/>
  <c r="D25" i="14"/>
  <c r="B25" i="14"/>
  <c r="C25" i="14"/>
  <c r="E24" i="14"/>
  <c r="D24" i="14"/>
  <c r="B24" i="14"/>
  <c r="C24" i="14"/>
  <c r="D23" i="14"/>
  <c r="B23" i="14"/>
  <c r="C23" i="14"/>
  <c r="D22" i="14"/>
  <c r="B22" i="14"/>
  <c r="C22" i="14"/>
  <c r="D21" i="14"/>
  <c r="B21" i="14"/>
  <c r="C21" i="14"/>
  <c r="D20" i="14"/>
  <c r="B20" i="14"/>
  <c r="C20" i="14"/>
  <c r="E19" i="14"/>
  <c r="D19" i="14"/>
  <c r="B19" i="14"/>
  <c r="C19" i="14"/>
  <c r="E18" i="14"/>
  <c r="B18" i="14"/>
  <c r="C18" i="14"/>
  <c r="E17" i="14"/>
  <c r="D17" i="14"/>
  <c r="B17" i="14"/>
  <c r="C17" i="14"/>
  <c r="E16" i="14"/>
  <c r="D16" i="14"/>
  <c r="B16" i="14"/>
  <c r="C16" i="14"/>
  <c r="D15" i="14"/>
  <c r="B15" i="14"/>
  <c r="C15" i="14"/>
  <c r="D14" i="14"/>
  <c r="B14" i="14"/>
  <c r="D13" i="14"/>
  <c r="B13" i="14"/>
  <c r="C13" i="14"/>
  <c r="E12" i="14"/>
  <c r="B12" i="14"/>
  <c r="C12" i="14"/>
  <c r="D11" i="14"/>
  <c r="B11" i="14"/>
  <c r="C11" i="14"/>
  <c r="B10" i="14"/>
  <c r="C10" i="14"/>
  <c r="E9" i="14"/>
  <c r="B9" i="14"/>
  <c r="B8" i="14"/>
  <c r="C8" i="14"/>
  <c r="B7" i="14"/>
  <c r="D6" i="14"/>
  <c r="B6" i="14"/>
  <c r="C6" i="14"/>
  <c r="D5" i="14"/>
  <c r="B5" i="14"/>
  <c r="C5" i="14"/>
  <c r="D4" i="14"/>
  <c r="B4" i="14"/>
  <c r="C4" i="14"/>
  <c r="D3" i="14"/>
  <c r="B3" i="14"/>
  <c r="C3" i="14"/>
  <c r="D2" i="14"/>
  <c r="B2" i="14"/>
  <c r="C2" i="14"/>
  <c r="B24" i="13"/>
  <c r="C24" i="13"/>
  <c r="G23" i="13"/>
  <c r="E23" i="13"/>
  <c r="D23" i="13"/>
  <c r="B23" i="13"/>
  <c r="C23" i="13"/>
  <c r="E22" i="13"/>
  <c r="D22" i="13"/>
  <c r="B22" i="13"/>
  <c r="C22" i="13"/>
  <c r="D21" i="13"/>
  <c r="B21" i="13"/>
  <c r="C21" i="13"/>
  <c r="D20" i="13"/>
  <c r="B20" i="13"/>
  <c r="C20" i="13"/>
  <c r="D19" i="13"/>
  <c r="B19" i="13"/>
  <c r="C19" i="13"/>
  <c r="E18" i="13"/>
  <c r="D18" i="13"/>
  <c r="B18" i="13"/>
  <c r="C18" i="13"/>
  <c r="E17" i="13"/>
  <c r="D17" i="13"/>
  <c r="B17" i="13"/>
  <c r="C17" i="13"/>
  <c r="M16" i="13"/>
  <c r="K16" i="13"/>
  <c r="I16" i="13"/>
  <c r="G16" i="13"/>
  <c r="E16" i="13"/>
  <c r="D16" i="13"/>
  <c r="B16" i="13"/>
  <c r="C16" i="13"/>
  <c r="O15" i="13"/>
  <c r="M15" i="13"/>
  <c r="K15" i="13"/>
  <c r="I15" i="13"/>
  <c r="G15" i="13"/>
  <c r="E15" i="13"/>
  <c r="D15" i="13"/>
  <c r="B15" i="13"/>
  <c r="C15" i="13"/>
  <c r="D14" i="13"/>
  <c r="B14" i="13"/>
  <c r="C14" i="13"/>
  <c r="K13" i="13"/>
  <c r="I13" i="13"/>
  <c r="G13" i="13"/>
  <c r="E13" i="13"/>
  <c r="D13" i="13"/>
  <c r="B13" i="13"/>
  <c r="C13" i="13"/>
  <c r="E12" i="13"/>
  <c r="D12" i="13"/>
  <c r="B12" i="13"/>
  <c r="C12" i="13"/>
  <c r="E11" i="13"/>
  <c r="D11" i="13"/>
  <c r="B11" i="13"/>
  <c r="C11" i="13"/>
  <c r="E10" i="13"/>
  <c r="D10" i="13"/>
  <c r="B10" i="13"/>
  <c r="G9" i="13"/>
  <c r="D9" i="13"/>
  <c r="B9" i="13"/>
  <c r="C9" i="13"/>
  <c r="I8" i="13"/>
  <c r="G8" i="13"/>
  <c r="E8" i="13"/>
  <c r="D8" i="13"/>
  <c r="B8" i="13"/>
  <c r="C8" i="13"/>
  <c r="K7" i="13"/>
  <c r="I7" i="13"/>
  <c r="G7" i="13"/>
  <c r="E7" i="13"/>
  <c r="B7" i="13"/>
  <c r="C7" i="13"/>
  <c r="E6" i="13"/>
  <c r="B6" i="13"/>
  <c r="E5" i="13"/>
  <c r="B5" i="13"/>
  <c r="C5" i="13"/>
  <c r="E4" i="13"/>
  <c r="B4" i="13"/>
  <c r="D3" i="13"/>
  <c r="B3" i="13"/>
  <c r="C3" i="13"/>
  <c r="D2" i="13"/>
  <c r="B2" i="13"/>
  <c r="C2" i="13"/>
  <c r="D25" i="12"/>
  <c r="D24" i="12"/>
  <c r="D23" i="12"/>
  <c r="D22" i="12"/>
  <c r="D21" i="12"/>
  <c r="D20" i="12"/>
  <c r="D17" i="12"/>
  <c r="D16" i="12"/>
  <c r="E11" i="12"/>
  <c r="D11" i="12"/>
  <c r="B11" i="12"/>
  <c r="C11" i="12"/>
  <c r="E10" i="12"/>
  <c r="D10" i="12"/>
  <c r="B10" i="12"/>
  <c r="C10" i="12"/>
  <c r="I9" i="12"/>
  <c r="G9" i="12"/>
  <c r="E9" i="12"/>
  <c r="D9" i="12"/>
  <c r="B9" i="12"/>
  <c r="C9" i="12"/>
  <c r="G8" i="12"/>
  <c r="E8" i="12"/>
  <c r="D8" i="12"/>
  <c r="B8" i="12"/>
  <c r="C8" i="12"/>
  <c r="E7" i="12"/>
  <c r="D7" i="12"/>
  <c r="B7" i="12"/>
  <c r="C7" i="12"/>
  <c r="G6" i="12"/>
  <c r="E6" i="12"/>
  <c r="D6" i="12"/>
  <c r="B6" i="12"/>
  <c r="C6" i="12"/>
  <c r="U5" i="12"/>
  <c r="S5" i="12"/>
  <c r="Q5" i="12"/>
  <c r="O5" i="12"/>
  <c r="M5" i="12"/>
  <c r="K5" i="12"/>
  <c r="I5" i="12"/>
  <c r="G5" i="12"/>
  <c r="E5" i="12"/>
  <c r="D5" i="12"/>
  <c r="B5" i="12"/>
  <c r="C5" i="12"/>
  <c r="E4" i="12"/>
  <c r="B4" i="12"/>
  <c r="C4" i="12"/>
  <c r="I3" i="12"/>
  <c r="G3" i="12"/>
  <c r="E3" i="12"/>
  <c r="D3" i="12"/>
  <c r="B3" i="12"/>
  <c r="C3" i="12"/>
  <c r="M2" i="12"/>
  <c r="K2" i="12"/>
  <c r="I2" i="12"/>
  <c r="G2" i="12"/>
  <c r="E2" i="12"/>
  <c r="D2" i="12"/>
  <c r="B2" i="12"/>
  <c r="C2" i="12"/>
  <c r="C72" i="11"/>
  <c r="B71" i="11"/>
  <c r="C71" i="11"/>
  <c r="B70" i="11"/>
  <c r="C70" i="11"/>
  <c r="D69" i="11"/>
  <c r="B69" i="11"/>
  <c r="C69" i="11"/>
  <c r="D68" i="11"/>
  <c r="B68" i="11"/>
  <c r="C68" i="11"/>
  <c r="B67" i="11"/>
  <c r="C67" i="11"/>
  <c r="D66" i="11"/>
  <c r="B66" i="11"/>
  <c r="C66" i="11"/>
  <c r="D65" i="11"/>
  <c r="B65" i="11"/>
  <c r="C65" i="11"/>
  <c r="D64" i="11"/>
  <c r="B64" i="11"/>
  <c r="C64" i="11"/>
  <c r="D63" i="11"/>
  <c r="B63" i="11"/>
  <c r="C63" i="11"/>
  <c r="D62" i="11"/>
  <c r="B62" i="11"/>
  <c r="C62" i="11"/>
  <c r="B61" i="11"/>
  <c r="C61" i="11"/>
  <c r="D60" i="11"/>
  <c r="B60" i="11"/>
  <c r="C60" i="11"/>
  <c r="D59" i="11"/>
  <c r="B59" i="11"/>
  <c r="C59" i="11"/>
  <c r="B58" i="11"/>
  <c r="C58" i="11"/>
  <c r="D57" i="11"/>
  <c r="B57" i="11"/>
  <c r="C57" i="11"/>
  <c r="D56" i="11"/>
  <c r="B56" i="11"/>
  <c r="C56" i="11"/>
  <c r="D55" i="11"/>
  <c r="B55" i="11"/>
  <c r="C55" i="11"/>
  <c r="B54" i="11"/>
  <c r="C54" i="11"/>
  <c r="D53" i="11"/>
  <c r="B53" i="11"/>
  <c r="C53" i="11"/>
  <c r="D52" i="11"/>
  <c r="B52" i="11"/>
  <c r="C52" i="11"/>
  <c r="D51" i="11"/>
  <c r="B51" i="11"/>
  <c r="C51" i="11"/>
  <c r="D50" i="11"/>
  <c r="B50" i="11"/>
  <c r="C50" i="11"/>
  <c r="D49" i="11"/>
  <c r="B49" i="11"/>
  <c r="C49" i="11"/>
  <c r="D48" i="11"/>
  <c r="B48" i="11"/>
  <c r="C48" i="11"/>
  <c r="D47" i="11"/>
  <c r="B47" i="11"/>
  <c r="C47" i="11"/>
  <c r="B46" i="11"/>
  <c r="C46" i="11"/>
  <c r="B45" i="11"/>
  <c r="C45" i="11"/>
  <c r="D44" i="11"/>
  <c r="B44" i="11"/>
  <c r="C44" i="11"/>
  <c r="D43" i="11"/>
  <c r="B43" i="11"/>
  <c r="C43" i="11"/>
  <c r="D42" i="11"/>
  <c r="B42" i="11"/>
  <c r="C42" i="11"/>
  <c r="D41" i="11"/>
  <c r="B41" i="11"/>
  <c r="C41" i="11"/>
  <c r="D40" i="11"/>
  <c r="B40" i="11"/>
  <c r="C40" i="11"/>
  <c r="D39" i="11"/>
  <c r="D38" i="11"/>
  <c r="B38" i="11"/>
  <c r="C38" i="11"/>
  <c r="B37" i="11"/>
  <c r="C37" i="11"/>
  <c r="D36" i="11"/>
  <c r="B36" i="11"/>
  <c r="C36" i="11"/>
  <c r="B35" i="11"/>
  <c r="C35" i="11"/>
  <c r="B34" i="11"/>
  <c r="C34" i="11"/>
  <c r="D33" i="11"/>
  <c r="B33" i="11"/>
  <c r="C33" i="11"/>
  <c r="D32" i="11"/>
  <c r="B32" i="11"/>
  <c r="C32" i="11"/>
  <c r="D31" i="11"/>
  <c r="B31" i="11"/>
  <c r="C31" i="11"/>
  <c r="D30" i="11"/>
  <c r="B30" i="11"/>
  <c r="C30" i="11"/>
  <c r="D29" i="11"/>
  <c r="B29" i="11"/>
  <c r="C29" i="11"/>
  <c r="B28" i="11"/>
  <c r="C28" i="11"/>
  <c r="B27" i="11"/>
  <c r="C27" i="11"/>
  <c r="B26" i="11"/>
  <c r="C26" i="11"/>
  <c r="B25" i="11"/>
  <c r="C25" i="11"/>
  <c r="B24" i="11"/>
  <c r="C24" i="11"/>
  <c r="B23" i="11"/>
  <c r="C23" i="11"/>
  <c r="B22" i="11"/>
  <c r="C22" i="11"/>
  <c r="D21" i="11"/>
  <c r="B21" i="11"/>
  <c r="C21" i="11"/>
  <c r="B20" i="11"/>
  <c r="C20" i="11"/>
  <c r="B19" i="11"/>
  <c r="C19" i="11"/>
  <c r="B18" i="11"/>
  <c r="C18" i="11"/>
  <c r="B17" i="11"/>
  <c r="C17" i="11"/>
  <c r="D16" i="11"/>
  <c r="B16" i="11"/>
  <c r="C16" i="11"/>
  <c r="D15" i="11"/>
  <c r="B15" i="11"/>
  <c r="C15" i="11"/>
  <c r="D14" i="11"/>
  <c r="B14" i="11"/>
  <c r="C14" i="11"/>
  <c r="D13" i="11"/>
  <c r="B13" i="11"/>
  <c r="C13" i="11"/>
  <c r="D12" i="11"/>
  <c r="B12" i="11"/>
  <c r="C12" i="11"/>
  <c r="D11" i="11"/>
  <c r="B11" i="11"/>
  <c r="C11" i="11"/>
  <c r="D10" i="11"/>
  <c r="D9" i="11"/>
  <c r="B9" i="11"/>
  <c r="C9" i="11"/>
  <c r="D8" i="11"/>
  <c r="B8" i="11"/>
  <c r="C8" i="11"/>
  <c r="B7" i="11"/>
  <c r="C7" i="11"/>
  <c r="B6" i="11"/>
  <c r="C6" i="11"/>
  <c r="D5" i="11"/>
  <c r="B5" i="11"/>
  <c r="C5" i="11"/>
  <c r="D4" i="11"/>
  <c r="B4" i="11"/>
  <c r="C4" i="11"/>
  <c r="D3" i="11"/>
  <c r="B3" i="11"/>
  <c r="C3" i="11"/>
  <c r="D2" i="11"/>
  <c r="B2" i="11"/>
  <c r="C2" i="11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0" i="7"/>
  <c r="A189" i="7"/>
  <c r="A188" i="7"/>
  <c r="A187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H3" i="6"/>
  <c r="A3" i="6"/>
  <c r="A2" i="6"/>
  <c r="A16" i="5"/>
  <c r="A15" i="5"/>
  <c r="A14" i="5"/>
  <c r="A12" i="5"/>
  <c r="A11" i="5"/>
  <c r="A10" i="5"/>
  <c r="A9" i="5"/>
  <c r="A8" i="5"/>
  <c r="A7" i="5"/>
  <c r="A6" i="5"/>
  <c r="A5" i="5"/>
  <c r="A4" i="5"/>
  <c r="A3" i="5"/>
  <c r="O23" i="4"/>
  <c r="C72" i="3"/>
  <c r="B71" i="3"/>
  <c r="C71" i="3"/>
  <c r="B70" i="3"/>
  <c r="C70" i="3"/>
  <c r="D69" i="3"/>
  <c r="B69" i="3"/>
  <c r="C69" i="3"/>
  <c r="D68" i="3"/>
  <c r="B68" i="3"/>
  <c r="C68" i="3"/>
  <c r="B67" i="3"/>
  <c r="C67" i="3"/>
  <c r="D66" i="3"/>
  <c r="B66" i="3"/>
  <c r="C66" i="3"/>
  <c r="D65" i="3"/>
  <c r="B65" i="3"/>
  <c r="C65" i="3"/>
  <c r="D64" i="3"/>
  <c r="B64" i="3"/>
  <c r="C64" i="3"/>
  <c r="D63" i="3"/>
  <c r="B63" i="3"/>
  <c r="C63" i="3"/>
  <c r="D62" i="3"/>
  <c r="B62" i="3"/>
  <c r="C62" i="3"/>
  <c r="B61" i="3"/>
  <c r="C61" i="3"/>
  <c r="D60" i="3"/>
  <c r="B60" i="3"/>
  <c r="C60" i="3"/>
  <c r="D59" i="3"/>
  <c r="B59" i="3"/>
  <c r="C59" i="3"/>
  <c r="B58" i="3"/>
  <c r="C58" i="3"/>
  <c r="D57" i="3"/>
  <c r="B57" i="3"/>
  <c r="C57" i="3"/>
  <c r="D56" i="3"/>
  <c r="B56" i="3"/>
  <c r="C56" i="3"/>
  <c r="D55" i="3"/>
  <c r="B55" i="3"/>
  <c r="C55" i="3"/>
  <c r="B54" i="3"/>
  <c r="C54" i="3"/>
  <c r="D53" i="3"/>
  <c r="B53" i="3"/>
  <c r="C53" i="3"/>
  <c r="D52" i="3"/>
  <c r="B52" i="3"/>
  <c r="C52" i="3"/>
  <c r="D51" i="3"/>
  <c r="B51" i="3"/>
  <c r="C51" i="3"/>
  <c r="D50" i="3"/>
  <c r="B50" i="3"/>
  <c r="C50" i="3"/>
  <c r="D49" i="3"/>
  <c r="B49" i="3"/>
  <c r="C49" i="3"/>
  <c r="D48" i="3"/>
  <c r="B48" i="3"/>
  <c r="C48" i="3"/>
  <c r="D47" i="3"/>
  <c r="B47" i="3"/>
  <c r="C47" i="3"/>
  <c r="B46" i="3"/>
  <c r="C46" i="3"/>
  <c r="B45" i="3"/>
  <c r="C45" i="3"/>
  <c r="D44" i="3"/>
  <c r="B44" i="3"/>
  <c r="C44" i="3"/>
  <c r="D43" i="3"/>
  <c r="B43" i="3"/>
  <c r="C43" i="3"/>
  <c r="D42" i="3"/>
  <c r="B42" i="3"/>
  <c r="C42" i="3"/>
  <c r="D41" i="3"/>
  <c r="B41" i="3"/>
  <c r="C41" i="3"/>
  <c r="D40" i="3"/>
  <c r="B40" i="3"/>
  <c r="C40" i="3"/>
  <c r="D39" i="3"/>
  <c r="D38" i="3"/>
  <c r="B38" i="3"/>
  <c r="C38" i="3"/>
  <c r="B37" i="3"/>
  <c r="C37" i="3"/>
  <c r="D36" i="3"/>
  <c r="B36" i="3"/>
  <c r="C36" i="3"/>
  <c r="B35" i="3"/>
  <c r="C35" i="3"/>
  <c r="B34" i="3"/>
  <c r="C34" i="3"/>
  <c r="D33" i="3"/>
  <c r="B33" i="3"/>
  <c r="C33" i="3"/>
  <c r="D32" i="3"/>
  <c r="B32" i="3"/>
  <c r="C32" i="3"/>
  <c r="D31" i="3"/>
  <c r="B31" i="3"/>
  <c r="C31" i="3"/>
  <c r="D30" i="3"/>
  <c r="B30" i="3"/>
  <c r="C30" i="3"/>
  <c r="D29" i="3"/>
  <c r="B29" i="3"/>
  <c r="C29" i="3"/>
  <c r="B28" i="3"/>
  <c r="C28" i="3"/>
  <c r="B27" i="3"/>
  <c r="C27" i="3"/>
  <c r="B26" i="3"/>
  <c r="C26" i="3"/>
  <c r="B25" i="3"/>
  <c r="C25" i="3"/>
  <c r="B24" i="3"/>
  <c r="C24" i="3"/>
  <c r="B23" i="3"/>
  <c r="C23" i="3"/>
  <c r="B22" i="3"/>
  <c r="C22" i="3"/>
  <c r="D21" i="3"/>
  <c r="B21" i="3"/>
  <c r="C21" i="3"/>
  <c r="B20" i="3"/>
  <c r="C20" i="3"/>
  <c r="B19" i="3"/>
  <c r="C19" i="3"/>
  <c r="B18" i="3"/>
  <c r="C18" i="3"/>
  <c r="B17" i="3"/>
  <c r="C17" i="3"/>
  <c r="D16" i="3"/>
  <c r="B16" i="3"/>
  <c r="C16" i="3"/>
  <c r="D15" i="3"/>
  <c r="B15" i="3"/>
  <c r="C15" i="3"/>
  <c r="D14" i="3"/>
  <c r="B14" i="3"/>
  <c r="C14" i="3"/>
  <c r="D13" i="3"/>
  <c r="B13" i="3"/>
  <c r="C13" i="3"/>
  <c r="D12" i="3"/>
  <c r="B12" i="3"/>
  <c r="C12" i="3"/>
  <c r="D11" i="3"/>
  <c r="B11" i="3"/>
  <c r="C11" i="3"/>
  <c r="D10" i="3"/>
  <c r="D9" i="3"/>
  <c r="B9" i="3"/>
  <c r="C9" i="3"/>
  <c r="D8" i="3"/>
  <c r="B8" i="3"/>
  <c r="C8" i="3"/>
  <c r="B7" i="3"/>
  <c r="C7" i="3"/>
  <c r="B6" i="3"/>
  <c r="C6" i="3"/>
  <c r="D5" i="3"/>
  <c r="B5" i="3"/>
  <c r="C5" i="3"/>
  <c r="D4" i="3"/>
  <c r="B4" i="3"/>
  <c r="C4" i="3"/>
  <c r="D3" i="3"/>
  <c r="B3" i="3"/>
  <c r="C3" i="3"/>
  <c r="D2" i="3"/>
  <c r="B2" i="3"/>
  <c r="C2" i="3"/>
  <c r="C72" i="2"/>
  <c r="B71" i="2"/>
  <c r="C71" i="2"/>
  <c r="B70" i="2"/>
  <c r="C70" i="2"/>
  <c r="D69" i="2"/>
  <c r="B69" i="2"/>
  <c r="C69" i="2"/>
  <c r="D68" i="2"/>
  <c r="B68" i="2"/>
  <c r="C68" i="2"/>
  <c r="B67" i="2"/>
  <c r="C67" i="2"/>
  <c r="D66" i="2"/>
  <c r="B66" i="2"/>
  <c r="C66" i="2"/>
  <c r="D65" i="2"/>
  <c r="B65" i="2"/>
  <c r="C65" i="2"/>
  <c r="D64" i="2"/>
  <c r="B64" i="2"/>
  <c r="C64" i="2"/>
  <c r="D63" i="2"/>
  <c r="B63" i="2"/>
  <c r="C63" i="2"/>
  <c r="D62" i="2"/>
  <c r="B62" i="2"/>
  <c r="C62" i="2"/>
  <c r="B61" i="2"/>
  <c r="C61" i="2"/>
  <c r="D60" i="2"/>
  <c r="B60" i="2"/>
  <c r="C60" i="2"/>
  <c r="D59" i="2"/>
  <c r="B59" i="2"/>
  <c r="C59" i="2"/>
  <c r="B58" i="2"/>
  <c r="C58" i="2"/>
  <c r="D57" i="2"/>
  <c r="B57" i="2"/>
  <c r="C57" i="2"/>
  <c r="D56" i="2"/>
  <c r="B56" i="2"/>
  <c r="C56" i="2"/>
  <c r="D55" i="2"/>
  <c r="B55" i="2"/>
  <c r="C55" i="2"/>
  <c r="B54" i="2"/>
  <c r="C54" i="2"/>
  <c r="D53" i="2"/>
  <c r="B53" i="2"/>
  <c r="C53" i="2"/>
  <c r="D52" i="2"/>
  <c r="B52" i="2"/>
  <c r="C52" i="2"/>
  <c r="D51" i="2"/>
  <c r="B51" i="2"/>
  <c r="C51" i="2"/>
  <c r="D50" i="2"/>
  <c r="B50" i="2"/>
  <c r="C50" i="2"/>
  <c r="D49" i="2"/>
  <c r="B49" i="2"/>
  <c r="C49" i="2"/>
  <c r="D48" i="2"/>
  <c r="B48" i="2"/>
  <c r="C48" i="2"/>
  <c r="D47" i="2"/>
  <c r="B47" i="2"/>
  <c r="C47" i="2"/>
  <c r="B46" i="2"/>
  <c r="C46" i="2"/>
  <c r="B45" i="2"/>
  <c r="C45" i="2"/>
  <c r="D44" i="2"/>
  <c r="B44" i="2"/>
  <c r="C44" i="2"/>
  <c r="D43" i="2"/>
  <c r="B43" i="2"/>
  <c r="C43" i="2"/>
  <c r="D42" i="2"/>
  <c r="B42" i="2"/>
  <c r="C42" i="2"/>
  <c r="D41" i="2"/>
  <c r="B41" i="2"/>
  <c r="C41" i="2"/>
  <c r="D40" i="2"/>
  <c r="B40" i="2"/>
  <c r="C40" i="2"/>
  <c r="D39" i="2"/>
  <c r="D38" i="2"/>
  <c r="B38" i="2"/>
  <c r="C38" i="2"/>
  <c r="B37" i="2"/>
  <c r="C37" i="2"/>
  <c r="D36" i="2"/>
  <c r="B36" i="2"/>
  <c r="C36" i="2"/>
  <c r="B35" i="2"/>
  <c r="C35" i="2"/>
  <c r="B34" i="2"/>
  <c r="C34" i="2"/>
  <c r="D33" i="2"/>
  <c r="B33" i="2"/>
  <c r="C33" i="2"/>
  <c r="D32" i="2"/>
  <c r="B32" i="2"/>
  <c r="C32" i="2"/>
  <c r="D31" i="2"/>
  <c r="B31" i="2"/>
  <c r="C31" i="2"/>
  <c r="D30" i="2"/>
  <c r="B30" i="2"/>
  <c r="C30" i="2"/>
  <c r="D29" i="2"/>
  <c r="B29" i="2"/>
  <c r="C29" i="2"/>
  <c r="B28" i="2"/>
  <c r="C28" i="2"/>
  <c r="B27" i="2"/>
  <c r="C27" i="2"/>
  <c r="B26" i="2"/>
  <c r="C26" i="2"/>
  <c r="B25" i="2"/>
  <c r="C25" i="2"/>
  <c r="B24" i="2"/>
  <c r="C24" i="2"/>
  <c r="B23" i="2"/>
  <c r="C23" i="2"/>
  <c r="B22" i="2"/>
  <c r="C22" i="2"/>
  <c r="D21" i="2"/>
  <c r="B21" i="2"/>
  <c r="C21" i="2"/>
  <c r="B20" i="2"/>
  <c r="C20" i="2"/>
  <c r="B19" i="2"/>
  <c r="C19" i="2"/>
  <c r="B18" i="2"/>
  <c r="C18" i="2"/>
  <c r="B17" i="2"/>
  <c r="C17" i="2"/>
  <c r="D16" i="2"/>
  <c r="B16" i="2"/>
  <c r="C16" i="2"/>
  <c r="D15" i="2"/>
  <c r="B15" i="2"/>
  <c r="C15" i="2"/>
  <c r="D14" i="2"/>
  <c r="B14" i="2"/>
  <c r="C14" i="2"/>
  <c r="D13" i="2"/>
  <c r="B13" i="2"/>
  <c r="C13" i="2"/>
  <c r="D12" i="2"/>
  <c r="B12" i="2"/>
  <c r="C12" i="2"/>
  <c r="D11" i="2"/>
  <c r="B11" i="2"/>
  <c r="C11" i="2"/>
  <c r="D10" i="2"/>
  <c r="D9" i="2"/>
  <c r="B9" i="2"/>
  <c r="C9" i="2"/>
  <c r="D8" i="2"/>
  <c r="B8" i="2"/>
  <c r="C8" i="2"/>
  <c r="B7" i="2"/>
  <c r="C7" i="2"/>
  <c r="B6" i="2"/>
  <c r="C6" i="2"/>
  <c r="D5" i="2"/>
  <c r="B5" i="2"/>
  <c r="C5" i="2"/>
  <c r="D4" i="2"/>
  <c r="B4" i="2"/>
  <c r="C4" i="2"/>
  <c r="D3" i="2"/>
  <c r="B3" i="2"/>
  <c r="C3" i="2"/>
  <c r="D2" i="2"/>
  <c r="B2" i="2"/>
  <c r="C2" i="2"/>
  <c r="K132" i="1"/>
  <c r="K131" i="1"/>
  <c r="K130" i="1"/>
  <c r="K129" i="1"/>
  <c r="K128" i="1"/>
  <c r="K127" i="1"/>
  <c r="K126" i="1"/>
  <c r="K125" i="1"/>
  <c r="K124" i="1"/>
  <c r="K123" i="1"/>
  <c r="K122" i="1"/>
  <c r="K121" i="1"/>
  <c r="AC120" i="1"/>
  <c r="AB120" i="1"/>
  <c r="K120" i="1"/>
  <c r="AK119" i="1"/>
  <c r="AJ119" i="1"/>
  <c r="AI119" i="1"/>
  <c r="AH119" i="1"/>
  <c r="AG119" i="1"/>
  <c r="AF119" i="1"/>
  <c r="AE119" i="1"/>
  <c r="AD119" i="1"/>
  <c r="AC119" i="1"/>
  <c r="AB119" i="1"/>
  <c r="K119" i="1"/>
  <c r="AK118" i="1"/>
  <c r="AJ118" i="1"/>
  <c r="AI118" i="1"/>
  <c r="AH118" i="1"/>
  <c r="AG118" i="1"/>
  <c r="AF118" i="1"/>
  <c r="AE118" i="1"/>
  <c r="AD118" i="1"/>
  <c r="AC118" i="1"/>
  <c r="AB118" i="1"/>
  <c r="K118" i="1"/>
  <c r="AK117" i="1"/>
  <c r="AJ117" i="1"/>
  <c r="AI117" i="1"/>
  <c r="AH117" i="1"/>
  <c r="AG117" i="1"/>
  <c r="AF117" i="1"/>
  <c r="AE117" i="1"/>
  <c r="AD117" i="1"/>
  <c r="AC117" i="1"/>
  <c r="AB117" i="1"/>
  <c r="K117" i="1"/>
  <c r="AK116" i="1"/>
  <c r="AJ116" i="1"/>
  <c r="AI116" i="1"/>
  <c r="AH116" i="1"/>
  <c r="AG116" i="1"/>
  <c r="AF116" i="1"/>
  <c r="AE116" i="1"/>
  <c r="AD116" i="1"/>
  <c r="AC116" i="1"/>
  <c r="AB116" i="1"/>
  <c r="K116" i="1"/>
  <c r="AK115" i="1"/>
  <c r="AJ115" i="1"/>
  <c r="AI115" i="1"/>
  <c r="AH115" i="1"/>
  <c r="AG115" i="1"/>
  <c r="AF115" i="1"/>
  <c r="AE115" i="1"/>
  <c r="AD115" i="1"/>
  <c r="AC115" i="1"/>
  <c r="AB115" i="1"/>
  <c r="K115" i="1"/>
  <c r="AK114" i="1"/>
  <c r="AJ114" i="1"/>
  <c r="AI114" i="1"/>
  <c r="AH114" i="1"/>
  <c r="AG114" i="1"/>
  <c r="AF114" i="1"/>
  <c r="AE114" i="1"/>
  <c r="AD114" i="1"/>
  <c r="AC114" i="1"/>
  <c r="AB114" i="1"/>
  <c r="K114" i="1"/>
  <c r="AK113" i="1"/>
  <c r="AJ113" i="1"/>
  <c r="AI113" i="1"/>
  <c r="AH113" i="1"/>
  <c r="AG113" i="1"/>
  <c r="AF113" i="1"/>
  <c r="AE113" i="1"/>
  <c r="AD113" i="1"/>
  <c r="AC113" i="1"/>
  <c r="AB113" i="1"/>
  <c r="K113" i="1"/>
  <c r="AK112" i="1"/>
  <c r="AJ112" i="1"/>
  <c r="AI112" i="1"/>
  <c r="AH112" i="1"/>
  <c r="AG112" i="1"/>
  <c r="AF112" i="1"/>
  <c r="AE112" i="1"/>
  <c r="AD112" i="1"/>
  <c r="AC112" i="1"/>
  <c r="AB112" i="1"/>
  <c r="K112" i="1"/>
  <c r="AK111" i="1"/>
  <c r="AJ111" i="1"/>
  <c r="AI111" i="1"/>
  <c r="AH111" i="1"/>
  <c r="AG111" i="1"/>
  <c r="AF111" i="1"/>
  <c r="AE111" i="1"/>
  <c r="AD111" i="1"/>
  <c r="AC111" i="1"/>
  <c r="AB111" i="1"/>
  <c r="K111" i="1"/>
  <c r="AK110" i="1"/>
  <c r="AJ110" i="1"/>
  <c r="AI110" i="1"/>
  <c r="AH110" i="1"/>
  <c r="AG110" i="1"/>
  <c r="AF110" i="1"/>
  <c r="AE110" i="1"/>
  <c r="AD110" i="1"/>
  <c r="AC110" i="1"/>
  <c r="AB110" i="1"/>
  <c r="K110" i="1"/>
  <c r="AK109" i="1"/>
  <c r="AJ109" i="1"/>
  <c r="AI109" i="1"/>
  <c r="AH109" i="1"/>
  <c r="AG109" i="1"/>
  <c r="AF109" i="1"/>
  <c r="AE109" i="1"/>
  <c r="AD109" i="1"/>
  <c r="AC109" i="1"/>
  <c r="AB109" i="1"/>
  <c r="Z109" i="1"/>
  <c r="K109" i="1"/>
  <c r="AK108" i="1"/>
  <c r="AJ108" i="1"/>
  <c r="AI108" i="1"/>
  <c r="AH108" i="1"/>
  <c r="AG108" i="1"/>
  <c r="AF108" i="1"/>
  <c r="AE108" i="1"/>
  <c r="AD108" i="1"/>
  <c r="AC108" i="1"/>
  <c r="AB108" i="1"/>
  <c r="Z108" i="1"/>
  <c r="K108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K107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K106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K105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K104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K103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K102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K101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K100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K99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K98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K97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K96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K3" i="1"/>
  <c r="J3" i="1"/>
  <c r="J4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K5" i="1"/>
  <c r="J5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K6" i="1"/>
  <c r="J6" i="1"/>
  <c r="J7" i="1"/>
  <c r="J8" i="1"/>
  <c r="J9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K10" i="1"/>
  <c r="J10" i="1"/>
  <c r="L11" i="1"/>
  <c r="M11" i="1"/>
  <c r="N11" i="1"/>
  <c r="O11" i="1"/>
  <c r="P11" i="1"/>
  <c r="Q11" i="1"/>
  <c r="X11" i="1"/>
  <c r="L12" i="1"/>
  <c r="M12" i="1"/>
  <c r="N12" i="1"/>
  <c r="O12" i="1"/>
  <c r="P12" i="1"/>
  <c r="Q12" i="1"/>
  <c r="R12" i="1"/>
  <c r="J13" i="1"/>
  <c r="J14" i="1"/>
  <c r="J15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K16" i="1"/>
  <c r="J16" i="1"/>
  <c r="J17" i="1"/>
  <c r="J18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K19" i="1"/>
  <c r="J19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K20" i="1"/>
  <c r="J20" i="1"/>
  <c r="J21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K22" i="1"/>
  <c r="J22" i="1"/>
  <c r="J23" i="1"/>
  <c r="J24" i="1"/>
  <c r="J25" i="1"/>
  <c r="J26" i="1"/>
  <c r="J27" i="1"/>
  <c r="J28" i="1"/>
  <c r="J29" i="1"/>
  <c r="AG30" i="1"/>
  <c r="K30" i="1"/>
  <c r="J30" i="1"/>
  <c r="J31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K51" i="1"/>
  <c r="J51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K52" i="1"/>
  <c r="J52" i="1"/>
  <c r="J53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K54" i="1"/>
  <c r="J54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K55" i="1"/>
  <c r="J55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K56" i="1"/>
  <c r="J56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K57" i="1"/>
  <c r="J57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K58" i="1"/>
  <c r="J58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K59" i="1"/>
  <c r="J59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K60" i="1"/>
  <c r="J60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K61" i="1"/>
  <c r="J61" i="1"/>
  <c r="J62" i="1"/>
  <c r="J63" i="1"/>
  <c r="J64" i="1"/>
  <c r="J65" i="1"/>
  <c r="J66" i="1"/>
  <c r="J67" i="1"/>
  <c r="J68" i="1"/>
  <c r="J69" i="1"/>
  <c r="J70" i="1"/>
  <c r="J71" i="1"/>
  <c r="J72" i="1"/>
  <c r="J74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K75" i="1"/>
  <c r="J75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K76" i="1"/>
  <c r="J76" i="1"/>
  <c r="J77" i="1"/>
  <c r="J78" i="1"/>
  <c r="J79" i="1"/>
  <c r="J80" i="1"/>
  <c r="J81" i="1"/>
  <c r="L82" i="1"/>
  <c r="M82" i="1"/>
  <c r="N82" i="1"/>
  <c r="O82" i="1"/>
  <c r="P82" i="1"/>
  <c r="Q82" i="1"/>
  <c r="X82" i="1"/>
  <c r="J83" i="1"/>
  <c r="J84" i="1"/>
  <c r="J85" i="1"/>
  <c r="J86" i="1"/>
  <c r="J87" i="1"/>
  <c r="J91" i="1"/>
  <c r="J92" i="1"/>
  <c r="I3" i="1"/>
  <c r="I4" i="1"/>
  <c r="I5" i="1"/>
  <c r="I6" i="1"/>
  <c r="I7" i="1"/>
  <c r="I8" i="1"/>
  <c r="I9" i="1"/>
  <c r="I10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91" i="1"/>
  <c r="I92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K95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K94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K93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K92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K91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K90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K89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C85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C84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M83" i="1"/>
  <c r="L83" i="1"/>
  <c r="K83" i="1"/>
  <c r="C83" i="1"/>
  <c r="C82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C81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C80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C79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C78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C77" i="1"/>
  <c r="AK76" i="1"/>
  <c r="AJ76" i="1"/>
  <c r="AI76" i="1"/>
  <c r="AH76" i="1"/>
  <c r="C76" i="1"/>
  <c r="AK75" i="1"/>
  <c r="AJ75" i="1"/>
  <c r="AI75" i="1"/>
  <c r="AH75" i="1"/>
  <c r="C75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C74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C72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C71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C70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C67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C66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C62" i="1"/>
  <c r="AK61" i="1"/>
  <c r="AJ61" i="1"/>
  <c r="AI61" i="1"/>
  <c r="AH61" i="1"/>
  <c r="C61" i="1"/>
  <c r="AK60" i="1"/>
  <c r="AJ60" i="1"/>
  <c r="AI60" i="1"/>
  <c r="AH60" i="1"/>
  <c r="AK59" i="1"/>
  <c r="AJ59" i="1"/>
  <c r="AI59" i="1"/>
  <c r="AH59" i="1"/>
  <c r="AK58" i="1"/>
  <c r="AJ58" i="1"/>
  <c r="AI58" i="1"/>
  <c r="AH58" i="1"/>
  <c r="AK57" i="1"/>
  <c r="AJ57" i="1"/>
  <c r="AI57" i="1"/>
  <c r="AH57" i="1"/>
  <c r="AK56" i="1"/>
  <c r="AJ56" i="1"/>
  <c r="AI56" i="1"/>
  <c r="AH56" i="1"/>
  <c r="C56" i="1"/>
  <c r="AK55" i="1"/>
  <c r="AJ55" i="1"/>
  <c r="AI55" i="1"/>
  <c r="AH55" i="1"/>
  <c r="AK54" i="1"/>
  <c r="AJ54" i="1"/>
  <c r="AI54" i="1"/>
  <c r="AH54" i="1"/>
  <c r="C54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AK52" i="1"/>
  <c r="AJ52" i="1"/>
  <c r="AI52" i="1"/>
  <c r="AH52" i="1"/>
  <c r="C52" i="1"/>
  <c r="AK51" i="1"/>
  <c r="AJ51" i="1"/>
  <c r="AI51" i="1"/>
  <c r="AH51" i="1"/>
  <c r="C51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C50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C49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AK35" i="1"/>
  <c r="AJ35" i="1"/>
  <c r="AI35" i="1"/>
  <c r="AH35" i="1"/>
  <c r="AG35" i="1"/>
  <c r="AF35" i="1"/>
  <c r="AE35" i="1"/>
  <c r="AD35" i="1"/>
  <c r="Y35" i="1"/>
  <c r="X35" i="1"/>
  <c r="K35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AK33" i="1"/>
  <c r="AJ33" i="1"/>
  <c r="AI33" i="1"/>
  <c r="AH33" i="1"/>
  <c r="AG33" i="1"/>
  <c r="K33" i="1"/>
  <c r="AK32" i="1"/>
  <c r="AJ32" i="1"/>
  <c r="AI32" i="1"/>
  <c r="AH32" i="1"/>
  <c r="AK31" i="1"/>
  <c r="AJ31" i="1"/>
  <c r="AI31" i="1"/>
  <c r="AH31" i="1"/>
  <c r="AG31" i="1"/>
  <c r="K31" i="1"/>
  <c r="C31" i="1"/>
  <c r="AK30" i="1"/>
  <c r="AJ30" i="1"/>
  <c r="AI30" i="1"/>
  <c r="AH30" i="1"/>
  <c r="C30" i="1"/>
  <c r="AK29" i="1"/>
  <c r="AJ29" i="1"/>
  <c r="AI29" i="1"/>
  <c r="AH29" i="1"/>
  <c r="AG29" i="1"/>
  <c r="K29" i="1"/>
  <c r="C29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C28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C26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C25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C24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C23" i="1"/>
  <c r="AK22" i="1"/>
  <c r="AJ22" i="1"/>
  <c r="AI22" i="1"/>
  <c r="AH22" i="1"/>
  <c r="C22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C21" i="1"/>
  <c r="AK20" i="1"/>
  <c r="AJ20" i="1"/>
  <c r="AI20" i="1"/>
  <c r="AH20" i="1"/>
  <c r="C20" i="1"/>
  <c r="AK19" i="1"/>
  <c r="AJ19" i="1"/>
  <c r="AI19" i="1"/>
  <c r="AH19" i="1"/>
  <c r="C19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C17" i="1"/>
  <c r="AK16" i="1"/>
  <c r="AJ16" i="1"/>
  <c r="AI16" i="1"/>
  <c r="AH16" i="1"/>
  <c r="C16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C15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C14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C13" i="1"/>
  <c r="C12" i="1"/>
  <c r="C11" i="1"/>
  <c r="AK10" i="1"/>
  <c r="AJ10" i="1"/>
  <c r="AI10" i="1"/>
  <c r="AH10" i="1"/>
  <c r="C10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C9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C8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AK6" i="1"/>
  <c r="AJ6" i="1"/>
  <c r="AI6" i="1"/>
  <c r="AH6" i="1"/>
  <c r="C6" i="1"/>
  <c r="AK5" i="1"/>
  <c r="AJ5" i="1"/>
  <c r="AI5" i="1"/>
  <c r="AH5" i="1"/>
  <c r="C5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C4" i="1"/>
  <c r="AK3" i="1"/>
  <c r="AJ3" i="1"/>
  <c r="AI3" i="1"/>
  <c r="AH3" i="1"/>
  <c r="C3" i="1"/>
  <c r="AH11" i="1"/>
  <c r="AI11" i="1"/>
  <c r="AJ11" i="1"/>
  <c r="AK11" i="1"/>
  <c r="AH12" i="1"/>
  <c r="AI12" i="1"/>
  <c r="AJ12" i="1"/>
  <c r="AK12" i="1"/>
  <c r="AH82" i="1"/>
  <c r="AI82" i="1"/>
  <c r="AJ82" i="1"/>
  <c r="AK82" i="1"/>
  <c r="I96" i="1"/>
  <c r="I11" i="1"/>
  <c r="I12" i="1"/>
  <c r="J96" i="1"/>
  <c r="R11" i="1"/>
  <c r="K11" i="1"/>
  <c r="J11" i="1"/>
  <c r="AG82" i="1"/>
  <c r="R82" i="1"/>
  <c r="K82" i="1"/>
  <c r="J82" i="1"/>
  <c r="AF82" i="1"/>
  <c r="AE82" i="1"/>
  <c r="AD82" i="1"/>
  <c r="AC82" i="1"/>
  <c r="AB82" i="1"/>
  <c r="AA82" i="1"/>
  <c r="Z82" i="1"/>
  <c r="Y82" i="1"/>
  <c r="W82" i="1"/>
  <c r="V82" i="1"/>
  <c r="U82" i="1"/>
  <c r="T82" i="1"/>
  <c r="S82" i="1"/>
  <c r="AG12" i="1"/>
  <c r="S12" i="1"/>
  <c r="K12" i="1"/>
  <c r="J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AG11" i="1"/>
  <c r="AF11" i="1"/>
  <c r="AE11" i="1"/>
  <c r="AD11" i="1"/>
  <c r="AC11" i="1"/>
  <c r="AB11" i="1"/>
  <c r="AA11" i="1"/>
  <c r="Z11" i="1"/>
  <c r="Y11" i="1"/>
  <c r="W11" i="1"/>
  <c r="V11" i="1"/>
  <c r="U11" i="1"/>
  <c r="T11" i="1"/>
  <c r="S11" i="1"/>
  <c r="B10" i="2"/>
  <c r="C10" i="2"/>
  <c r="B39" i="2"/>
  <c r="C39" i="2"/>
  <c r="B10" i="3"/>
  <c r="C10" i="3"/>
  <c r="B39" i="3"/>
  <c r="C39" i="3"/>
  <c r="B10" i="11"/>
  <c r="C10" i="11"/>
  <c r="B39" i="11"/>
  <c r="C39" i="11"/>
  <c r="B48" i="18"/>
  <c r="C47" i="18"/>
  <c r="B7" i="19"/>
  <c r="C7" i="19"/>
  <c r="B33" i="19"/>
  <c r="C33" i="19"/>
  <c r="B8" i="20"/>
  <c r="C8" i="20"/>
  <c r="B34" i="20"/>
  <c r="C34" i="20"/>
  <c r="B8" i="21"/>
  <c r="C8" i="21"/>
  <c r="B34" i="21"/>
  <c r="C34" i="21"/>
  <c r="B8" i="22"/>
  <c r="C8" i="22"/>
  <c r="B34" i="22"/>
  <c r="C34" i="22"/>
  <c r="B8" i="23"/>
  <c r="C8" i="23"/>
  <c r="B34" i="23"/>
  <c r="C34" i="23"/>
  <c r="B36" i="24"/>
  <c r="C36" i="24"/>
  <c r="B8" i="25"/>
  <c r="C8" i="25"/>
  <c r="B36" i="25"/>
  <c r="C36" i="25"/>
  <c r="B9" i="26"/>
  <c r="C9" i="26"/>
  <c r="B38" i="26"/>
  <c r="C38" i="26"/>
  <c r="B8" i="27"/>
  <c r="C8" i="27"/>
  <c r="B36" i="27"/>
  <c r="C36" i="27"/>
  <c r="B8" i="28"/>
  <c r="C8" i="28"/>
  <c r="B36" i="28"/>
  <c r="C36" i="28"/>
  <c r="B8" i="29"/>
  <c r="C8" i="29"/>
  <c r="B36" i="29"/>
  <c r="C36" i="29"/>
  <c r="B8" i="30"/>
  <c r="C8" i="30"/>
  <c r="B36" i="30"/>
  <c r="C36" i="30"/>
  <c r="B8" i="31"/>
  <c r="C8" i="31"/>
  <c r="B36" i="31"/>
  <c r="C36" i="31"/>
  <c r="B8" i="32"/>
  <c r="C8" i="32"/>
  <c r="B36" i="32"/>
  <c r="C36" i="32"/>
  <c r="B10" i="33"/>
  <c r="C10" i="33"/>
  <c r="B39" i="33"/>
  <c r="C39" i="33"/>
  <c r="B10" i="34"/>
  <c r="C10" i="34"/>
  <c r="B39" i="34"/>
  <c r="C39" i="34"/>
</calcChain>
</file>

<file path=xl/sharedStrings.xml><?xml version="1.0" encoding="utf-8"?>
<sst xmlns="http://schemas.openxmlformats.org/spreadsheetml/2006/main" count="6450" uniqueCount="1961">
  <si>
    <t>Keyword</t>
  </si>
  <si>
    <t>Publish Dates</t>
  </si>
  <si>
    <t>TOTAL
# of backlinks</t>
  </si>
  <si>
    <t>TOTAL 
Average DR</t>
  </si>
  <si>
    <t>Article</t>
  </si>
  <si>
    <t>Backlink 1</t>
  </si>
  <si>
    <t>DR</t>
  </si>
  <si>
    <t>Backlink 2</t>
  </si>
  <si>
    <t>Backlink 3</t>
  </si>
  <si>
    <t>Backlink 4</t>
  </si>
  <si>
    <t>Backlink 5</t>
  </si>
  <si>
    <t>Backlink 6</t>
  </si>
  <si>
    <t>Backlink 7</t>
  </si>
  <si>
    <t>Backlink 8</t>
  </si>
  <si>
    <t>Backlink 9</t>
  </si>
  <si>
    <t>Backlink 10</t>
  </si>
  <si>
    <t>Backlink 11</t>
  </si>
  <si>
    <t xml:space="preserve">Platform </t>
  </si>
  <si>
    <t>Title</t>
  </si>
  <si>
    <t>Primary keyword</t>
  </si>
  <si>
    <t>Traffic</t>
  </si>
  <si>
    <t>Current position</t>
  </si>
  <si>
    <t>abbvie mavyret</t>
  </si>
  <si>
    <t>AHREFS Backlinks - 1st page</t>
  </si>
  <si>
    <t>AHREFS Backlinks - #1 position</t>
  </si>
  <si>
    <t>% for #1 spot
* greater than 1 means more backlinks needed
* less than 1 means less backlinks needed</t>
  </si>
  <si>
    <t>% backlinks required for top 10 
* greater than 1 means more backlinks needed* less than 1 means less backlinks needed</t>
  </si>
  <si>
    <t>TOTAL
Count of Backlinks</t>
  </si>
  <si>
    <t>Backlinks (BL) 
week 1</t>
  </si>
  <si>
    <t>BL week 2</t>
  </si>
  <si>
    <t>BL week 3</t>
  </si>
  <si>
    <t>BL week 4</t>
  </si>
  <si>
    <t>BL week 5</t>
  </si>
  <si>
    <t>BL week 6</t>
  </si>
  <si>
    <t>BL week 7</t>
  </si>
  <si>
    <t>BL week 8</t>
  </si>
  <si>
    <t>BL week 9</t>
  </si>
  <si>
    <t>BL week 10</t>
  </si>
  <si>
    <t>BL week 11</t>
  </si>
  <si>
    <t>BL week 12</t>
  </si>
  <si>
    <t>BL week 13</t>
  </si>
  <si>
    <t>BL week 14</t>
  </si>
  <si>
    <t>BL week 15</t>
  </si>
  <si>
    <t>BL week 16</t>
  </si>
  <si>
    <t>BL week 17</t>
  </si>
  <si>
    <t>BL week 18</t>
  </si>
  <si>
    <t>BL week 19</t>
  </si>
  <si>
    <t>BL week 20</t>
  </si>
  <si>
    <t>BL week 21</t>
  </si>
  <si>
    <t>BL week 22</t>
  </si>
  <si>
    <t>BL week 23</t>
  </si>
  <si>
    <t>BL week 24</t>
  </si>
  <si>
    <t>BL week 25</t>
  </si>
  <si>
    <t>BL week 26</t>
  </si>
  <si>
    <t>BL week 27</t>
  </si>
  <si>
    <t>Growth hacking content</t>
  </si>
  <si>
    <t>week 1</t>
  </si>
  <si>
    <t>DAP</t>
  </si>
  <si>
    <t>abbvie mission therapeutics</t>
  </si>
  <si>
    <t>fintech marketing</t>
  </si>
  <si>
    <t>ADA compliance website</t>
  </si>
  <si>
    <t>ai in supply chain</t>
  </si>
  <si>
    <t>alexa for business</t>
  </si>
  <si>
    <t>https://www.digitalauthority.me/resources/alexa-for-business-skills/</t>
  </si>
  <si>
    <t>alexa in healthcare</t>
  </si>
  <si>
    <t>https://www.digitalauthority.me/resources/alexa-in-healthcare/</t>
  </si>
  <si>
    <t>alexa skill development</t>
  </si>
  <si>
    <t>artificial intelligence in healthcare</t>
  </si>
  <si>
    <t>artificial intelligence pharma</t>
  </si>
  <si>
    <t>Astaxanthin</t>
  </si>
  <si>
    <t>b2b marketing</t>
  </si>
  <si>
    <t>https://www.techmaish.com/8-b2b-marketing-techniques-to-experiment-with-this-year/</t>
  </si>
  <si>
    <t>big data in healthcare</t>
  </si>
  <si>
    <t>blockchain in healthcare</t>
  </si>
  <si>
    <t>chicago marketing companies</t>
  </si>
  <si>
    <t>blue cross blue shield fitbit</t>
  </si>
  <si>
    <t>chicago creative agency</t>
  </si>
  <si>
    <t>www.digitalauthority.me</t>
  </si>
  <si>
    <t>chicago design agency</t>
  </si>
  <si>
    <t>chicago digital agency</t>
  </si>
  <si>
    <t>Chicago digital marketing agency</t>
  </si>
  <si>
    <t>Creative Agencies Chicago</t>
  </si>
  <si>
    <t>Design Agency Chicago</t>
  </si>
  <si>
    <t>digital agencies</t>
  </si>
  <si>
    <t>digital agency</t>
  </si>
  <si>
    <t>digital marketing agency</t>
  </si>
  <si>
    <t>digital strategy agencies</t>
  </si>
  <si>
    <t>digital strategy agency</t>
  </si>
  <si>
    <t>digital transformation in healthcare</t>
  </si>
  <si>
    <t>doctor reputation management</t>
  </si>
  <si>
    <t>financial services marketing</t>
  </si>
  <si>
    <t>health technologies</t>
  </si>
  <si>
    <t>healthcare consulting firms</t>
  </si>
  <si>
    <t>healthcare consulting firms chicago</t>
  </si>
  <si>
    <t>healthcare marketing</t>
  </si>
  <si>
    <t>healthcare marketing agency</t>
  </si>
  <si>
    <t>healthcare marketing plan</t>
  </si>
  <si>
    <t>week 2</t>
  </si>
  <si>
    <t>healthcare mobile app development</t>
  </si>
  <si>
    <t>healthcare PR</t>
  </si>
  <si>
    <t>healthcare public relations</t>
  </si>
  <si>
    <t>healthcare startup fails</t>
  </si>
  <si>
    <t>healthcare trends</t>
  </si>
  <si>
    <t>healthcare website design</t>
  </si>
  <si>
    <t>hitrust</t>
  </si>
  <si>
    <t>https://www.digitalauthority.me/resources/hitrust-certification-guideline/</t>
  </si>
  <si>
    <t>hotel marketing</t>
  </si>
  <si>
    <t>https://www.digitalauthority.me/resources/hotel-digital-marketing-tips/</t>
  </si>
  <si>
    <t>how to build a successful business</t>
  </si>
  <si>
    <t>how to market financial services</t>
  </si>
  <si>
    <t>increase app downloads</t>
  </si>
  <si>
    <t>it marketing</t>
  </si>
  <si>
    <t>marketing for financial services</t>
  </si>
  <si>
    <t>marketing plan for financial services</t>
  </si>
  <si>
    <t xml:space="preserve">marketing terms </t>
  </si>
  <si>
    <t>Mixpanel partner</t>
  </si>
  <si>
    <t>mobile app development</t>
  </si>
  <si>
    <t>week 3</t>
  </si>
  <si>
    <t>mobile app marketing</t>
  </si>
  <si>
    <t>molina healthcare news</t>
  </si>
  <si>
    <t>multivitamins</t>
  </si>
  <si>
    <t>https://healthcareweekly.com/multivitamins/</t>
  </si>
  <si>
    <t>online reputation management for doctors</t>
  </si>
  <si>
    <t>online reputation management techniques</t>
  </si>
  <si>
    <t>pharma marketing</t>
  </si>
  <si>
    <t>https://www.digitalauthority.me/resources/pharma-marketing-guide/</t>
  </si>
  <si>
    <t>SEO fails</t>
  </si>
  <si>
    <t>seo vs sem</t>
  </si>
  <si>
    <t>social media whitepaper</t>
  </si>
  <si>
    <t>telemedicine</t>
  </si>
  <si>
    <t>web analytics services</t>
  </si>
  <si>
    <t>web design agency</t>
  </si>
  <si>
    <t>https://www.digitalauthority.me/web-design-chicago</t>
  </si>
  <si>
    <t>data driven marketing</t>
  </si>
  <si>
    <t>outsource mobile app development</t>
  </si>
  <si>
    <t>cbd oil</t>
  </si>
  <si>
    <t xml:space="preserve">"CBD guide
https://www.cbdkyro.com/cbd-oil/
https://healthcareweekly.com/cbd-oil/"       </t>
  </si>
  <si>
    <t>kool8 review</t>
  </si>
  <si>
    <t>week 5</t>
  </si>
  <si>
    <t>https://www.digitalauthority.me/web-analytics-services-chicago/</t>
  </si>
  <si>
    <t>week 6</t>
  </si>
  <si>
    <t>Published</t>
  </si>
  <si>
    <t>Spam %</t>
  </si>
  <si>
    <t>week 7</t>
  </si>
  <si>
    <t>Viable</t>
  </si>
  <si>
    <t>What for</t>
  </si>
  <si>
    <t>Notes</t>
  </si>
  <si>
    <t>Fiver ID/ Email</t>
  </si>
  <si>
    <t>Outlets we published on</t>
  </si>
  <si>
    <t>Price paid</t>
  </si>
  <si>
    <t>Anything</t>
  </si>
  <si>
    <t>Business</t>
  </si>
  <si>
    <t>Marketing</t>
  </si>
  <si>
    <t>Tech</t>
  </si>
  <si>
    <t>Lifestyle/Health</t>
  </si>
  <si>
    <t>Casinos</t>
  </si>
  <si>
    <t>Protein</t>
  </si>
  <si>
    <t>News</t>
  </si>
  <si>
    <t>Fiver ID</t>
  </si>
  <si>
    <t>Outlet</t>
  </si>
  <si>
    <t>Price</t>
  </si>
  <si>
    <t>digitalredcube</t>
  </si>
  <si>
    <t>http://scalar.usc.edu</t>
  </si>
  <si>
    <t>Y</t>
  </si>
  <si>
    <t>Codrin's account</t>
  </si>
  <si>
    <t>today.com</t>
  </si>
  <si>
    <t>foggyy</t>
  </si>
  <si>
    <t>www.reliablecounter.com</t>
  </si>
  <si>
    <t>Multitude from sports to animation</t>
  </si>
  <si>
    <t>support@smthemes.com</t>
  </si>
  <si>
    <t>mthemes.com</t>
  </si>
  <si>
    <t>hosting, development, seo, design trends // website under construction</t>
  </si>
  <si>
    <t>rohitink</t>
  </si>
  <si>
    <t>rohitink.com</t>
  </si>
  <si>
    <t>SEO</t>
  </si>
  <si>
    <t>nabilahasan</t>
  </si>
  <si>
    <t>https://www.selfgrowth.com/</t>
  </si>
  <si>
    <t>general, lifestyle, wellness</t>
  </si>
  <si>
    <t>free sign up</t>
  </si>
  <si>
    <t>www.theodysseyonline.com/</t>
  </si>
  <si>
    <t>-</t>
  </si>
  <si>
    <t>info@tgdaily.com</t>
  </si>
  <si>
    <t>tgdaily.com</t>
  </si>
  <si>
    <t>sushovan57</t>
  </si>
  <si>
    <t>http://blog.ideafit.com/</t>
  </si>
  <si>
    <t>seowar@gmail.com</t>
  </si>
  <si>
    <t xml:space="preserve">Webdesign.org </t>
  </si>
  <si>
    <t>Web design</t>
  </si>
  <si>
    <t>rk_8998@yahoo.com</t>
  </si>
  <si>
    <t>http://www.dezzain.com/</t>
  </si>
  <si>
    <t>SEO, business, technology</t>
  </si>
  <si>
    <t>N</t>
  </si>
  <si>
    <t>vujo91</t>
  </si>
  <si>
    <t>https://thefrisky.com</t>
  </si>
  <si>
    <t>Entertainment, relationships, celebrities</t>
  </si>
  <si>
    <t>torkad@gmail.com</t>
  </si>
  <si>
    <t>https://socialmediaexplorer.com/</t>
  </si>
  <si>
    <t>social media, content marketing</t>
  </si>
  <si>
    <t>Irshadseo1
hiwebsolutions</t>
  </si>
  <si>
    <t>https://pitchengine.com/</t>
  </si>
  <si>
    <t>15
$4</t>
  </si>
  <si>
    <t>PR, software</t>
  </si>
  <si>
    <t>Article topic / link</t>
  </si>
  <si>
    <t>For outlet</t>
  </si>
  <si>
    <t>divjot.co</t>
  </si>
  <si>
    <t>This is for...</t>
  </si>
  <si>
    <t>Publisher</t>
  </si>
  <si>
    <t>Contact info</t>
  </si>
  <si>
    <t>Draft status</t>
  </si>
  <si>
    <t>spyre studios via noemi.splashpress@gmail.com</t>
  </si>
  <si>
    <t>check in 2/15</t>
  </si>
  <si>
    <t>Internet, photoshop</t>
  </si>
  <si>
    <t>www.equities.com</t>
  </si>
  <si>
    <t>finance, fintech etc</t>
  </si>
  <si>
    <t>sbanks@cbmeg.co.uk</t>
  </si>
  <si>
    <t>bmmagazine.co.uk</t>
  </si>
  <si>
    <t>sent to tgdaily.com</t>
  </si>
  <si>
    <t>Finance, business, tech</t>
  </si>
  <si>
    <t>bitrebels@gmail.com</t>
  </si>
  <si>
    <t>http://www.bitrebels.com/</t>
  </si>
  <si>
    <t>https://lodestar.asu.edu/content/write-us</t>
  </si>
  <si>
    <t>newsblaze.com</t>
  </si>
  <si>
    <t>ComboApp; codrin emailed on 5/18</t>
  </si>
  <si>
    <t>news, business, marketing etc</t>
  </si>
  <si>
    <t>yesecom</t>
  </si>
  <si>
    <t>blog.clicksor.com</t>
  </si>
  <si>
    <t>https://www.teethgrinder.co.uk/</t>
  </si>
  <si>
    <t xml:space="preserve">article submitted over email to https://www.smallbizdaily.com/ editor@growbizmedia.com
if they don't publish it, publish on DAP blog. in correspondence with mhaubrich@growbizmedia.com
</t>
  </si>
  <si>
    <t>outwaynetwork.com/ via email shineinfomedia@gmail.com</t>
  </si>
  <si>
    <t>becomegorgeous.com/</t>
  </si>
  <si>
    <t>astaxanthin</t>
  </si>
  <si>
    <t>sent to articles@heartifb.com on 5/25</t>
  </si>
  <si>
    <t>thislittlecity7@gmail.com</t>
  </si>
  <si>
    <t>http://isitvivid.com/</t>
  </si>
  <si>
    <t>maptia.com via edward83</t>
  </si>
  <si>
    <t>https://www.awe.sm/</t>
  </si>
  <si>
    <t>https://articles.abilogic.com/ via edward83</t>
  </si>
  <si>
    <t>lean@businessopportunities.biz</t>
  </si>
  <si>
    <t>http://www.business-opportunities.biz/</t>
  </si>
  <si>
    <t>info@discussdesk.com</t>
  </si>
  <si>
    <t>freepress@ntelos.net</t>
  </si>
  <si>
    <t>augustafreepress.com/</t>
  </si>
  <si>
    <t>submitted to socialnomics.net directly</t>
  </si>
  <si>
    <t>contributeic@gmail.com</t>
  </si>
  <si>
    <t>deadlinenews.co.uk via email</t>
  </si>
  <si>
    <t>atebits.com</t>
  </si>
  <si>
    <t>seotechyworld@gmail.com</t>
  </si>
  <si>
    <t>amitchavan0203@gmail.com</t>
  </si>
  <si>
    <t>ultimate-tech-news.com</t>
  </si>
  <si>
    <t>suzanna@t2conline.com</t>
  </si>
  <si>
    <t>t2conline.com</t>
  </si>
  <si>
    <t>lifestyle / health</t>
  </si>
  <si>
    <t>julee_morrison@yahoo.com</t>
  </si>
  <si>
    <t>https://icharts.net/</t>
  </si>
  <si>
    <t>tiernan@apppicker.com</t>
  </si>
  <si>
    <t>apppicker.com</t>
  </si>
  <si>
    <t>mobile apps</t>
  </si>
  <si>
    <t>https://d-addicts.com/category/more/</t>
  </si>
  <si>
    <t>advertise@homebusinessmag.com</t>
  </si>
  <si>
    <t>homebusinessmag.com</t>
  </si>
  <si>
    <t>1 link only</t>
  </si>
  <si>
    <t>info@logq.com</t>
  </si>
  <si>
    <t>blinkbits.com</t>
  </si>
  <si>
    <t>info@buzz2fone.com</t>
  </si>
  <si>
    <t>https://www.jcount.com/</t>
  </si>
  <si>
    <t>Startups</t>
  </si>
  <si>
    <t>palermo.tom@gmail.com</t>
  </si>
  <si>
    <t>spacecoastdaily.com</t>
  </si>
  <si>
    <t>liz@toptut.com</t>
  </si>
  <si>
    <t>loreleiwebdesign.com</t>
  </si>
  <si>
    <t>web design</t>
  </si>
  <si>
    <t>harcourthealth.com</t>
  </si>
  <si>
    <t>http://baltimorepostexaminer.com/</t>
  </si>
  <si>
    <t>www.meldium.com</t>
  </si>
  <si>
    <t>designbeep@gmail.com</t>
  </si>
  <si>
    <t>http://designbeep.com</t>
  </si>
  <si>
    <t>jeff@besttechie.com</t>
  </si>
  <si>
    <t>besttechie.com</t>
  </si>
  <si>
    <t>digitalredcube
hiwebsolutions</t>
  </si>
  <si>
    <t>world.edu</t>
  </si>
  <si>
    <t>$10
$4</t>
  </si>
  <si>
    <t>xavixstore.com</t>
  </si>
  <si>
    <t>sirangikalpana@gmail.com</t>
  </si>
  <si>
    <t>www.techiestate.com</t>
  </si>
  <si>
    <t>kevin@knowtechie.com</t>
  </si>
  <si>
    <t>knowtechie.com</t>
  </si>
  <si>
    <t>info@mscareergirl.com</t>
  </si>
  <si>
    <t>mscareergirl.com</t>
  </si>
  <si>
    <t>leekmin@gmail.com</t>
  </si>
  <si>
    <t>http://fooyoh.com/</t>
  </si>
  <si>
    <t>Hiwebsolutions</t>
  </si>
  <si>
    <t>format.com</t>
  </si>
  <si>
    <t>chandigarhofficial.com</t>
  </si>
  <si>
    <t>marcee@cascadebusnews.com</t>
  </si>
  <si>
    <t>cascadebusnews.com</t>
  </si>
  <si>
    <t>hakhan201</t>
  </si>
  <si>
    <t>www.tapscape.com</t>
  </si>
  <si>
    <t xml:space="preserve"> Rohitink</t>
  </si>
  <si>
    <t>codetorank.com</t>
  </si>
  <si>
    <t>contact@saasgenius.com</t>
  </si>
  <si>
    <t>unitedfinances.com/</t>
  </si>
  <si>
    <t>finance</t>
  </si>
  <si>
    <t>theglobaldispatch@gmail.com</t>
  </si>
  <si>
    <t>theglobaldispatch.com</t>
  </si>
  <si>
    <t>theallmag3@gmail.com</t>
  </si>
  <si>
    <t>business and health</t>
  </si>
  <si>
    <t>markob17</t>
  </si>
  <si>
    <t>https://www.askthetrainer.com/</t>
  </si>
  <si>
    <t>www.lapshock.com</t>
  </si>
  <si>
    <t>southafricatodayseo@gmail.com</t>
  </si>
  <si>
    <t>southafricatoday.net/</t>
  </si>
  <si>
    <t>ross@consciouslifenews.com</t>
  </si>
  <si>
    <t>consciouslifenews.com</t>
  </si>
  <si>
    <t>wakobasam@gmail.com</t>
  </si>
  <si>
    <t>techmoran.com</t>
  </si>
  <si>
    <t>https://brandfuge.com/</t>
  </si>
  <si>
    <t>https://sourcefed.com/</t>
  </si>
  <si>
    <t>gordonwilson13</t>
  </si>
  <si>
    <t>blog.businesscasestudies.co.uk</t>
  </si>
  <si>
    <t>wellbeingwebsite@gmail.com</t>
  </si>
  <si>
    <t>wellbeing-support.com</t>
  </si>
  <si>
    <t>jaspal@savedelete.com</t>
  </si>
  <si>
    <t>savedelete.com</t>
  </si>
  <si>
    <t>https://myventurepad.com/</t>
  </si>
  <si>
    <t>easyfinance.com</t>
  </si>
  <si>
    <t>axcessnews.com</t>
  </si>
  <si>
    <t>falconhive.com</t>
  </si>
  <si>
    <t>bob@coolbluemedia.net</t>
  </si>
  <si>
    <t>therealtimereport.com</t>
  </si>
  <si>
    <t>http://www.epubzone.org/</t>
  </si>
  <si>
    <t>finance marketing etc</t>
  </si>
  <si>
    <t>https://www.centrinity.com/</t>
  </si>
  <si>
    <t>seo tech business</t>
  </si>
  <si>
    <t>http://tlists.com/</t>
  </si>
  <si>
    <t>social mobile marketing</t>
  </si>
  <si>
    <t>www.bigtimedaily.com</t>
  </si>
  <si>
    <t>must have news angle</t>
  </si>
  <si>
    <t>https://butterflylabs.com/</t>
  </si>
  <si>
    <t>health lifestyle tech</t>
  </si>
  <si>
    <t xml:space="preserve">TheStuffofSuccess@gmail.com </t>
  </si>
  <si>
    <t>https://stuckathomemom.com/</t>
  </si>
  <si>
    <t>mowenllc@gmail.com</t>
  </si>
  <si>
    <t>rocketnews.com</t>
  </si>
  <si>
    <t>week 8</t>
  </si>
  <si>
    <t>anything</t>
  </si>
  <si>
    <t>debongo</t>
  </si>
  <si>
    <t>itsguru.com</t>
  </si>
  <si>
    <t>analytics etc</t>
  </si>
  <si>
    <t>contact@topdreamer.com</t>
  </si>
  <si>
    <t>topdreamer.com</t>
  </si>
  <si>
    <t>advertising@primestandardmedia.com</t>
  </si>
  <si>
    <t>isurfwebster.com</t>
  </si>
  <si>
    <t>medicalmingle.com/</t>
  </si>
  <si>
    <t>alltes.com</t>
  </si>
  <si>
    <t xml:space="preserve">rohitink </t>
  </si>
  <si>
    <t>Bestoftheyear.in</t>
  </si>
  <si>
    <t>movies, bollywood</t>
  </si>
  <si>
    <t>thesocialmediamonthly.com</t>
  </si>
  <si>
    <t>Network@drprem.com</t>
  </si>
  <si>
    <t>ecofriend.org</t>
  </si>
  <si>
    <t>eco, gadgets, tech</t>
  </si>
  <si>
    <t>vujo92</t>
  </si>
  <si>
    <t>https://foreignpolicyi.org</t>
  </si>
  <si>
    <t>policy news</t>
  </si>
  <si>
    <t>startupopinions.com</t>
  </si>
  <si>
    <t>startups, tech, marketing</t>
  </si>
  <si>
    <t>onprince</t>
  </si>
  <si>
    <t>stuffablog.com</t>
  </si>
  <si>
    <t>joshuamerric335</t>
  </si>
  <si>
    <t>floridaindependent.com</t>
  </si>
  <si>
    <t>admin@sguru.org</t>
  </si>
  <si>
    <t>&gt;100</t>
  </si>
  <si>
    <t>www.techgyd.com</t>
  </si>
  <si>
    <t>65k traffic tech</t>
  </si>
  <si>
    <t>3dartistrawat@gmail.com</t>
  </si>
  <si>
    <t>stuffablog.com/</t>
  </si>
  <si>
    <t>tech, how to marketing</t>
  </si>
  <si>
    <t>designbuzz.com</t>
  </si>
  <si>
    <t>tech, fashion, home</t>
  </si>
  <si>
    <t>christopher@scallywagandvagabond.com</t>
  </si>
  <si>
    <t>scallywagandvagabond.com</t>
  </si>
  <si>
    <t>general; *accepts only one link!</t>
  </si>
  <si>
    <t>http://www.ukuncut.org.uk/</t>
  </si>
  <si>
    <t>marketing, business</t>
  </si>
  <si>
    <t>aleksander10</t>
  </si>
  <si>
    <t>https://curiousmindmagazine.com/</t>
  </si>
  <si>
    <t xml:space="preserve">NA </t>
  </si>
  <si>
    <t>https://www.techsite.io/</t>
  </si>
  <si>
    <t>ecofriend.com</t>
  </si>
  <si>
    <t>environment friendly stuff</t>
  </si>
  <si>
    <t>http://www.articlerich.com/</t>
  </si>
  <si>
    <t>info@topteny.com</t>
  </si>
  <si>
    <t>topteny.com/</t>
  </si>
  <si>
    <t>anything, super high organic traffic</t>
  </si>
  <si>
    <t>harshil@justwebworld.com</t>
  </si>
  <si>
    <t>justwebworld.com/</t>
  </si>
  <si>
    <t>business marketing web design</t>
  </si>
  <si>
    <t>fashiondivadesign.com/</t>
  </si>
  <si>
    <t>fashion/ lifestyle</t>
  </si>
  <si>
    <t>This is for</t>
  </si>
  <si>
    <t>Contact</t>
  </si>
  <si>
    <t>Submitted?</t>
  </si>
  <si>
    <t>Published?</t>
  </si>
  <si>
    <t>carolyn@healthyvoyager.com</t>
  </si>
  <si>
    <t>healthyvoyager.com</t>
  </si>
  <si>
    <t>Rebeca- need to edit - - xyz</t>
  </si>
  <si>
    <t>blogsaays@gmail.com https://www.blogsaays.com/write-guest-post/</t>
  </si>
  <si>
    <t>lifestyle and travel</t>
  </si>
  <si>
    <t>azizauko@gmail.com</t>
  </si>
  <si>
    <t>thetrentonline.com</t>
  </si>
  <si>
    <t>general</t>
  </si>
  <si>
    <t>get@ruhanirabin.com</t>
  </si>
  <si>
    <t>ruhanirabin.com</t>
  </si>
  <si>
    <t>rushprnews.com</t>
  </si>
  <si>
    <t>https://pspl.com/</t>
  </si>
  <si>
    <t>need pictures</t>
  </si>
  <si>
    <t>www.pouted.com</t>
  </si>
  <si>
    <t>https://uberant.com/</t>
  </si>
  <si>
    <t>free</t>
  </si>
  <si>
    <t>andiperullo@aol.com</t>
  </si>
  <si>
    <t>http://mybeautifuladventures.com</t>
  </si>
  <si>
    <t>did kool8 // travel stuff</t>
  </si>
  <si>
    <t>send one pharma related article: http://www.thesleuthjournal.com/guest-article-and-news-tips-submission/</t>
  </si>
  <si>
    <t>oneworldherald.com</t>
  </si>
  <si>
    <t>must define topic here: http://historynewsnetwork.org/submissions.html</t>
  </si>
  <si>
    <t xml:space="preserve">must find article topic for https://inspirationfeed.com/guest-writing/ </t>
  </si>
  <si>
    <t>edugorilla.com good outlet. $45. need some educational topic for it.</t>
  </si>
  <si>
    <t>must have a news angle!</t>
  </si>
  <si>
    <t>We'd love an article from you AI, Big Data and/or Digital Strategy.  Please submit one to on to me, when you're ready and we'll get started.  Email me at dh@iris.xyz Doug</t>
  </si>
  <si>
    <t xml:space="preserve">articles@usabusinessradio.net </t>
  </si>
  <si>
    <t>send two more to advertising@primestandardmedia.com; one for kool8 and one for cbdoil</t>
  </si>
  <si>
    <t>http://usdailyreview.com/</t>
  </si>
  <si>
    <t>must create an amazing article for https://www.simonstapleton.com/wordpress/write-for-me/</t>
  </si>
  <si>
    <t>https://www.growingmagazine.com/
http://www.urbanfarmonline.com/
farmers + Kool8 via vujo91
https://www.antonio-carluccio.com/ - via salmon is amazing for you + astafucky</t>
  </si>
  <si>
    <t>https://seekingalpha.com/account/become_a_contributor smth tied to healthcare + pharma reference https://seekingalpha.com/article/4083347-artificial-intelligence-real-thing-pharma-medtech</t>
  </si>
  <si>
    <t>https://www.ddw-online.com/submit-an-article/p102809-submit-articles-to-ddw.html needs 3,000 words</t>
  </si>
  <si>
    <t>https://qrius.com/write/ . needs 2,000 words</t>
  </si>
  <si>
    <t>http://www.marketoracle.co.uk/FAQ-id_cat-2.html#q3 - very good outlet. finance. must think topic</t>
  </si>
  <si>
    <t>info@biopharmatrend.com - must be super good article.</t>
  </si>
  <si>
    <t>http://historynewsnetwork.org/submissions.html super amazing. write article on AI/ China etc.</t>
  </si>
  <si>
    <t>bonbonbreak.com bonbonbreak@gmail.com; personal email. 500 rate. DR 51</t>
  </si>
  <si>
    <t>next two Kool 8 articles for techgyd.com and sguru via admin@sguru.org</t>
  </si>
  <si>
    <t>https://www.givology.org/ Codrin's account. need smth tied to education, giving, international stuff etc.</t>
  </si>
  <si>
    <t>falconhive.com - power of branding. tie to kool8</t>
  </si>
  <si>
    <t>when there's enough content on coolthingschicago.com reach out to these guys super DR</t>
  </si>
  <si>
    <t>https://www.americantowns.com/</t>
  </si>
  <si>
    <t>mark@southfloridareporter.com</t>
  </si>
  <si>
    <t>southfloridareporter.com</t>
  </si>
  <si>
    <t>editor@supportforstepdads.com  legit. need to find topic / angle since it's about family and stuff</t>
  </si>
  <si>
    <t>when we have money look at this: https://smallbiztrends.com/advertise</t>
  </si>
  <si>
    <t>rcpkrc@msn.com</t>
  </si>
  <si>
    <t>dailynewsen.com</t>
  </si>
  <si>
    <r>
      <rPr>
        <b/>
        <sz val="10"/>
        <rFont val="Arial"/>
      </rPr>
      <t>hiwebsolutions</t>
    </r>
    <r>
      <rPr>
        <sz val="10"/>
        <color rgb="FF000000"/>
        <rFont val="Arial"/>
      </rPr>
      <t xml:space="preserve"> fiverr; has decent list. order of 5. when we have the next batch should consider her. </t>
    </r>
  </si>
  <si>
    <r>
      <rPr>
        <b/>
        <sz val="10"/>
        <rFont val="Arial"/>
      </rPr>
      <t>bloggersamar</t>
    </r>
    <r>
      <rPr>
        <sz val="10"/>
        <color rgb="FF000000"/>
        <rFont val="Arial"/>
      </rPr>
      <t xml:space="preserve"> - really good list when we have articles</t>
    </r>
  </si>
  <si>
    <r>
      <rPr>
        <b/>
        <sz val="10"/>
        <rFont val="Arial"/>
      </rPr>
      <t>puja_halder</t>
    </r>
    <r>
      <rPr>
        <sz val="10"/>
        <color rgb="FF000000"/>
        <rFont val="Arial"/>
      </rPr>
      <t xml:space="preserve"> - decent list to check. 
</t>
    </r>
  </si>
  <si>
    <r>
      <rPr>
        <b/>
        <sz val="10"/>
        <rFont val="Arial"/>
      </rPr>
      <t xml:space="preserve">hifza544 </t>
    </r>
    <r>
      <rPr>
        <sz val="10"/>
        <color rgb="FF000000"/>
        <rFont val="Arial"/>
      </rPr>
      <t>https://docs.google.com/spreadsheets/d/1KRfYt5XtBjKmKUfOz2HIqv0_TjKTOcvNKM2r_I8INKw/edit#gid=0</t>
    </r>
    <r>
      <rPr>
        <b/>
        <sz val="10"/>
        <rFont val="Arial"/>
      </rPr>
      <t xml:space="preserve">
</t>
    </r>
    <r>
      <rPr>
        <sz val="10"/>
        <color rgb="FF000000"/>
        <rFont val="Arial"/>
      </rPr>
      <t xml:space="preserve">
 </t>
    </r>
  </si>
  <si>
    <r>
      <rPr>
        <b/>
        <sz val="10"/>
        <rFont val="Arial"/>
      </rPr>
      <t>nadine_casey</t>
    </r>
    <r>
      <rPr>
        <sz val="10"/>
        <color rgb="FF000000"/>
        <rFont val="Arial"/>
      </rPr>
      <t xml:space="preserve">: https://docs.google.com/spreadsheets/d/1YH7aKj3_hhtoMvJk5BX-NC29NIFh6mMZ_TMRWAd6okc/edit#gid=0
</t>
    </r>
  </si>
  <si>
    <t>contact@designlike.com</t>
  </si>
  <si>
    <t>designlike.com</t>
  </si>
  <si>
    <t>week 9</t>
  </si>
  <si>
    <t>Residence Style.com - kool8?</t>
  </si>
  <si>
    <t>free guest post. must be on tips for hotels - tied to th hotel online marketing article: https://www.hotelspeak.com/submissions/</t>
  </si>
  <si>
    <t>https://breakingmuscle.com/write-for-us super high DR</t>
  </si>
  <si>
    <t>drprem.com</t>
  </si>
  <si>
    <t>must call these guys content marketing for breweries amazing DR: http://draftmag.com/advertising/</t>
  </si>
  <si>
    <t xml:space="preserve">free to post. need to figure out content </t>
  </si>
  <si>
    <t>https://www.youthkiawaaz.com/</t>
  </si>
  <si>
    <t>greendiary.com</t>
  </si>
  <si>
    <t>https://www.mylifeline.org/</t>
  </si>
  <si>
    <t>gavin@businessfirstni.co.uk</t>
  </si>
  <si>
    <t>businessfirstonline.co.uk</t>
  </si>
  <si>
    <t>http://www.pen.io/</t>
  </si>
  <si>
    <t>lmcordoba.com.ar</t>
  </si>
  <si>
    <t>Codrin must continue monster article on question for marketing agency</t>
  </si>
  <si>
    <t>article about presents - free to publish</t>
  </si>
  <si>
    <t>http://workitmom.com/</t>
  </si>
  <si>
    <t>https://www.tastefulspace.com/</t>
  </si>
  <si>
    <t>Miguel - Screenprintthis &amp; Chicago design agency</t>
  </si>
  <si>
    <t>http://www.fashionindustrynetwork.com/</t>
  </si>
  <si>
    <t>editor@mobileappdaily.com</t>
  </si>
  <si>
    <t>https://www.mobileappdaily.com/</t>
  </si>
  <si>
    <t>blogs - gifts - miguel</t>
  </si>
  <si>
    <t>https://dailygram.com/index.php/</t>
  </si>
  <si>
    <t>need to think about a campaign for website ADA compliance for this since likely expensive but targeted as fuck</t>
  </si>
  <si>
    <t>https://www.jeffbullas.com/</t>
  </si>
  <si>
    <t>priceofbusiness.com</t>
  </si>
  <si>
    <t>last article denied. Super great DR. Must create an article exclusively for this outlet</t>
  </si>
  <si>
    <t>getresponse.com</t>
  </si>
  <si>
    <t>https://small-bizsense.com/</t>
  </si>
  <si>
    <t>https://blog.businesscasestudies.co.uk/topics/business-case-studies/ power of packaging and modern stuff - kool 8 review that is</t>
  </si>
  <si>
    <t>marketing</t>
  </si>
  <si>
    <t>support@bertmartinez.com</t>
  </si>
  <si>
    <t>MoneyForLunch.com</t>
  </si>
  <si>
    <t>sethuramkishore.ch@gmail.com</t>
  </si>
  <si>
    <t>www.worthview.com</t>
  </si>
  <si>
    <t>magnummarketing</t>
  </si>
  <si>
    <t>pureresiduals.com</t>
  </si>
  <si>
    <t>seo, marketing</t>
  </si>
  <si>
    <t>dietoflife.com</t>
  </si>
  <si>
    <t xml:space="preserve">contact@saasgenius.com </t>
  </si>
  <si>
    <t>saasgenius.com</t>
  </si>
  <si>
    <t>week 10</t>
  </si>
  <si>
    <t>https://deliciouslysavvy.com/</t>
  </si>
  <si>
    <t>minmaro@gmail.com</t>
  </si>
  <si>
    <t>scienceprog.com</t>
  </si>
  <si>
    <t>healthcare and tech</t>
  </si>
  <si>
    <t>www.munplanet.com</t>
  </si>
  <si>
    <t>chief@negosentro.com</t>
  </si>
  <si>
    <t>negosentro.com</t>
  </si>
  <si>
    <t>rachael@tastefulspace.com</t>
  </si>
  <si>
    <t>mindstick.com</t>
  </si>
  <si>
    <t>tech, IT</t>
  </si>
  <si>
    <t>vbrewood@gmail.com</t>
  </si>
  <si>
    <t>pommietravels.com</t>
  </si>
  <si>
    <t>travel, lifestyle</t>
  </si>
  <si>
    <t>https://sli.mg/</t>
  </si>
  <si>
    <t>web design, business, tech</t>
  </si>
  <si>
    <t>thealmostdone@yahoo.com</t>
  </si>
  <si>
    <t>https://thealmostdone.com/</t>
  </si>
  <si>
    <t>marketing, business, social media</t>
  </si>
  <si>
    <t>michaelje400</t>
  </si>
  <si>
    <t>http://amolife.com/</t>
  </si>
  <si>
    <t>healthcare</t>
  </si>
  <si>
    <t>klaus@techpatio.com</t>
  </si>
  <si>
    <t>techpatio.com</t>
  </si>
  <si>
    <t>business, general, marketing</t>
  </si>
  <si>
    <t>drupnar@gmail.com</t>
  </si>
  <si>
    <t>Techicy.com</t>
  </si>
  <si>
    <t>business, finance, tech</t>
  </si>
  <si>
    <t>Emphas.is</t>
  </si>
  <si>
    <t>briefmobile.com</t>
  </si>
  <si>
    <t>mobile and tech business</t>
  </si>
  <si>
    <t>http://www.itsgettinghotinhere.org/</t>
  </si>
  <si>
    <t>week 11</t>
  </si>
  <si>
    <t>healthcare pr</t>
  </si>
  <si>
    <t>karrenh@gmail.com</t>
  </si>
  <si>
    <t>http://ohmyheartsiegirl.com</t>
  </si>
  <si>
    <t>http://bestfatburner.biz/</t>
  </si>
  <si>
    <t>citizeneffect.org</t>
  </si>
  <si>
    <t>roboearth.org</t>
  </si>
  <si>
    <t>http://affordablecomfort.org/</t>
  </si>
  <si>
    <t>postrunner</t>
  </si>
  <si>
    <t>olaladirectory.com.au</t>
  </si>
  <si>
    <t>info@igeekphone.com</t>
  </si>
  <si>
    <t>igeekphone.com</t>
  </si>
  <si>
    <t>electronics</t>
  </si>
  <si>
    <t>gcgrann@gmail.com</t>
  </si>
  <si>
    <t>shiftfrequency.com</t>
  </si>
  <si>
    <t>health, lifestyle, cbd etc</t>
  </si>
  <si>
    <t>janusatienza@gmail.com</t>
  </si>
  <si>
    <t>doctortipster.com</t>
  </si>
  <si>
    <t>health and fitness</t>
  </si>
  <si>
    <t>diyhealth.com</t>
  </si>
  <si>
    <t>health and health tech</t>
  </si>
  <si>
    <t>hometone.com</t>
  </si>
  <si>
    <t>lifestyle</t>
  </si>
  <si>
    <t>infobeat.com/</t>
  </si>
  <si>
    <t>marketing, business, finance</t>
  </si>
  <si>
    <t>insidecatholic.com</t>
  </si>
  <si>
    <t>tech, health, fashion</t>
  </si>
  <si>
    <t>nikola@gulevski.com</t>
  </si>
  <si>
    <t>explosion.com</t>
  </si>
  <si>
    <t>anything; personal</t>
  </si>
  <si>
    <t>haley@lifestylelinks.net</t>
  </si>
  <si>
    <t>flurl.com</t>
  </si>
  <si>
    <t>sangi.gau4@gmail.com</t>
  </si>
  <si>
    <t>worldoffemale.com</t>
  </si>
  <si>
    <t>lifestyle, beauty, health</t>
  </si>
  <si>
    <t>https://revenuesandprofits.com/</t>
  </si>
  <si>
    <t>business healthcare tech</t>
  </si>
  <si>
    <t>cascadeae.com</t>
  </si>
  <si>
    <t>local stuff, Oregon, travel, casino</t>
  </si>
  <si>
    <t>https://www.independent.mk/</t>
  </si>
  <si>
    <t>www.womensconference.org/</t>
  </si>
  <si>
    <t>https://thestuffofsuccess.com/</t>
  </si>
  <si>
    <t>https://www.onebyfourstudio.com/</t>
  </si>
  <si>
    <t>https://www.serversfree.com/</t>
  </si>
  <si>
    <t>sguru.org</t>
  </si>
  <si>
    <t>Opptrends.com</t>
  </si>
  <si>
    <t>ravishankarbjp</t>
  </si>
  <si>
    <t>meetrv.com</t>
  </si>
  <si>
    <t>marketign tech seo</t>
  </si>
  <si>
    <t>embedds.com</t>
  </si>
  <si>
    <t>tech and design</t>
  </si>
  <si>
    <t>instablogs.com</t>
  </si>
  <si>
    <t>business, lifestyle, technology</t>
  </si>
  <si>
    <t>https://ribbon.co/</t>
  </si>
  <si>
    <t>mashum.webmaster@gmail.com</t>
  </si>
  <si>
    <t>realwealthbusiness.com</t>
  </si>
  <si>
    <t>finance marketing tech</t>
  </si>
  <si>
    <t>https://contentrally.com/</t>
  </si>
  <si>
    <t>social media business lifestyle</t>
  </si>
  <si>
    <t>techmasai.com</t>
  </si>
  <si>
    <t>tech business marketing</t>
  </si>
  <si>
    <t xml:space="preserve"> info@portalmaya.com </t>
  </si>
  <si>
    <t>ExpressDigest.com</t>
  </si>
  <si>
    <t>news focussed</t>
  </si>
  <si>
    <t>tman4137@gmail.com</t>
  </si>
  <si>
    <t>https://thecompleteherbalguide.com/</t>
  </si>
  <si>
    <t>fitness &amp; health</t>
  </si>
  <si>
    <t>https://www.cleanweb.co/</t>
  </si>
  <si>
    <t>marketing business</t>
  </si>
  <si>
    <t>healthcarereformmagazine.com</t>
  </si>
  <si>
    <t>Vujo91</t>
  </si>
  <si>
    <t>whiteoutpress.com</t>
  </si>
  <si>
    <t>business, health, tech</t>
  </si>
  <si>
    <t>hassangill</t>
  </si>
  <si>
    <t>menaentrepreneur.org</t>
  </si>
  <si>
    <t>zipmeme.com</t>
  </si>
  <si>
    <t xml:space="preserve"> jaspal@savedelete.com</t>
  </si>
  <si>
    <t>thefabweb.com</t>
  </si>
  <si>
    <t>internet smart home social</t>
  </si>
  <si>
    <t>admin@easkme.com</t>
  </si>
  <si>
    <t>easkme.com</t>
  </si>
  <si>
    <t>blog.smarthealthshop.com/</t>
  </si>
  <si>
    <t>technicalustad@gmail.com</t>
  </si>
  <si>
    <t>technicalustad.com</t>
  </si>
  <si>
    <t>digital marketing</t>
  </si>
  <si>
    <t>contact@mediadigi.com</t>
  </si>
  <si>
    <t>topgoldforum.com</t>
  </si>
  <si>
    <t>week 12</t>
  </si>
  <si>
    <t>http://soft2share.com/</t>
  </si>
  <si>
    <t xml:space="preserve"> edwardjohnson83</t>
  </si>
  <si>
    <t>www.wearecontributors.com</t>
  </si>
  <si>
    <t>vickymaestro</t>
  </si>
  <si>
    <t>https://timesofstartups.com/</t>
  </si>
  <si>
    <t>entrepreneurship &amp; tech</t>
  </si>
  <si>
    <t>techlogitic@gmail.com</t>
  </si>
  <si>
    <t>techlogitic.net/</t>
  </si>
  <si>
    <t>tripatlas.com</t>
  </si>
  <si>
    <t>travel, eco, wellness</t>
  </si>
  <si>
    <t>techinexpert.com</t>
  </si>
  <si>
    <t>http://feelitcool.com</t>
  </si>
  <si>
    <t>lifestyle / travel</t>
  </si>
  <si>
    <t>fashionsy.com/</t>
  </si>
  <si>
    <t>webgaan
theallmag3@gmail.com</t>
  </si>
  <si>
    <t>https://5bestthings.com/</t>
  </si>
  <si>
    <t>$40
$30</t>
  </si>
  <si>
    <t>business, general</t>
  </si>
  <si>
    <t>thestuffofsuccess@gmail.com</t>
  </si>
  <si>
    <t>https://shabbychicboho.com/</t>
  </si>
  <si>
    <t>lifestyle/ moms</t>
  </si>
  <si>
    <t>e-papyrus.com</t>
  </si>
  <si>
    <t>miguel</t>
  </si>
  <si>
    <t>https://loreleiweb.com/</t>
  </si>
  <si>
    <t>SEO, marketing, design</t>
  </si>
  <si>
    <t>sherisse@websmore.co.uk</t>
  </si>
  <si>
    <t>getthebigpicture.net/</t>
  </si>
  <si>
    <t>newsforpublicblog@gmail.com</t>
  </si>
  <si>
    <t>https://www.newsforpublic.com/</t>
  </si>
  <si>
    <t>tech, seo, finance, lifestyle</t>
  </si>
  <si>
    <t>pswish.com</t>
  </si>
  <si>
    <t>http://tricksmode.com/</t>
  </si>
  <si>
    <t>technology</t>
  </si>
  <si>
    <t>virily.com</t>
  </si>
  <si>
    <t>technocodex@gmail.com</t>
  </si>
  <si>
    <t>technocodex.com</t>
  </si>
  <si>
    <t>tech and marketing</t>
  </si>
  <si>
    <t>email@technationnews.com</t>
  </si>
  <si>
    <t>technationnews.com</t>
  </si>
  <si>
    <t>marketing, devices, tech</t>
  </si>
  <si>
    <t>fintech startup marketing</t>
  </si>
  <si>
    <t>luxedb.com</t>
  </si>
  <si>
    <t>lifestyle (did Kool8)</t>
  </si>
  <si>
    <t>friendhood.net</t>
  </si>
  <si>
    <t>lifestyle, health (did Kool8)</t>
  </si>
  <si>
    <t>elenaonlineshop.net</t>
  </si>
  <si>
    <t>https://onlinenewsbuzz.com/</t>
  </si>
  <si>
    <t>business tech lifestyle</t>
  </si>
  <si>
    <t>bloggerspath.com</t>
  </si>
  <si>
    <t>internet tech marketing</t>
  </si>
  <si>
    <t>http://www.bakenstein.com/</t>
  </si>
  <si>
    <t>fantasticviewpoint.com</t>
  </si>
  <si>
    <t>thedishh.com</t>
  </si>
  <si>
    <t xml:space="preserve">mynewsfit.com </t>
  </si>
  <si>
    <t>news tech</t>
  </si>
  <si>
    <t>safeandhealthylife@gmail.com</t>
  </si>
  <si>
    <t>safeandhealthylife.com</t>
  </si>
  <si>
    <t>contact@unigamesity.com</t>
  </si>
  <si>
    <t>unigamesity.com</t>
  </si>
  <si>
    <t>gaming, virtual reality</t>
  </si>
  <si>
    <t>http://hoangthangit.com/</t>
  </si>
  <si>
    <t>week 13</t>
  </si>
  <si>
    <t>business, fashion, health, tech</t>
  </si>
  <si>
    <t>health, fashion, marketing</t>
  </si>
  <si>
    <t>asksotiris.com</t>
  </si>
  <si>
    <t>http://tiendagourmet.co</t>
  </si>
  <si>
    <t>https://manvsclock.com/</t>
  </si>
  <si>
    <t>travel</t>
  </si>
  <si>
    <t>mail@inthow.com</t>
  </si>
  <si>
    <t>inthow.com</t>
  </si>
  <si>
    <t>tech only; great traffic</t>
  </si>
  <si>
    <t>techfeast.co</t>
  </si>
  <si>
    <t>business tech marketing</t>
  </si>
  <si>
    <t>dennisstorch</t>
  </si>
  <si>
    <t>bodyprojex.com</t>
  </si>
  <si>
    <t>armer</t>
  </si>
  <si>
    <t>blogprocess.com/</t>
  </si>
  <si>
    <t>livinginthisseason.com</t>
  </si>
  <si>
    <t>health finance tech travel</t>
  </si>
  <si>
    <t>hoangthangit.com</t>
  </si>
  <si>
    <t>business, health, tech, travel</t>
  </si>
  <si>
    <t>womenfitnessmagazine@gmail.com</t>
  </si>
  <si>
    <t>womenfitnessmag.com</t>
  </si>
  <si>
    <t>soakmind.com</t>
  </si>
  <si>
    <t>seekerstime.com</t>
  </si>
  <si>
    <t>general news; must have a news angle!</t>
  </si>
  <si>
    <t>rogueimc.org</t>
  </si>
  <si>
    <t>http://vermontrepublic.org/</t>
  </si>
  <si>
    <t>business, entertainment, tech, health</t>
  </si>
  <si>
    <t>studio747</t>
  </si>
  <si>
    <t>https://beautyiswithin.net/</t>
  </si>
  <si>
    <t>week 14</t>
  </si>
  <si>
    <t>lifestyle, women etc</t>
  </si>
  <si>
    <t>Skype: avantplex</t>
  </si>
  <si>
    <t>mostinside.com</t>
  </si>
  <si>
    <t>http://healthcareinsides.com</t>
  </si>
  <si>
    <t>health</t>
  </si>
  <si>
    <t>makingbrandshappen@gmail.com</t>
  </si>
  <si>
    <t>makingbrandshappen.com</t>
  </si>
  <si>
    <t>Link</t>
  </si>
  <si>
    <t>Primary Client</t>
  </si>
  <si>
    <t>Secondary Client</t>
  </si>
  <si>
    <t>health, lifestyle, technology</t>
  </si>
  <si>
    <t>www.dietoflife.com</t>
  </si>
  <si>
    <t>Astaxanthin - Healthcareweekly</t>
  </si>
  <si>
    <t>NA</t>
  </si>
  <si>
    <t>aleksander9</t>
  </si>
  <si>
    <t>kevalbagadia</t>
  </si>
  <si>
    <t>Yes</t>
  </si>
  <si>
    <t>http://www.dietoflife.com/5-natural-ingredients-that-can-help-with-weight-loss/</t>
  </si>
  <si>
    <t>managerbiz.com</t>
  </si>
  <si>
    <t>joshuamerric334</t>
  </si>
  <si>
    <t>innewsweekly.com</t>
  </si>
  <si>
    <t>curiousmindmagazine.com</t>
  </si>
  <si>
    <t>doffitt
atifmallo92@gmail.com</t>
  </si>
  <si>
    <t>doffitt.com</t>
  </si>
  <si>
    <t>https://curiousmindmagazine.com/what-you-should-intake-to-help-support-cognitive-health/</t>
  </si>
  <si>
    <t>bitrebels</t>
  </si>
  <si>
    <t>marketing plan for financial services; fintech marketing</t>
  </si>
  <si>
    <t>yes</t>
  </si>
  <si>
    <t>lifestyle, technology</t>
  </si>
  <si>
    <t>http://www.bitrebels.com/business/fintech-marketers-marketing-roi-3-steps/</t>
  </si>
  <si>
    <t>webseasoning.com</t>
  </si>
  <si>
    <t>development related ones</t>
  </si>
  <si>
    <t>centricity.com</t>
  </si>
  <si>
    <t>www.thenewsfix.com</t>
  </si>
  <si>
    <t>https://www.centrinity.com/are-you-prepared-to-market-your-financial-product-in-2019/</t>
  </si>
  <si>
    <t>tech health</t>
  </si>
  <si>
    <t xml:space="preserve">info@namasteui.com </t>
  </si>
  <si>
    <t>https://www.namasteui.com/</t>
  </si>
  <si>
    <t xml:space="preserve">myventurepad.com </t>
  </si>
  <si>
    <t xml:space="preserve">eqlypz@gmail.com </t>
  </si>
  <si>
    <t>whatispsychology.biz</t>
  </si>
  <si>
    <t>https://myventurepad.com/four-effective-financial-services-marketing-techniques-for-2019/</t>
  </si>
  <si>
    <t>https://www.storeboard.com/united-states/</t>
  </si>
  <si>
    <t>https://businesstimes.co.tz/</t>
  </si>
  <si>
    <t>marketing terms</t>
  </si>
  <si>
    <t>https://www.heandshefitness.com/</t>
  </si>
  <si>
    <t xml:space="preserve">	http://amolife.com/	</t>
  </si>
  <si>
    <t>HCW- telemedicine + health technologies DAP</t>
  </si>
  <si>
    <t>http://amolife.com/healthy-life/telemedicine-all-you-should-know-about-this-new-exciting-techn.html</t>
  </si>
  <si>
    <t xml:space="preserve">www.nowg.net </t>
  </si>
  <si>
    <t>Edwardjohnson83</t>
  </si>
  <si>
    <t xml:space="preserve"> http://globallearning.world.edu/ sent to janedavies
 via viffer</t>
  </si>
  <si>
    <t>healthylifecentar.com</t>
  </si>
  <si>
    <t>http://globallearning.world.edu/2018/12/23/healthcare-startups-israeli-startup-debuts-astaxanthin-from-yeast</t>
  </si>
  <si>
    <t xml:space="preserve">health </t>
  </si>
  <si>
    <t>cameriross</t>
  </si>
  <si>
    <t>http://livinginthisseason.com/</t>
  </si>
  <si>
    <t xml:space="preserve">https://www.worthview.com/category/business/ </t>
  </si>
  <si>
    <t>reputation management for doctors</t>
  </si>
  <si>
    <t>fiverr</t>
  </si>
  <si>
    <t xml:space="preserve"> sethuramkishore.ch@gmail.com</t>
  </si>
  <si>
    <t>https://www.worthview.com/5-things-doctors-know-importance-online-reputation/</t>
  </si>
  <si>
    <t>timesofstartups.com</t>
  </si>
  <si>
    <t>DAP/ HCW</t>
  </si>
  <si>
    <t>editor@timesofstartups.com</t>
  </si>
  <si>
    <t>https://timesofstartups.com/interview/codrin-arsene-digital-authority-healthcare-weekly-founder-interview/</t>
  </si>
  <si>
    <t>brendastephens</t>
  </si>
  <si>
    <t>mediredvital.com</t>
  </si>
  <si>
    <t>alexhayden09</t>
  </si>
  <si>
    <t>http://www.diet2x.com/</t>
  </si>
  <si>
    <t>d-addicts.com via contributeic@gmail.com</t>
  </si>
  <si>
    <t>HCW/ DAP health</t>
  </si>
  <si>
    <t>https://d-addicts.com/why-every-hospital-should-be-excited-about-telemedicine-technologies/2018/</t>
  </si>
  <si>
    <t>kenyear.com</t>
  </si>
  <si>
    <t>tech finance health</t>
  </si>
  <si>
    <t>mohsinr</t>
  </si>
  <si>
    <t>http://wwonline.net/</t>
  </si>
  <si>
    <t>www.atebits.com email contributeic@gmail.com</t>
  </si>
  <si>
    <t>ann_holmes</t>
  </si>
  <si>
    <t>https://www.atebits.com/5-health-technologies-to-watch-for-in-2019/</t>
  </si>
  <si>
    <t>contact@topgoldforum.com</t>
  </si>
  <si>
    <t>healthchanging@gmail.com</t>
  </si>
  <si>
    <t>dcresource.biz</t>
  </si>
  <si>
    <t>sent to contact@topgoldforum.com</t>
  </si>
  <si>
    <t>https://topgoldforum.com/articles/seo/9-seo-tips-for-banks-financial-institutions-r71/</t>
  </si>
  <si>
    <t>http://drmusayeva.com/</t>
  </si>
  <si>
    <t>harcourthealth.com sent to torkad@gmail.com</t>
  </si>
  <si>
    <t xml:space="preserve">postrunner
</t>
  </si>
  <si>
    <t>submitted</t>
  </si>
  <si>
    <t>http://e-papyrus.com/astaxanthin-natural-ingredient-gives-hope-to-alzheimers-patients/</t>
  </si>
  <si>
    <t>travel health tech</t>
  </si>
  <si>
    <t>memetics.com</t>
  </si>
  <si>
    <t>business, entertainment, finance, health</t>
  </si>
  <si>
    <t>bobcassidy.net</t>
  </si>
  <si>
    <t>socialmediaexplorer.com</t>
  </si>
  <si>
    <t>https://lincolnlabs.com/</t>
  </si>
  <si>
    <t>DAP + healthcare marketing article</t>
  </si>
  <si>
    <t>https://projectdiaspora.org/</t>
  </si>
  <si>
    <t>https://socialmediaexplorer.com/content-marketing-2/9-content-marketing-techniques-you-should-try-in-2019/</t>
  </si>
  <si>
    <t xml:space="preserve">from Rebekahgillian </t>
  </si>
  <si>
    <t>https://www.awe.sm/2018/12/27/smarter-web-design-strategies-for-healthcare-organizations/</t>
  </si>
  <si>
    <t>https://rumyittips.com/</t>
  </si>
  <si>
    <t>internet, business, SEO</t>
  </si>
  <si>
    <t>http://www.insectuniverse.com/</t>
  </si>
  <si>
    <t>www.teethgrinder.co.uk</t>
  </si>
  <si>
    <t>health finance tech fashion</t>
  </si>
  <si>
    <t>good-after.com</t>
  </si>
  <si>
    <t>https://www.teethgrinder.co.uk/fintech-digital-marketing-strategies-for-2019-and-beyond/</t>
  </si>
  <si>
    <t>0</t>
  </si>
  <si>
    <t>fashion business health tech</t>
  </si>
  <si>
    <t>speedliting.com</t>
  </si>
  <si>
    <t>finance, tech, travel</t>
  </si>
  <si>
    <t>custom apparel</t>
  </si>
  <si>
    <t>homehealthcaresos.com</t>
  </si>
  <si>
    <t>https://shabbychicboho.com/five-cool-gifts-to-get-this-holiday-season/</t>
  </si>
  <si>
    <t>week 16</t>
  </si>
  <si>
    <t>healthcare and medicine</t>
  </si>
  <si>
    <t xml:space="preserve">entreb.com/ </t>
  </si>
  <si>
    <t>techy.com sent to drupnar@gmail.com</t>
  </si>
  <si>
    <t>https://www.techicy.com/5-healthcare-marketing-tips-to-implement-in-2019.html</t>
  </si>
  <si>
    <t>business, lifestyle</t>
  </si>
  <si>
    <t>international-issues.org</t>
  </si>
  <si>
    <t>http://bang-real.com/</t>
  </si>
  <si>
    <t>humanboundary.com sent to drupnar@gmail.com</t>
  </si>
  <si>
    <t>Astaxanthin + healthcare marketing agency</t>
  </si>
  <si>
    <t>http://www.humanboundary.com/benefits-of-astaxanthin-for-a-healthy-lifestyle.html</t>
  </si>
  <si>
    <t>business, travel, health, home</t>
  </si>
  <si>
    <t>albanianjournalism.com</t>
  </si>
  <si>
    <t xml:space="preserve">stuffablog.com </t>
  </si>
  <si>
    <t>doctor reputation management keyword</t>
  </si>
  <si>
    <t>sent to outlet</t>
  </si>
  <si>
    <t>http://stuffablog.com/10-quick-easy-marketing-tips-small-medical-private-practices/</t>
  </si>
  <si>
    <t>tribunebyte.com</t>
  </si>
  <si>
    <t>northindiadaily.com</t>
  </si>
  <si>
    <t>t2conline.com emailed to suzanna@t2conline.com</t>
  </si>
  <si>
    <t>https://t2conline.com/5-cool-ideas-for-personalized-holiday-gifts-this-season/</t>
  </si>
  <si>
    <t xml:space="preserve">
farrukhsajid@mail.com</t>
  </si>
  <si>
    <t>http://girlsmagpk.com</t>
  </si>
  <si>
    <t>shopping, fashion, women magazine</t>
  </si>
  <si>
    <t>fxtribune.com</t>
  </si>
  <si>
    <t>sent to t2conline.com</t>
  </si>
  <si>
    <t>ADA compliance article</t>
  </si>
  <si>
    <t>Suzanna</t>
  </si>
  <si>
    <t>https://t2conline.com/heres-why-your-business-should-pay-attention-to-ada-compliance/</t>
  </si>
  <si>
    <t>marketingwithmiles.com/</t>
  </si>
  <si>
    <t>industriat.com</t>
  </si>
  <si>
    <t>sent to jcount.com</t>
  </si>
  <si>
    <t>https://www.jcount.com/top-reasons-why-marketing-agencies-should-invest-in-custom-t-shirts-for-their-employees/</t>
  </si>
  <si>
    <t>juliereader@gmail.com</t>
  </si>
  <si>
    <t>www.thesilverbird.com</t>
  </si>
  <si>
    <t>healthcare stuff</t>
  </si>
  <si>
    <t>edwardjohnson88</t>
  </si>
  <si>
    <t>SpaceCoastDaily.com</t>
  </si>
  <si>
    <t>http://nictcampus.com/</t>
  </si>
  <si>
    <t>muffinmarketing</t>
  </si>
  <si>
    <t>sent to writer</t>
  </si>
  <si>
    <t>http://spacecoastdaily.com/2019/01/six-cool-health-technologies-you-didnt-know-exists-in-2019/</t>
  </si>
  <si>
    <t>business health fashion</t>
  </si>
  <si>
    <t>http://www.humanboundary.com/</t>
  </si>
  <si>
    <t>health tech news</t>
  </si>
  <si>
    <t>week 22</t>
  </si>
  <si>
    <t>contact@metrosaga.com</t>
  </si>
  <si>
    <t>metrosaga.com</t>
  </si>
  <si>
    <t>sent to tech moran</t>
  </si>
  <si>
    <t>analytics</t>
  </si>
  <si>
    <t>https://techmoran.com/2019/01/04/5-analytics-kpis-every-online-business-should-pay-attention-to-in-2019/</t>
  </si>
  <si>
    <t>lifestyle, business, health</t>
  </si>
  <si>
    <t>https://www.theglimpse.com/</t>
  </si>
  <si>
    <t>healthcare, tech</t>
  </si>
  <si>
    <t>edwardjohnson89</t>
  </si>
  <si>
    <t>http://blogfolders.com/</t>
  </si>
  <si>
    <t>tech social media business</t>
  </si>
  <si>
    <t>tricksmode.com</t>
  </si>
  <si>
    <t>dwhsnet</t>
  </si>
  <si>
    <t xml:space="preserve">marketingspot.com </t>
  </si>
  <si>
    <t>http://tricksmode.com/4-quick-strategies-d%D0%BE%D1%81t%D0%BEr%D1%95-can-use-to-im%D1%80r%D0%BEv%D0%B5-their-%D0%BEnl%D1%96n%D0%B5-reputation/</t>
  </si>
  <si>
    <t>marketingspot.com</t>
  </si>
  <si>
    <t>marketing personal growth business</t>
  </si>
  <si>
    <t>beatsmonsterfrance.com</t>
  </si>
  <si>
    <t>broowaha.com</t>
  </si>
  <si>
    <t>lifestyle, home, health</t>
  </si>
  <si>
    <t>foodfindsasia.com</t>
  </si>
  <si>
    <t>ADA</t>
  </si>
  <si>
    <t>http://www.broowaha.com/articles/32152/5-things-american-online-businesses-should-know-about-ada-web-compliance</t>
  </si>
  <si>
    <t>money health tech</t>
  </si>
  <si>
    <t>asiaradio</t>
  </si>
  <si>
    <t>https://www.asiaradiosales.com/</t>
  </si>
  <si>
    <t xml:space="preserve"> selfgrowth.com</t>
  </si>
  <si>
    <t>kool8</t>
  </si>
  <si>
    <t>https://www.selfgrowth.com/articles/8-things-a-fintech-startup-can-do-on-a-budget-to-market-their-product-online</t>
  </si>
  <si>
    <t>whatsyourtagblog.com</t>
  </si>
  <si>
    <t>tech, health, home</t>
  </si>
  <si>
    <t>executivechronicles.com</t>
  </si>
  <si>
    <t xml:space="preserve">small-bizsense.com </t>
  </si>
  <si>
    <t>https://small-bizsense.com/how-banks-should-market-their-services-to-millennials/</t>
  </si>
  <si>
    <t>business travel lifestyle wellness</t>
  </si>
  <si>
    <t>admin@digitalconnectmag.com</t>
  </si>
  <si>
    <t>techmediaguide.com</t>
  </si>
  <si>
    <t>tech</t>
  </si>
  <si>
    <t>http://albarkka.com</t>
  </si>
  <si>
    <t>business, health, fashion, travel</t>
  </si>
  <si>
    <t xml:space="preserve"> edwardjohnson90</t>
  </si>
  <si>
    <t>http://3rdworldentrepreneur.com</t>
  </si>
  <si>
    <t>becomegorgeous.com via nabilahasan</t>
  </si>
  <si>
    <t>http://www.becomegorgeous.com/blogs/naim/astaxanthin-the-perfect-solution-to-improving-your-overall-health-P69053</t>
  </si>
  <si>
    <t>busines marketing entrepreneur</t>
  </si>
  <si>
    <t>edwardjohnson84</t>
  </si>
  <si>
    <t>http://incredit.me/</t>
  </si>
  <si>
    <t>business</t>
  </si>
  <si>
    <t>sent to codetorank.com via web form</t>
  </si>
  <si>
    <t>uni5download.com</t>
  </si>
  <si>
    <t>Not sure</t>
  </si>
  <si>
    <t>writer: writehand94</t>
  </si>
  <si>
    <t>https://codetorank.com/best-social-media-tips-for-healthcare-organizations-in-2019/</t>
  </si>
  <si>
    <t>tech, internet, seo, social media</t>
  </si>
  <si>
    <t>http://kingwanatranslation.com</t>
  </si>
  <si>
    <t>TGDaily sent on 1/8</t>
  </si>
  <si>
    <t>ADA (writehand94)</t>
  </si>
  <si>
    <t>https://www.tgdaily.com/web/in-2019-you-need-to-make-sure-your-site-is-ada-compliant-here-are-4-reasons-why</t>
  </si>
  <si>
    <t>business, tech, travel</t>
  </si>
  <si>
    <t>http://directlendingonline.com</t>
  </si>
  <si>
    <t>finance, branding, marketing</t>
  </si>
  <si>
    <t>theallmag.com</t>
  </si>
  <si>
    <t>itsguru.com via debongo on 1/6</t>
  </si>
  <si>
    <t>https://www.itsguru.com/five-reasons-why-business-should-build-an-alexa-skill-in-2019/</t>
  </si>
  <si>
    <t>business, seo, social media, lifestyle</t>
  </si>
  <si>
    <t>week 23</t>
  </si>
  <si>
    <t>techmaish@gmail.com</t>
  </si>
  <si>
    <t>techmaish.com</t>
  </si>
  <si>
    <t>business social tech</t>
  </si>
  <si>
    <t xml:space="preserve">rohit@inkhive.com </t>
  </si>
  <si>
    <t>https://inkhive.com/2019/01/10/6-local-seo-strategies-try-2019/</t>
  </si>
  <si>
    <t>sent to Uttam</t>
  </si>
  <si>
    <t>for: http://www.wo1cy.com/category/shopping/</t>
  </si>
  <si>
    <t>http://www.wo1cy.com/five-cool-gifts-to-give-this-winter/</t>
  </si>
  <si>
    <t>Uttam: PUBLISH IT here: https://livinginthisseason.com/</t>
  </si>
  <si>
    <t>http://livinginthisseason.com/top-5-affordable-gifts-to-buy-in-january/</t>
  </si>
  <si>
    <t>rocketnews on 1/10</t>
  </si>
  <si>
    <t>Stertzer/ iris</t>
  </si>
  <si>
    <t>https://www.rocketnews.com/2019/01/cardiology-in-the-tech-generation/</t>
  </si>
  <si>
    <t>thebroodle.com</t>
  </si>
  <si>
    <t>iris</t>
  </si>
  <si>
    <t>https://thebroodle.com/internet/what-your-business-should-know-about-website-ada-compliance/</t>
  </si>
  <si>
    <t>telemedicine (writehand94)</t>
  </si>
  <si>
    <t>https://www.asiaradiosales.com/5-reasons-why-every-hospital-should-offer-telemedicine-solutions-to-their-patients%EF%BB%BF/</t>
  </si>
  <si>
    <t>Iris Stertzer</t>
  </si>
  <si>
    <t>https://t2conline.com/recovery-after-a-heart-attack-what-you-need-to-know/</t>
  </si>
  <si>
    <t>becomegorgeous</t>
  </si>
  <si>
    <t>http://www.becomegorgeous.com/blogs/naim/the-connection-between-sleep-and-heart-health-P70018?fbclid=IwAR1LMGhaWCqWteUt843bhEJRtqrLglGRfVjjS437Z2zBosVb2E2KmXCtIAo</t>
  </si>
  <si>
    <t>selfgrowth</t>
  </si>
  <si>
    <t>Rebecah</t>
  </si>
  <si>
    <t>https://www.selfgrowth.com/articles/how-to-design-custom-apparel-that-is-anything-but-ordinary</t>
  </si>
  <si>
    <t>bloglovin</t>
  </si>
  <si>
    <t>Stertzer/ ANN</t>
  </si>
  <si>
    <t>https://www.bloglovin.com/@jnnaim/biotechnology-cardiac-care-what-to-look-for?fbclid=IwAR0ZqJ_jEc7J7EgutpbIo7-m0odms8MfVZW0ZOrWcQdQXaU1cn2bmN2Hfw8</t>
  </si>
  <si>
    <t>https://www.bloglovin.com/@jnnaim/5-enterprise-analytics-software-platforms?fbclid=IwAR1WtXBxZESP6P1SZ7OoqzK5-Iac5SSA8SRcpHZHYEPe74HG8o6AkQz70x0</t>
  </si>
  <si>
    <t>https://socialnomics.net/</t>
  </si>
  <si>
    <t>financial product marketing</t>
  </si>
  <si>
    <t>https://socialnomics.net/2019/01/22/5-innovation-technologies-that-will-define-banking-in-2019/</t>
  </si>
  <si>
    <t>techpatio</t>
  </si>
  <si>
    <t>alexdenholm</t>
  </si>
  <si>
    <t>http://techpatio.com/2019/guides-how-to/4-tips-optimize-health-website-2019</t>
  </si>
  <si>
    <t>Adam / sent via web form on 1/16</t>
  </si>
  <si>
    <t>https://www.thesilverbird.com/people-working-out-should-consume-astaxanthin/</t>
  </si>
  <si>
    <t>Dezzain.com</t>
  </si>
  <si>
    <t>Existing content</t>
  </si>
  <si>
    <t>http://www.dezzain.com/business/why-business-should-invest-employee-custom-apparel/</t>
  </si>
  <si>
    <t>http://www.dezzain.com/technology/how-technology-enable-patients-live-better-lives/</t>
  </si>
  <si>
    <t>Rebecah WRITTEN FROM CODRIN'S POINT OF VIEW</t>
  </si>
  <si>
    <t>https://axcessnews.com/business/breaking-business/6-reasons-why-you-need-to-invest-in-custom-t-shirts-for-your-employees_8668/</t>
  </si>
  <si>
    <t>DAP General</t>
  </si>
  <si>
    <t>https://www.epubzone.org/how-to-prevent-heart-disease-and-protect-your-heart/</t>
  </si>
  <si>
    <t>Stertzer</t>
  </si>
  <si>
    <t>https://scienceprog.com/4-innovations-revolutionizing-the-cardiovascular-disease-treatment-in-the-us/</t>
  </si>
  <si>
    <t xml:space="preserve">embeds </t>
  </si>
  <si>
    <t>Rebecah. wait till HCW article about Omron, then link to it</t>
  </si>
  <si>
    <t>https://embedds.com/5-telemedicine-solutions-helping-patients-live-longer/</t>
  </si>
  <si>
    <t>http://elenaonlineshop.net/the-impact-of-genetics-on-cardiology.html</t>
  </si>
  <si>
    <t>blog.businesscasestudies.co.uk via gordonwilson13</t>
  </si>
  <si>
    <t>https://blog.businesscasestudies.co.uk/4042/why-every-healthcare-business-should-consider-building-an-alexa-skill-in-2019/</t>
  </si>
  <si>
    <t>https://lincolnlabs.com/5-cool-tech-canadian-innovations-in-healthcare/</t>
  </si>
  <si>
    <t>Stertzer/ iris went to Adam</t>
  </si>
  <si>
    <t>http://baltimorepostexaminer.com/9-best-tech-devices-for-heart-health/2019/01/19</t>
  </si>
  <si>
    <t>ideafit</t>
  </si>
  <si>
    <t>alex</t>
  </si>
  <si>
    <t>https://blog.ideafit.com/blogs/works/4-things-doctors-should-know-about-reputation-management</t>
  </si>
  <si>
    <t>http://wwonline.net/ via mohsinr</t>
  </si>
  <si>
    <t>http://wwonline.net/4-social-media-practices-healthcare-marketers-should-implement-in-2019/</t>
  </si>
  <si>
    <t>http://www.atlphp.org/ via mohsinr</t>
  </si>
  <si>
    <t>http://www.atlphp.org/8-questions-to-ask-healthcare-consulting-firms-before-hiring-them/</t>
  </si>
  <si>
    <t>rebekahgillian</t>
  </si>
  <si>
    <t>https://rumyittips.com/why-your-business-should-build-an-alexa-skil/</t>
  </si>
  <si>
    <t xml:space="preserve">technicalustad.com/ </t>
  </si>
  <si>
    <t>https://technicalustad.com/healthtech-innovations-accenture-are-implementing/</t>
  </si>
  <si>
    <t>rebekahgillian sent on 1/23</t>
  </si>
  <si>
    <t>https://www.safeandhealthylife.com/why-astaxanthin-is-good-for-health/</t>
  </si>
  <si>
    <t>www.diet2x.com/ via alexhayden09</t>
  </si>
  <si>
    <t>http://www.diet2x.com/the-connection-between-sleep-and-heart-health/</t>
  </si>
  <si>
    <t>https://www.websitemagazine.com/</t>
  </si>
  <si>
    <t>https://www.websitemagazine.com/blog/what-digital-executives-should-know-about-web-ada-compliance</t>
  </si>
  <si>
    <t>wideinfo</t>
  </si>
  <si>
    <t>alexa skill development (iriswestnew)</t>
  </si>
  <si>
    <t>https://wideinfo.org/7-reasons-why-your-business-should-build-an-alexa-skill-in-2019/</t>
  </si>
  <si>
    <t>infobeat.com</t>
  </si>
  <si>
    <t>mixpanel partner</t>
  </si>
  <si>
    <t>social media whitepaper, fintech marketing</t>
  </si>
  <si>
    <t>https://infobeat.com/7-strategies-to-effectively-market-your-financial-products-on-linkedin/</t>
  </si>
  <si>
    <t>puresiduals.com via magnummarketing</t>
  </si>
  <si>
    <t>dinahemmons (local SEO stuff)</t>
  </si>
  <si>
    <t>https://pureresiduals.com/5-crucial-steps-to-nail-your-local-seo/</t>
  </si>
  <si>
    <t>nav</t>
  </si>
  <si>
    <t>http://fooyoh.com/geekapolis_gadgets_wishlist/15344920/artificial-intelligence-in-the-pharma-industry-5-examples</t>
  </si>
  <si>
    <t>insulated water bottle needs 8 links http://fooyoh.com/</t>
  </si>
  <si>
    <t>http://fooyoh.com/menknowpause_lifestyle_living/15344931/top-5-affordable-gifts-to-buy-in-january</t>
  </si>
  <si>
    <t>http://fooyoh.com/fitness_health/15344926/how-astaxanthin-helps-people-with-alzheimers-disease</t>
  </si>
  <si>
    <t>http://blog.clicksor.com/ via yesecom</t>
  </si>
  <si>
    <t>healthcare marketing backlink (Nav)</t>
  </si>
  <si>
    <t>http://blog.clicksor.com/5-tips-healthcare-marketers-need-to-know-about-social-media-in-2019/</t>
  </si>
  <si>
    <t>Astaxanthin (by Nav)</t>
  </si>
  <si>
    <t>http://nictcampus.com/top-natural-ingredients-that-keep-teachers-alert-during-class/</t>
  </si>
  <si>
    <t>http://blogfolders.com/biggest-healthcare-news-in-canada-in-2018/</t>
  </si>
  <si>
    <t>http://incredit.me/5-reasons-why-universities-should-use-data-analytics/</t>
  </si>
  <si>
    <t>awe.sm via Adam T</t>
  </si>
  <si>
    <t>https://www.awe.sm/2019/02/01/5-great-gifts-for-the-exhausted-entrepreneur/</t>
  </si>
  <si>
    <t>Kool8</t>
  </si>
  <si>
    <t>newsblaze via Adam T</t>
  </si>
  <si>
    <t>https://newsblaze.com/usnews/national/9-coolest-water-bottles-you-can-buy-on-the-cheap_147756/</t>
  </si>
  <si>
    <t>http://blog.clicksor.com/10-necessities-to-make-a-marketers-life-easier/</t>
  </si>
  <si>
    <t>dinahemmons</t>
  </si>
  <si>
    <t>http://www.becomegorgeous.com/blogs/naim/10-awesome-products-to-help-you-hit-your-running-goals-in-2019-P71322</t>
  </si>
  <si>
    <t>thefrisky via vujo91</t>
  </si>
  <si>
    <t>https://foreignpolicyi.org/8-things-every-runner-should-own-today/</t>
  </si>
  <si>
    <t>contact@mediadigi.com www.blinkbits.com/</t>
  </si>
  <si>
    <t>https://www.ukuncut.org.uk/what-is-b2b-marketing-and-how-does-it-work/</t>
  </si>
  <si>
    <t>https://sourcefed.com/8-tips-to-market-your-mobile-app-on-a-budget/</t>
  </si>
  <si>
    <t>opptrends.com via vujo91</t>
  </si>
  <si>
    <t>https://www.opptrends.com/4-ai-innovations-in-the-pharma-space-you-didnt-know-existed-in-2019/</t>
  </si>
  <si>
    <t>DAP Chicago: www.digitalauthority.me</t>
  </si>
  <si>
    <t>https://www.whiteoutpress.com/ via vujo91</t>
  </si>
  <si>
    <t>https://www.whiteoutpress.com/4-embarrassing-pieces-of-news-in-pharma-in-2018/</t>
  </si>
  <si>
    <t>https://www.blinkbits.com/4-trends-in-b2b-marketing-you-should-know-about-this-year/</t>
  </si>
  <si>
    <t>contact@mediadigi.com meldium.com</t>
  </si>
  <si>
    <t>https://www.meldium.com/4-strategies-to-jumpstart-your-b2b-marketing-strategy-in-2019/</t>
  </si>
  <si>
    <t>contact@mediadigi.com falconhive.com</t>
  </si>
  <si>
    <t>https://falconhive.com/b2b-marketing-trends-to-consider-for-2019/</t>
  </si>
  <si>
    <t>selfgrowth.com</t>
  </si>
  <si>
    <t>https://www.selfgrowth.com/articles/9-retail-companies-that-do-good-in-the-world</t>
  </si>
  <si>
    <t>techwebspace.com</t>
  </si>
  <si>
    <t>submittee for review on their wordpress on 2/1</t>
  </si>
  <si>
    <t>https://www.techwebspace.com/10-healthtech-trends-executives-should-embrace-today/</t>
  </si>
  <si>
    <t>sent to toptut.com over email</t>
  </si>
  <si>
    <t>https://www.toptut.com/2019/02/04/a-beginners-guide-to-website-ada-compliance/</t>
  </si>
  <si>
    <t>digital agency chicago</t>
  </si>
  <si>
    <t>Webdesign.org sent over email</t>
  </si>
  <si>
    <t>https://www.webdesign.org/5-tips-on-how-to-create-an-amazing-healthcare-website.23096.html</t>
  </si>
  <si>
    <t xml:space="preserve"> 5bestthings.com; sent info on facebook since site submission is not working</t>
  </si>
  <si>
    <t>social media fail</t>
  </si>
  <si>
    <t>webgaan</t>
  </si>
  <si>
    <t>ready; waiting for site to go live</t>
  </si>
  <si>
    <t>https://5bestthings.com/social-media-fails-to-avoid/</t>
  </si>
  <si>
    <t>techwebspace.com tried publishing it directly</t>
  </si>
  <si>
    <t>dmitry/ AIVA</t>
  </si>
  <si>
    <t>https://www.techwebspace.com/5-affordable-strategies-to-market-your-app-effectively-in-2019/</t>
  </si>
  <si>
    <t>https://www.briefmobile.com/</t>
  </si>
  <si>
    <t>https://www.briefmobile.com/5-reasons-every-app-owner-needs-to-have-a-website-to-promote-their-app/</t>
  </si>
  <si>
    <t>websitemagazine</t>
  </si>
  <si>
    <t>https://www.websitemagazine.com/blog/4-digital-strategies-every-digital-marketer-should-master-in-2019</t>
  </si>
  <si>
    <t>businessopportunities.biz via email</t>
  </si>
  <si>
    <t>http://www.business-opportunities.biz/2019/02/05/create-website-patients-clinic/</t>
  </si>
  <si>
    <t>https://uberant.com/article/484156-impacts-of-aging-on-cardiac-health/</t>
  </si>
  <si>
    <t>https://www.newsforpublic.com/health-technologies-aware/</t>
  </si>
  <si>
    <t>http://www.theallmag.com/ via email</t>
  </si>
  <si>
    <t>http://www.theallmag.com/blog/5-cool-canadian-healthcare-inventions/</t>
  </si>
  <si>
    <t>https://www.toptut.com/2019/02/05/9-for-2019-9-items-to-help-to-hit-her-running-goals-in-2019/</t>
  </si>
  <si>
    <t>https://thealmostdone.com/2019/02/06/6-alexa-skills-you-should-know-about-in-2019/</t>
  </si>
  <si>
    <t>newswire.net</t>
  </si>
  <si>
    <t>https://newswire.net/newsroom/blog-post/00107532-10-000-businesses-get-sued-over-website-ada-compliance-every-year.html</t>
  </si>
  <si>
    <t>haven't actually sent it</t>
  </si>
  <si>
    <t>https://techmoran.com/2019/02/06/5-eco-friendly-water-bottles-to-help-you-do-more-and-be-better/</t>
  </si>
  <si>
    <t>thenextscoop.com</t>
  </si>
  <si>
    <t>Rebecah via   thenextscoop@gmail.com</t>
  </si>
  <si>
    <t>https://thenextscoop.com/social-media-practices-startups/</t>
  </si>
  <si>
    <t>7 Health App Development Trends to Watch Out for in 2019</t>
  </si>
  <si>
    <t>https://technicalustad.com/health-app-development-trends-to-watch-out/</t>
  </si>
  <si>
    <t>https://t2conline.com/10-valentines-day-gift-ideas-for-teachers/</t>
  </si>
  <si>
    <t>https://www.techinexpert.com/ via thealmostdone@yahoo.com</t>
  </si>
  <si>
    <t>https://www.techinexpert.com/2019/02/07/what-is-digital-transformation-in-healthcare/</t>
  </si>
  <si>
    <t>https://augustafreepress.com/5-heart-monitors-every-person-over-50-should-consider-buying/</t>
  </si>
  <si>
    <t>https://augustafreepress.com/6-cool-things-every-lawyer-should-buy-for-their-office/</t>
  </si>
  <si>
    <t>https://augustafreepress.com/4-awesome-partnerships-abbvie-forged-last-year/</t>
  </si>
  <si>
    <t>https://augustafreepress.com/how-can-hospitals-deal-with-a-pr-crisis/</t>
  </si>
  <si>
    <t>https://augustafreepress.com/ten-awesome-companies-you-didnt-know-were-sued-for-ada-website-compliance/</t>
  </si>
  <si>
    <t>tablecounter via foggyy</t>
  </si>
  <si>
    <t>http://www.reliablecounter.com/blog/10-companies-that-give-just-as-much-as-they-sell/</t>
  </si>
  <si>
    <t>https://www.meetrv.com/how-to-camp-like-pro/</t>
  </si>
  <si>
    <t>https://ribbon.co/ via adam t</t>
  </si>
  <si>
    <t>https://ribbon.co/how-can-artificial-intelligence-help-pharma-in-2019/</t>
  </si>
  <si>
    <t>https://businesstimes.co.tz/ via adam t</t>
  </si>
  <si>
    <t>https://businesstimes.co.tz/four-free-strategies-to-market-your-app-in-2019/</t>
  </si>
  <si>
    <t>realwealthbusiness.com via mashum.webmaster@gmail.com</t>
  </si>
  <si>
    <t>https://realwealthbusiness.com/how-ecommerce-companies-use-analytics-to-convert-customers-online/</t>
  </si>
  <si>
    <t>http://vermontrepublic.org/website-ada-compliance-a-beginners-guide/</t>
  </si>
  <si>
    <t>icharts.net</t>
  </si>
  <si>
    <t>https://icharts.net/ada-compliance/</t>
  </si>
  <si>
    <t>socialnomics</t>
  </si>
  <si>
    <t>omron/ stertzer</t>
  </si>
  <si>
    <t>https://socialnomics.net/2019/02/10/10-health-tech-companies-to-watch-in-2019/</t>
  </si>
  <si>
    <t>https://brandfuge.com/4-reasons-why-executives-should-pay-attention-to-web-analytics/</t>
  </si>
  <si>
    <t>tellmehow.co</t>
  </si>
  <si>
    <t>marketing agencies chicago</t>
  </si>
  <si>
    <t>https://butterflylabs.com/6-important-advances-in-stem-cell-research/</t>
  </si>
  <si>
    <t>butterflylabs.com</t>
  </si>
  <si>
    <t>stertzer</t>
  </si>
  <si>
    <t>https://revenuesandprofits.com/4-marketing-tactics-every-it-company-should-leverage-in-2019/</t>
  </si>
  <si>
    <t>justwebworld.com via harshil@justwebworld.com</t>
  </si>
  <si>
    <t>Rebecah on 1/23</t>
  </si>
  <si>
    <t>https://www.justwebworld.com/web-analytic-metrics-healthcare-marketing-managers-should-track/</t>
  </si>
  <si>
    <t>www.techfeast.co via harshil@justwebworld.com</t>
  </si>
  <si>
    <t>https://www.techfeast.co/health-app-development-trends-to-watch-out/</t>
  </si>
  <si>
    <t xml:space="preserve">icharts.net via vujo91 </t>
  </si>
  <si>
    <t>https://icharts.net/5-free-digital-marketing-techniques-for-your-mobile-app/</t>
  </si>
  <si>
    <t>sent to socialmediaimpact.com via rita@socialmediamagic.com</t>
  </si>
  <si>
    <t>http://www.socialmediaimpact.com/6-social-media-metrics-you-need-to-pay-attention-to-in-2019/</t>
  </si>
  <si>
    <t>contentrally.com</t>
  </si>
  <si>
    <t>https://contentrally.com/9-cool-things-every-marketer-office/</t>
  </si>
  <si>
    <t xml:space="preserve">DAP </t>
  </si>
  <si>
    <t>healthcare: www.digitalauthority.me</t>
  </si>
  <si>
    <t>onlinenewsbuzz.com</t>
  </si>
  <si>
    <t>https://onlinenewsbuzz.com/biggest-news-2018-abbvie/</t>
  </si>
  <si>
    <t>rocketnews.com via email.</t>
  </si>
  <si>
    <t>https://www.rocketnews.com/2019/02/gym-essentials-every-person-working-out-should-have-in-their-bag/</t>
  </si>
  <si>
    <t>https://www.rocketnews.com/2019/02/beyonces-website-sued-for-not-being-ada-compliant-your-companys-site-could-be-next/</t>
  </si>
  <si>
    <t>info@modelonamission.com</t>
  </si>
  <si>
    <t>https://www.modelonamission.com/how-astaxanthin-is-good-for-your-skincare/</t>
  </si>
  <si>
    <t>edu</t>
  </si>
  <si>
    <t>https://setiweb.ssl.berkeley.edu/beta/team_display.php?teamid=135610</t>
  </si>
  <si>
    <t>http://juliawall.sites.gettysburg.edu/westpoint61/benefits-of-telemedicine/index</t>
  </si>
  <si>
    <t>https://my.sterling.edu/ICS/Academics/LL/LL379__UG06/FA_2006_UNDG-LL379__UG06_-A/Blog_71.jnz?portlet=Blog_71&amp;screen=View+Post&amp;screenType=next&amp;Id=1e07c381-4d7c-448c-a76d-8be1aedfa0c1</t>
  </si>
  <si>
    <t>Google link:</t>
  </si>
  <si>
    <t>Who</t>
  </si>
  <si>
    <t>www.mynewsfit.com  via theallmag3@gmail.com</t>
  </si>
  <si>
    <t>https://mynewsfit.com/why-every-development-company-in-the-healthcare-field-should-become-hitrust-certified/</t>
  </si>
  <si>
    <t>www.theglobaldispatch.com via theallmag3@gmail.com</t>
  </si>
  <si>
    <t>http://www.theglobaldispatch.com/medical-startups-to-watch-in-2019-2019/</t>
  </si>
  <si>
    <t>Irshadseo1</t>
  </si>
  <si>
    <t>theedgesearch.com</t>
  </si>
  <si>
    <t>https://www.theedgesearch.com/2019/02/just-pack-it-8-items-to-keep-in-your-gym-bag.html</t>
  </si>
  <si>
    <t>https://www.theedgesearch.com/2019/02/how-exercise-and-lack-thereof-impacts-your-heart-health.html</t>
  </si>
  <si>
    <t>trendytattle.com via saeedashifahmed@gmail.com</t>
  </si>
  <si>
    <t>https://trendytattle.com/how-astaxanthin-is-good-for-your-skincare/</t>
  </si>
  <si>
    <t>https://trendytattle.com/weary-worn-and-worthy-8-survival-items-every-teacher-needs-in-their-classroom/</t>
  </si>
  <si>
    <t xml:space="preserve">blog.smarthealthshop.com/ via TheStuffofSuccess@gmail.com </t>
  </si>
  <si>
    <t>kool8; add protein bar client to it.</t>
  </si>
  <si>
    <t>http://blog.smarthealthshop.com/2019/02/16/9-items-to-make-your-beach-day-perfect/</t>
  </si>
  <si>
    <t xml:space="preserve">https://www.heandshefitness.com/ via TheStuffofSuccess@gmail.com </t>
  </si>
  <si>
    <t>https://www.heandshefitness.com/2019/02/16/10-simple-steps-to-healthier-habits/</t>
  </si>
  <si>
    <t>www.tech-Wonders.com via theallmag3@gmail.com</t>
  </si>
  <si>
    <t>https://www.tech-wonders.com/2019/02/how-to-build-a-health-app-like-a-pro.html</t>
  </si>
  <si>
    <t>tgdaily</t>
  </si>
  <si>
    <t>https://www.tgdaily.com/health-opinion/5-health-benefits-of-drinking-more-water</t>
  </si>
  <si>
    <t>dcresource.biz via theallmag3@gmail.com</t>
  </si>
  <si>
    <t>https://dcresource.biz/5-telemedicine-apps-you-should-know-about-in-2019/</t>
  </si>
  <si>
    <t>https://skopemag.com/</t>
  </si>
  <si>
    <t>https://skopemag.com/2019/02/18/7-ways-music-can-serve-as-medicine</t>
  </si>
  <si>
    <t>https://www.smartdatacollective.com</t>
  </si>
  <si>
    <t>sent the draft and emailed guy on 2/.10.</t>
  </si>
  <si>
    <t>https://www.smartdatacollective.com/how-artificial-intelligence-is-revolutionizing-healthcare-sector-in-2019/</t>
  </si>
  <si>
    <t>mario411</t>
  </si>
  <si>
    <t>https://www.womendailymagazine.com</t>
  </si>
  <si>
    <t>socialmediaimpact.com/</t>
  </si>
  <si>
    <t>Dmitry</t>
  </si>
  <si>
    <t>http://www.socialmediaimpact.com/how-to-use-social-media-to-get-downloads-for-your-app/#</t>
  </si>
  <si>
    <t>info@uschnews.com</t>
  </si>
  <si>
    <t>http://uschnews.com/what-organizations-in-us-and-china-should-do-now-to-prevent-further-hacker-attacks/</t>
  </si>
  <si>
    <t>https://wellbeing-support.com/ via wellbeingwebsite@gmail.com on 2/16. if no email follow up on 2/20</t>
  </si>
  <si>
    <t>https://wellbeing-support.com/astaxanthin-natures-most-powerful-antioxidant/</t>
  </si>
  <si>
    <t>http://</t>
  </si>
  <si>
    <t>http://good-after.com/why-every-development-company-in-the-healthcare-field-should-become-hitrust-certified/</t>
  </si>
  <si>
    <t>http://www.kenyear.com/ via edwardjohnson83</t>
  </si>
  <si>
    <t>http://www.kenyear.com/the-most-popular-telemedicine-apps-in-the-world-today/</t>
  </si>
  <si>
    <t>http://www.thenewsfix.com/ via edwardjohnson83</t>
  </si>
  <si>
    <t>http://www.thenewsfix.com/10-benefits-of-telemedicine-for-both-healthcare-providers-and-their-patients/</t>
  </si>
  <si>
    <t>http://www.wearecontributors.com/  via edwardjohnson83</t>
  </si>
  <si>
    <t>send to Nav when published + close story in asana on hold</t>
  </si>
  <si>
    <t>http://www.wearecontributors.com/5-steps-to-make-your-website-ada-compliant/</t>
  </si>
  <si>
    <t>http://www.whatsyourtagblog.com/ via edwardjohnson83</t>
  </si>
  <si>
    <t>http://www.whatsyourtagblog.com/healthcare-trends-that-will-change-the-healthcare-industry-in-2019/</t>
  </si>
  <si>
    <t>https://livinginthisseason.com/ via edwardjohnson83</t>
  </si>
  <si>
    <t>http://livinginthisseason.com/5-hipaa-compliance-questions-every-it-vendor-must-answer/</t>
  </si>
  <si>
    <t>http://beaudermaskincare.com via edwardjohnson83</t>
  </si>
  <si>
    <t>http://beaudermaskincare.com/10-reasons-to-take-astaxanthin/</t>
  </si>
  <si>
    <t>http://directlendingonline.com/ via edwardjohnson83</t>
  </si>
  <si>
    <t>http://directlendingonline.com/4-social-media-tips-for-software-companies/</t>
  </si>
  <si>
    <t>http://3rdworldentrepreneur.com/  via edwardjohnson83</t>
  </si>
  <si>
    <t>http://3rdworldentrepreneur.com/2019/02/23/why-america-should-legalize-pot/</t>
  </si>
  <si>
    <t>http://buyonlineregular.com/via edwardjohnson83</t>
  </si>
  <si>
    <t>http://buyonlineregular.com/how-hitrust-helps-healthcare-orgs-prevent-cyber-attacks/</t>
  </si>
  <si>
    <t>http://incredit.me/category/law/ via edwardjohnson83</t>
  </si>
  <si>
    <t>http://incredit.me/american-congress-holds-hearing-on-access-to-banking-services-by-marijuana-companies/</t>
  </si>
  <si>
    <t>http://www.rocktownyouth.org/category/law/ via edwardjohnson83</t>
  </si>
  <si>
    <t>http://www.rocktownyouth.org/five-us-states-likely-to-legalize-marijuana-in-2019/</t>
  </si>
  <si>
    <t>www.doffitt.com</t>
  </si>
  <si>
    <t>https://www.doffitt.com/five-types-patients-need-telemedicine-services/</t>
  </si>
  <si>
    <t>https://sguru.org/reasons-why-healthcare-executives-should-pay-attention-to-web-analytics/</t>
  </si>
  <si>
    <t>negosentro.com via chief@negosentro.com</t>
  </si>
  <si>
    <t>shrayan.lakhna456@gmail.com 100 bucks</t>
  </si>
  <si>
    <t>https://negosentro.com/what-you-must-watch-out-for-before-launching-your-medical-start-up/</t>
  </si>
  <si>
    <t>https://negosentro.com/how-to-improve-your-mobile-app-with-analytics/</t>
  </si>
  <si>
    <t>https://www.foodfindsasia.com/ via chief@negosentro.com</t>
  </si>
  <si>
    <t>https://www.foodfindsasia.com/5-amazing-telemedicine-apps-on-the-market-today/</t>
  </si>
  <si>
    <t>www.executivechronicles.com/ via chief@negosentro.com</t>
  </si>
  <si>
    <t>https://www.executivechronicles.com/heart-disease-factors-contributing-rise-combat-factors/</t>
  </si>
  <si>
    <t>https://www.healthylifecentar.com/category/health/ via edwardjohnson83</t>
  </si>
  <si>
    <t>https://www.healthylifecentar.com/effects-of-anxiety-on-heart-disease/</t>
  </si>
  <si>
    <t>Info@cupertinotimes.com on 2/24</t>
  </si>
  <si>
    <t>https://cupertinotimes.com/4-use-cases-blockchain-healthcare/</t>
  </si>
  <si>
    <t>contact@unigamesity.com on 2/25</t>
  </si>
  <si>
    <t>https://www.unigamesity.com/virtual-reality-and-the-future-of-gaming/</t>
  </si>
  <si>
    <t>http://www.apppicker.com/ Tiernan@apppicker.com did YML article</t>
  </si>
  <si>
    <t>http://www.apppicker.com/developernews/34575/Tricks-Tips-and-Strategies-on-How-to-Be-Competitive-in-the-Mobile-App-Market</t>
  </si>
  <si>
    <t>Socialunderground.com via thel3v3l@gmail.com</t>
  </si>
  <si>
    <t>https://socialunderground.com/2019/02/how-artificial-intelligence-is-changing-big-pharma/</t>
  </si>
  <si>
    <t>webservice247 to thrive global</t>
  </si>
  <si>
    <t>SAVE UNDER SAMPLES WHEN PUBLISHED</t>
  </si>
  <si>
    <t>https://thriveglobal.com/stories/avoid-website-compliance-mistakes-industry-giants-like-amazon-and-netflix-are-making/</t>
  </si>
  <si>
    <t>www.techgyd.com via admin@sguru.org</t>
  </si>
  <si>
    <t>must add as sample to sample tab when published</t>
  </si>
  <si>
    <t>https://www.techgyd.com/organization-should-commit-to-website-ada-compliance/39630/</t>
  </si>
  <si>
    <t>https://drmusayeva.com/entrepreneurs-and-new-technology-in-medicine/</t>
  </si>
  <si>
    <t>https://wellbeing-support.com/advances-in-stem-cell-technology-and-its-impact-on-medicine/</t>
  </si>
  <si>
    <t>asksotiris fiverr. for http://www.asksotiris.com/</t>
  </si>
  <si>
    <t>http://asksotiris.com/6-ways-your-website-is-ruining-your-it-marketing-efforts/</t>
  </si>
  <si>
    <t>social media mistakes</t>
  </si>
  <si>
    <t>clicksor.com via yesecom</t>
  </si>
  <si>
    <t>http://blog.clicksor.com/how-to-understand-your-market-for-better-mobile-app-adoption/</t>
  </si>
  <si>
    <t xml:space="preserve">jaspal@savedelete.com </t>
  </si>
  <si>
    <t>https://savedelete.com/internet-tips/strategies-that-help-understand-your-market-better-mobile-app-adoption/202466/</t>
  </si>
  <si>
    <t>The Frisky - Kool8 - article written by the author, not us</t>
  </si>
  <si>
    <t>https://thefrisky.com/why-is-water-important-for-your-body/</t>
  </si>
  <si>
    <t>must save under samples</t>
  </si>
  <si>
    <t>http://designbeep.com/2019/03/07/tips-for-building-successful-mhealth-apps/</t>
  </si>
  <si>
    <t xml:space="preserve">dwhsnet marketingspot.com DR24 </t>
  </si>
  <si>
    <t>must save as content reference</t>
  </si>
  <si>
    <t>https://www.marketingspot.com/2019/03/the-one-it-marketing-strategy-you-should-be-focusing-on-in-2019/</t>
  </si>
  <si>
    <t>http://hoangthangit.com/via edwardjohnson88</t>
  </si>
  <si>
    <t>http://hoangthangit.com/major-partnerships-in-pharma-using-ai/</t>
  </si>
  <si>
    <t>tweakyourbiz.com</t>
  </si>
  <si>
    <t>still pending review in their wordpress instance.</t>
  </si>
  <si>
    <t>https://tweakyourbiz.com/finance/financial-planning/market-their-services</t>
  </si>
  <si>
    <t xml:space="preserve">writer created the content for Astaxanthin </t>
  </si>
  <si>
    <t>https://thefrisky.com/health-benefits-of-astaxanthin/</t>
  </si>
  <si>
    <t>http://drmusayeva.com/  via edwardjohnson88</t>
  </si>
  <si>
    <t>http://drmusayeva.com/15-items-to-pack-for-your-next-global-excursion/</t>
  </si>
  <si>
    <t>http://speedliting.com/  via edwardjohnson88</t>
  </si>
  <si>
    <t>http://speedliting.com/how-telemedicine-is-restoring-patients-trust-in-doctors/</t>
  </si>
  <si>
    <t>https://livinginthisseason.com/  via edwardjohnson88</t>
  </si>
  <si>
    <t>https://livinginthisseason.com/10-gifts-for-the-eco-conscious-friend/</t>
  </si>
  <si>
    <t>freepresent.org via edwardjohnson88</t>
  </si>
  <si>
    <t>https://www.freepresent.org/how-to-get-your-app-noticed-with-the-help-of-an-agency-3-tips-from-mobile-marketing-pros/</t>
  </si>
  <si>
    <t>homehealthcaresos.com via edwardjohnson88</t>
  </si>
  <si>
    <t>http://www.homehealthcaresos.com/amazing-achievements-in-healthcare-this-year/</t>
  </si>
  <si>
    <t>http://uni5download.com/ via edwardjohnson88</t>
  </si>
  <si>
    <t>http://uni5download.com/7-tactics-to-hire-top-marketing-experts-for-your-it-business/</t>
  </si>
  <si>
    <t>c/category/tech/ via edwardjohnson88</t>
  </si>
  <si>
    <t>http://kingwanatranslation.com/it-marketing-secrets-to-attracting-top-talent/</t>
  </si>
  <si>
    <t>albarkka.com/  via edwardjohnson88</t>
  </si>
  <si>
    <t>http://albarkka.com/why-website-ada-compliance-is-beneficial-for-any-business-out-there/</t>
  </si>
  <si>
    <t>https://www.theglimpse.com/ via torkad@gmail.com</t>
  </si>
  <si>
    <t xml:space="preserve">https://www.theglimpse.com/5-content-marketing-strategies-it-marketers-should-use-in-2019
</t>
  </si>
  <si>
    <t>https://projectdiaspora.org/ via torkad@gmail.com</t>
  </si>
  <si>
    <t>https://projectdiaspora.org/telemedicine-trends-that-show-how-promising-this-technology-is/</t>
  </si>
  <si>
    <t>https://www.articlerich.com/telemedicine-malpractice-risks-and-how-to-avoid-them/</t>
  </si>
  <si>
    <t>https://www.meetrv.com/benefits-of-astaxanthin-for-skin-care/</t>
  </si>
  <si>
    <t>forumgrad.com via doffitt</t>
  </si>
  <si>
    <t>http://www.forumgrad.com/5-tips-to-check-whether-your-site-is-ada-compliant-in-2019/</t>
  </si>
  <si>
    <t>http://www.elearning-tour.com/how-to-make-your-website-accessible-to-everyone/</t>
  </si>
  <si>
    <t>miodrag.kablinovic@gmail.com to http://miosuperhealth.com/</t>
  </si>
  <si>
    <t>http://miosuperhealth.com/a-skeptics-guide-to-telehealth/</t>
  </si>
  <si>
    <t xml:space="preserve"> http://www.thebaynet.com/   via edwardjohnson84</t>
  </si>
  <si>
    <t>http://www.thebaynet.com/community/uncategorised/could-blockchain-revolutionize-the-healthcare-industry.html</t>
  </si>
  <si>
    <t>http://www.bobcassidy.net/category/lifestyle/   via edwardjohnson85</t>
  </si>
  <si>
    <t>http://www.bobcassidy.net/8-small-changes-to-live-a-more-environmentally-friendly-lifestyle/</t>
  </si>
  <si>
    <t>http://www.memetics.com/category/health/  edwardjohnson88</t>
  </si>
  <si>
    <t>http://www.memetics.com/5-things-you-didnt-know-about-blockchain-in-healthcare/</t>
  </si>
  <si>
    <t>https://albanianjournalism.com/  via edwardjohnson88</t>
  </si>
  <si>
    <t>https://albanianjournalism.com/from-patient-portals-to-wearable-monitoring-devices-and-5g-networks/</t>
  </si>
  <si>
    <t>beatsmonsterfrance.com/ via edwardjohnson88</t>
  </si>
  <si>
    <t>http://www.beatsmonsterfrance.com/how-can-blockchain-help-the-healthcare-industry/</t>
  </si>
  <si>
    <t>https://koraplatform.com/ via edwardjohnson88</t>
  </si>
  <si>
    <t>https://koraplatform.com/what-is-ada-compliance-and-what-does-it-mean-for-your-business-website.html</t>
  </si>
  <si>
    <t>healthchanging@gmail.com for http://healthchanging.com/</t>
  </si>
  <si>
    <t>http://healthchanging.com/4-blockchain-applications-healthcare-know-2019/</t>
  </si>
  <si>
    <t>https://dcresource.biz/category/technology-news/ via healthchanging@gmail.com</t>
  </si>
  <si>
    <t>https://dcresource.biz/how-to-use-analytics-to-improve-your-companys-web-experience/</t>
  </si>
  <si>
    <t xml:space="preserve">topteny.com via email. </t>
  </si>
  <si>
    <t>https://www.topteny.com/major-health-benefits-astaxanthin-know-about/</t>
  </si>
  <si>
    <t>Codrin hasn't edited it / Kool8</t>
  </si>
  <si>
    <t>https://www.topteny.com/10-items-every-real-estate-agent-should-have-on-the-job/</t>
  </si>
  <si>
    <t>pouted.com</t>
  </si>
  <si>
    <t>https://www.pouted.com/seven-gifts-for-new-mom/</t>
  </si>
  <si>
    <t>https://www.topteny.com/</t>
  </si>
  <si>
    <t>https://www.pouted.com/have-accessible-website-to-online-users/</t>
  </si>
  <si>
    <t>dev.to via yao lol</t>
  </si>
  <si>
    <t>https://dev.to/yaongdap/how-to-live-a-productive-and-efficient-life-as-a-developer-43a1</t>
  </si>
  <si>
    <t>http://valbonneyoga.com/via edwardjohnson83</t>
  </si>
  <si>
    <t>http://valbonneyoga.com/4-reasons-why-every-us-state-should-legalize-marijuana/</t>
  </si>
  <si>
    <t>vwbblog.com via edwardjohnson83</t>
  </si>
  <si>
    <t>bad copy. give to the indian guy with lots of outlets</t>
  </si>
  <si>
    <t>https://vwbblog.com/9-marketing-techniques-that-your-it-company-is-missing-out-on/</t>
  </si>
  <si>
    <t>www.qatarday.com/ via edwardjohnson83</t>
  </si>
  <si>
    <t>https://www.qatarday.com/blog/health/best-telemedicine-companies-and-what-you-can-learn-from-them/66653</t>
  </si>
  <si>
    <t>http://mybeautifuladventures.com/</t>
  </si>
  <si>
    <t>http://mybeautifuladventures.com/2019/03/20/seven-unique-gift-ideas-to-surprise-your-girlfriend-this-spring/</t>
  </si>
  <si>
    <t xml:space="preserve">reputation management for doctors </t>
  </si>
  <si>
    <t>www.nowg.net via liz@toptut.com</t>
  </si>
  <si>
    <t>nigelbarlow@aboutmanchester.co.uk</t>
  </si>
  <si>
    <t>https://www.nowg.net/how-to-drink-more-water-in-2019/</t>
  </si>
  <si>
    <t>very good article. Keep for later!</t>
  </si>
  <si>
    <t>https://www.mobileappdaily.com/important-healthcare-startup-app-development-tips</t>
  </si>
  <si>
    <t>techmoran</t>
  </si>
  <si>
    <t>https://techmoran.com/2019/03/19/7-artificial-intelligence-pharma-applications-you-should-be-aware-of-in-2019/</t>
  </si>
  <si>
    <t>https://www.startupopinions.com/ via shrayan.lakhna456@gmail.com</t>
  </si>
  <si>
    <t>https://www.startupopinions.com/non-ada-compliant-website-makes-you-miss-out-on-customers/</t>
  </si>
  <si>
    <t>fiz-x.com</t>
  </si>
  <si>
    <t>https://www.fiz-x.com/6-essentials-for-every-entrepreneur/</t>
  </si>
  <si>
    <t>codetorank.com via fiverr.</t>
  </si>
  <si>
    <t>https://codetorank.com/actionable-tips-for-it-companies-to-market-themselves-better-in-2019/</t>
  </si>
  <si>
    <t>https://www.centrinity.com/category/tips/ via info@buzz2fone.com</t>
  </si>
  <si>
    <t>https://www.centrinity.com/8-unique-gifts-for-marketing-people/</t>
  </si>
  <si>
    <t>http://bloggerspath.com/ via info@buzz2fone.com</t>
  </si>
  <si>
    <t>http://bloggerspath.com/what-an-ada-compliant-website-can-do-for-your-business/</t>
  </si>
  <si>
    <t>tlists.com via info@buzz2fone.com</t>
  </si>
  <si>
    <t>http://tlists.com/top-9-unique-gifts-for-everyone/</t>
  </si>
  <si>
    <t>http://www.theglobaldispatch.com/insurance-and-telemedicine-what-is-being-covered-and-by-whom-60111/</t>
  </si>
  <si>
    <t>info@namasteui.com</t>
  </si>
  <si>
    <t>decent copy, not great</t>
  </si>
  <si>
    <t>https://www.namasteui.com/alexa-use-cases-every-healthcare-executive-should-know-about-in-2019/</t>
  </si>
  <si>
    <t>https://www.namasteui.com/it-marketing-tip-for-2019/</t>
  </si>
  <si>
    <t>bad copy, don't circulate</t>
  </si>
  <si>
    <t>https://www.namasteui.com/unique-gift-ideas-to-buy-in-march/</t>
  </si>
  <si>
    <t>physician reputation management</t>
  </si>
  <si>
    <t>http://ohmyheartsiegirl.com/hydrate-run/</t>
  </si>
  <si>
    <t>savedelete.com via jaspal@savedelete.com</t>
  </si>
  <si>
    <t>https://savedelete.com/health-fitness/seven-tips-to-save-water/202869/</t>
  </si>
  <si>
    <t>http://webseasoning.com/ via jaspal@savedelete.com</t>
  </si>
  <si>
    <t>http://webseasoning.com/others/how-to-build-healthcare-apps-that-users-will-love/10482/</t>
  </si>
  <si>
    <t>https://thefabweb.com/category/internet/ via jaspal@savedelete.com</t>
  </si>
  <si>
    <t>https://thefabweb.com/top-5-strategies-to-prepare-a-healthcare-marketing-plan/</t>
  </si>
  <si>
    <t>Thesmartweightloss.com</t>
  </si>
  <si>
    <t>https://www.thesmartweightloss.com/can-astaxanthin-help-patients-suffering-from-alzheimers/</t>
  </si>
  <si>
    <t xml:space="preserve">www.mobiletweaks.net/ </t>
  </si>
  <si>
    <t>http://www.mobiletweaks.net/7-trendy-modern-gifts-ideas/</t>
  </si>
  <si>
    <t>https://uniquethis.com/blogs/111900/256497/marketing-mistakes-for-it-companies-and-what-to-do-instead</t>
  </si>
  <si>
    <t>makingbrandshappen@gmail.com for makingbrandshappen.com</t>
  </si>
  <si>
    <t>https://makingbrandshappen.com/2019/03/25/what-is-the-astaxanthin-natural-supplement-good-for/</t>
  </si>
  <si>
    <t>andiperullo@aol.com for http://mybeautifuladventures.com</t>
  </si>
  <si>
    <t>http://mybeautifuladventures.com/2019/03/25/best-fitness-trackers-to-buy-in-2019/</t>
  </si>
  <si>
    <t>mobiletweaks.net via info@buzz2fone.com</t>
  </si>
  <si>
    <t>http://www.mobiletweaks.net/7-customer-retention-marketing-tips-for-it-companies/</t>
  </si>
  <si>
    <t>bmmagazine.co.uk via sbanks@cbmeg.co.uk</t>
  </si>
  <si>
    <t>https://www.bmmagazine.co.uk/business/website-ada-compliance-what-it-is-how-it-works-and-why-you-need-to-do-it/</t>
  </si>
  <si>
    <t>theglobaldispatch.com via email</t>
  </si>
  <si>
    <t>http://www.theglobaldispatch.com/7-benefits-of-drinking-more-water-48846/</t>
  </si>
  <si>
    <t>karrenh@gmail.com for http://ohmyheartsiegirl.com</t>
  </si>
  <si>
    <t>http://ohmyheartsiegirl.com/cool-pedometers-buying-2019/</t>
  </si>
  <si>
    <t>makeupreviewblog@gmail.com for https://makeupandbeautyblog.in/</t>
  </si>
  <si>
    <t>https://makeupandbeautyblog.in/2019/03/9-last-minute-gift-ideas.html</t>
  </si>
  <si>
    <t>submitted to socialnomics on 3/14</t>
  </si>
  <si>
    <t>https://socialnomics.net/2019/03/30/ada-website-compliance-how-to-avoid-a-web-accessibility-lawsuit/</t>
  </si>
  <si>
    <t>www.pitchengine.com via hiwebsolutions</t>
  </si>
  <si>
    <t>http://www.pitchengine.com/hiwebsolutions/2019/03/27/why-online-reputation-management-for-doctors/002518485930729863932</t>
  </si>
  <si>
    <t>http://world.edu/ via hiwebsolutions</t>
  </si>
  <si>
    <t>Adam</t>
  </si>
  <si>
    <t>http://creatives.world.edu/2019/03/28/best-marketing-concepts-to-master-in-2019/</t>
  </si>
  <si>
    <t>format.com via hiwebsolutions</t>
  </si>
  <si>
    <t>Ann</t>
  </si>
  <si>
    <t>https://articles.format.com/blog/ten-marketing-terms-every-creative-executive-should-know-in-2019</t>
  </si>
  <si>
    <t>munplanet.com via hiwebsolutions</t>
  </si>
  <si>
    <t>https://www.munplanet.com/articles/telehealth-technologies/the-rise-of-telehealth-technologies</t>
  </si>
  <si>
    <t>rohitthinks.com</t>
  </si>
  <si>
    <t>https://rohitink.com/2019/03/27/encourage-employees-drink-water/</t>
  </si>
  <si>
    <t xml:space="preserve">https://www.aspirantsg.com tohsianhoi@gmail.com
</t>
  </si>
  <si>
    <t>https://www.aspirantsg.com/rooftop-bars-in-the-world/</t>
  </si>
  <si>
    <t>techmediaguide.com via admin@digitalconnectmag.com</t>
  </si>
  <si>
    <t>when Cathryn is done</t>
  </si>
  <si>
    <t>https://www.techmediaguide.com/what-is-hitrust-and-what-does-it-mean-for-development-companies/</t>
  </si>
  <si>
    <t>https://techsightings.com/  via admin@digitalconnectmag.com</t>
  </si>
  <si>
    <t>multivariate testing example</t>
  </si>
  <si>
    <t>https://techsightings.com/why-should-your-it-company-become-hitrust-certified/</t>
  </si>
  <si>
    <t>digitalconnectmag.com  via admin@digitalconnectmag.com</t>
  </si>
  <si>
    <t>https://www.digitalconnectmag.com/why-having-an-non-ada-compliant-website-isnt-cost-effective/</t>
  </si>
  <si>
    <t>technected.com via admin@digitalconnectmag.com</t>
  </si>
  <si>
    <t>ready but waiting on Cathryn for the rest!</t>
  </si>
  <si>
    <t>https://www.technected.com/6-tips-for-developing-an-it-marketing-strategy</t>
  </si>
  <si>
    <t>https://www.finextra.com/blogposting/16915/9-technology-changes-impacting-the-consumer-experience-in-finance-today</t>
  </si>
  <si>
    <t>https://www.articlerich.com/how-i-stay-hydrated-on-every-flight/</t>
  </si>
  <si>
    <t>Article title</t>
  </si>
  <si>
    <t xml:space="preserve">Avoid Website Compliance Mistakes Industry Giants like Amazon and Netflix are Making
</t>
  </si>
  <si>
    <t>https://sourcefed.com/best-travel-gear-of-2019/</t>
  </si>
  <si>
    <t>https://www.teethgrinder.co.uk/what-do-stay-at-home-moms-do-all-day/</t>
  </si>
  <si>
    <t xml:space="preserve">Why Every Organization Should Commit to Website ADA Compliance
</t>
  </si>
  <si>
    <t>thenextscoop.com sent on 2/24</t>
  </si>
  <si>
    <t>https://thenextscoop.com/leverage-social-media-get-visibility-health-mobile-app/</t>
  </si>
  <si>
    <t>fastlisting.org via hiwebsolutions</t>
  </si>
  <si>
    <t>not edited</t>
  </si>
  <si>
    <t>https://busy.org/@stephenrichard/how-to-deal-with-healthcare-pr-in-the-wake-of-the-opioid-crisis</t>
  </si>
  <si>
    <t>Insurance and Telemedicine: What Is Being Covered, And By Whom?</t>
  </si>
  <si>
    <t>www.friendhood.net via torkad@gmail.com</t>
  </si>
  <si>
    <t>https://www.friendhood.net/7-perfect-gifts-to-keep-your-student-motivated-through-until-summer/</t>
  </si>
  <si>
    <t xml:space="preserve">user experience optimization </t>
  </si>
  <si>
    <t>https://www.onebyfourstudio.com/ torkad@gmail.com</t>
  </si>
  <si>
    <t>https://www.onebyfourstudio.com/news/2019/celebrating-earth-day-in-style-this-year/</t>
  </si>
  <si>
    <t>luxedb.com torkad@gmail.com</t>
  </si>
  <si>
    <t>https://luxedb.com/10-ways-to-get-ready-for-summer/</t>
  </si>
  <si>
    <t xml:space="preserve">https://menshealthlist.com/ via edwardjohnson83 </t>
  </si>
  <si>
    <t>new batch of 5</t>
  </si>
  <si>
    <t>https://mytrendingstories.com/article/how-astaxanthin-helps-with-weight-loss/</t>
  </si>
  <si>
    <t xml:space="preserve">brandfuge.com via vujo91 </t>
  </si>
  <si>
    <t>https://brandfuge.com/eight-cool-gifts-for-girls-you-can-buy-today/</t>
  </si>
  <si>
    <t xml:space="preserve">http://vermontrepublic.org via vujo91 </t>
  </si>
  <si>
    <t>http://vermontrepublic.org/10-unique-gifts-for-spring/</t>
  </si>
  <si>
    <t xml:space="preserve">butterflylabs.com via vujo91 </t>
  </si>
  <si>
    <t>https://butterflylabs.com/9-cool-gifts-for-boys/</t>
  </si>
  <si>
    <t xml:space="preserve">healthcarereformmagazine.com  via vujo91 </t>
  </si>
  <si>
    <t>https://www.ultimate-tech-news.com/ via amitchavan0203@gmail.com</t>
  </si>
  <si>
    <t>https://www.ultimate-tech-news.com/hitrust-security-framework-all-you-need-to-know/</t>
  </si>
  <si>
    <t>multivariate testing vs ab testing</t>
  </si>
  <si>
    <t>www.xavixstore.com via amitchavan0203@gmail.com</t>
  </si>
  <si>
    <t>https://www.xavixstore.com/differences-between-hipaa-and-hitrust-certifications-all-you-need-to-know/</t>
  </si>
  <si>
    <t xml:space="preserve">Amber / blogsuccess.com </t>
  </si>
  <si>
    <t>Dmitry!</t>
  </si>
  <si>
    <t>https://www.blogprocess.com/data-driven-marketing-what-it-is-and-how-does-it-work/</t>
  </si>
  <si>
    <t>ComboApp</t>
  </si>
  <si>
    <t>Othogonal - must find high DR</t>
  </si>
  <si>
    <t>https://www.reliablecounter.com/blog/connected-health-and-the-patient-experience-is-the-future-of-healthcare/</t>
  </si>
  <si>
    <t>Orthogonal</t>
  </si>
  <si>
    <t xml:space="preserve">mail@inthow.com via codrin gmail personal
</t>
  </si>
  <si>
    <t>Maria; has orthogonal; punchkick, comboapp good article! Get amazing outlet!</t>
  </si>
  <si>
    <t>https://www.inthow.com/tips-to-develop-an-amazing-medical-app/</t>
  </si>
  <si>
    <t>Othogonal -Free</t>
  </si>
  <si>
    <t>teethgrinder.co.uk/</t>
  </si>
  <si>
    <t>https://www.teethgrinder.co.uk/most-effective-online-marketing-strategies-in-2019/</t>
  </si>
  <si>
    <t>sli.mg</t>
  </si>
  <si>
    <t>https://sli.mg/how-to-market-a-medical-device-like-a-pro/</t>
  </si>
  <si>
    <t>https://small-bizsense.com/5-tips-to-measure-the-roi-of-your-marketing-effort/</t>
  </si>
  <si>
    <t>https://axcessnews.com/</t>
  </si>
  <si>
    <t>https://axcessnews.com/business/breaking-business/how-to-leverage-social-media-to-get-visibility-online_10825/</t>
  </si>
  <si>
    <t>google multivariate testing</t>
  </si>
  <si>
    <t>https://socialmediaexplorer.com/content-sections/news-and-noise/9-social-media-marketing-techniques-that-your-it-company-is-missing-out-on/</t>
  </si>
  <si>
    <t>https://www.teethgrinder.co.uk/what-do-stay-at-home-moms-do-all-day-2/</t>
  </si>
  <si>
    <t>adam mace</t>
  </si>
  <si>
    <t>https://sli.mg/5-insulated-water-bottles-you-should-know-about-in-2019/</t>
  </si>
  <si>
    <t>http://www.independent.mk/</t>
  </si>
  <si>
    <t>https://www.independent.mk/5-things-i-never-go-to-the-gym-without/</t>
  </si>
  <si>
    <t>https://small-bizsense.com/rare-conditions-can-be-managed-using-telehealth-solutions/</t>
  </si>
  <si>
    <t>Maria - astafucky - really good article!</t>
  </si>
  <si>
    <t>https://baltimorepostexaminer.com/6-health-reasons-why-you-should-eat-more-salmon/2019/04/26</t>
  </si>
  <si>
    <t>cleanweb.co via Adam T</t>
  </si>
  <si>
    <t>https://www.cleanweb.co/2019/04/26/what-exactly-is-data-driven-marketing/</t>
  </si>
  <si>
    <t>https://www.serversfree.com/ via Adam T</t>
  </si>
  <si>
    <t>https://www.serversfree.com/5-actionable-tips-to-a-data-driven-content-marketing-strategy/</t>
  </si>
  <si>
    <t>mailnewszii@gmail.com</t>
  </si>
  <si>
    <t>https://www.newszii.com/Articles/eco-friendly-a-better-person</t>
  </si>
  <si>
    <t>https://loreleiweb.com/the-evolution-of-ada-compliance-and-what-it-means-in-the-digital-age/</t>
  </si>
  <si>
    <t>https://loreleiwebdesign.com/2019/04/29/6-things-you-didnt-know-about-mobile-app-marketing-in-2019/</t>
  </si>
  <si>
    <t>loreleiweb.com</t>
  </si>
  <si>
    <t>https://www.toptut.com/2019/04/29/amazing-marketing-strategies-to-grow-your-b2b-businesses-in-2019/</t>
  </si>
  <si>
    <t>https://www.topdreamer.com/5-ways-i-stay-in-shape-while-working-out-at-home/</t>
  </si>
  <si>
    <t>how to increase app downloads</t>
  </si>
  <si>
    <t>https://www.ultimate-tech-news.com/9-new-medical-technologies-doctors-should-be-aware-of-in-2019/</t>
  </si>
  <si>
    <t>https://www.ultimate-tech-news.com/6-strategies-to-market-your-mobile-app-after-launch/</t>
  </si>
  <si>
    <t>need edited for comboapp</t>
  </si>
  <si>
    <t>https://www.xavixstore.com/youve-built-a-mobile-app-then-what/</t>
  </si>
  <si>
    <t>techgyd.com via email</t>
  </si>
  <si>
    <t>https://www.techgyd.com/medical-device-software-future-of-healthcare/40461/</t>
  </si>
  <si>
    <t>https://spacecoastdaily.com/</t>
  </si>
  <si>
    <t>http://spacecoastdaily.com/2019/04/tech-watch-six-things-to-do-after-you-launch-a-new-app/</t>
  </si>
  <si>
    <t>Othogonal - must find high DR https://spacecoastdaily.com/</t>
  </si>
  <si>
    <t>http://spacecoastdaily.com/2019/04/8-amazing-software-medical-devices-reshaping-the-healthcare-industry-in-2019/</t>
  </si>
  <si>
    <t>https://spacecoastdaily.com/ via palermo.tom@gmail.com</t>
  </si>
  <si>
    <t>https://spacecoastdaily.com/2019/04/how-to-become-a-green-gym-enthusiast-in-five-simple-steps/</t>
  </si>
  <si>
    <t xml:space="preserve"> http://feelitcool.com/ via topdreamer</t>
  </si>
  <si>
    <t>http://feelitcool.com/9-gift-ideas-for-travelers/</t>
  </si>
  <si>
    <t>fantasticviewpoint.com/ via topdreamer</t>
  </si>
  <si>
    <t>http://www.fantasticviewpoint.com/stainless-steel-bottles-to-keep-your-coffee-hot/</t>
  </si>
  <si>
    <t>https://virily.com/lifestyle/5-awesome-gifts-for-your-girlfriend-this-spring/</t>
  </si>
  <si>
    <t>techmoran sent to Sam</t>
  </si>
  <si>
    <t>https://techmoran.com/2019/05/04/11-most-innovative-health-apps-in-2019/</t>
  </si>
  <si>
    <t>orthogonal</t>
  </si>
  <si>
    <t>https://www.bmmagazine.co.uk/business/7-groundbreaking-medical-devices-from-ces-2019/</t>
  </si>
  <si>
    <t xml:space="preserve">
https://www.teethgrinder.co.uk/ via adam T</t>
  </si>
  <si>
    <t>https://www.teethgrinder.co.uk/11-examples-of-how-voice-technology-is-taking-over-healthcare/</t>
  </si>
  <si>
    <t>https://www.awe.sm/ via Adam T</t>
  </si>
  <si>
    <t>https://www.awe.sm/2019/05/05/5-marketing-trends-that-help-with-brand-awareness/</t>
  </si>
  <si>
    <t>sourcefed.com via Adam T</t>
  </si>
  <si>
    <t>https://sourcefed.com/tips-for-a-perfectly-optimized-landing-page/</t>
  </si>
  <si>
    <t>https://www.womenfitnessmag.com/a-simple-workout-schedule-for-stay-at-home-moms/</t>
  </si>
  <si>
    <t xml:space="preserve">artificial intelligence marketing </t>
  </si>
  <si>
    <t>fashionsy.com/ via topdreamer</t>
  </si>
  <si>
    <t>http://fashionsy.com/modern-gifts-for-every-budget/</t>
  </si>
  <si>
    <t>ScreenPrintThis</t>
  </si>
  <si>
    <t>Twinkle In Time</t>
  </si>
  <si>
    <t>redcupagency.com</t>
  </si>
  <si>
    <t>has hello alvin</t>
  </si>
  <si>
    <t>https://redcupagency.com/5-reasons-why-i-started-a-business-podcast/</t>
  </si>
  <si>
    <t>HelloAlvin</t>
  </si>
  <si>
    <t>igeekphone.com via personal email</t>
  </si>
  <si>
    <t>https://www.igeekphone.com/a-look-at-fitbit-selecting-the-best-and-brightest-wearable-device/</t>
  </si>
  <si>
    <t>contact@metrosaga.com via personal gmail</t>
  </si>
  <si>
    <t>ComboApp/ HelloAlvin/ Stertzer</t>
  </si>
  <si>
    <t>https://metrosaga.com/why-telehealth-technologies-continue-to-become-more-and-more-popular/</t>
  </si>
  <si>
    <t>https://www.besttechie.com/why-alexa-for-business-is-the-future-of-workplace-productivity/</t>
  </si>
  <si>
    <t>fashiondivadesign.com/ via topdreamer</t>
  </si>
  <si>
    <t>http://www.fashiondivadesign.com/ten-unique-gifts-for-friends-this-spring/</t>
  </si>
  <si>
    <t>http://www.divjot.co/five-things-i-have-in-my-work-from-home-office/</t>
  </si>
  <si>
    <t>http://www.divjot.co/5-things-every-hospital-ceo-should-know-about-cybersecurity/</t>
  </si>
  <si>
    <t>http://www.divjot.co/how-brands-make-people-care/</t>
  </si>
  <si>
    <t>https://alltes.com/great-gifts-for-a-girlfriend-who-doesnt-want-anything/</t>
  </si>
  <si>
    <t>Twinkle in Time</t>
  </si>
  <si>
    <t>https://codetorank.com/5-things-every-geek-should-own/</t>
  </si>
  <si>
    <t>https://www.tribunebyte.com/6-b2b-marketing-mistakes-every-company-has-made/</t>
  </si>
  <si>
    <t>https://www.northindiadaily.com/more-seniors-are-warming-up-to-telemedicine/</t>
  </si>
  <si>
    <t>Orthogonal/HelloAlvin</t>
  </si>
  <si>
    <t>https://chandigarhofficial.com/telemedicine-the-fastest-way-to-grow-your-health-business/</t>
  </si>
  <si>
    <t>https://soakmind.com/lifestyle/8-fabulous-gifts-for-the-tea-lover/</t>
  </si>
  <si>
    <t>progressive web apps</t>
  </si>
  <si>
    <t>https://chandigarhofficial.com/why-we-need-to-streamline-it-marketing/</t>
  </si>
  <si>
    <t>http://chandigarhofficial.com/my-packing-guide-for-an-awesome-trip-to-africa/</t>
  </si>
  <si>
    <t>www.dezzain.com/  via email</t>
  </si>
  <si>
    <t>for Orthogonal</t>
  </si>
  <si>
    <t>http://www.dezzain.com/technology/wearables-a-new-tool-to-fight-chronic-diseases/</t>
  </si>
  <si>
    <t>newzblaze.com via Adam T</t>
  </si>
  <si>
    <t>ORthogonal + ComboApp</t>
  </si>
  <si>
    <t>https://newsblaze.com/usnews/health/9-ways-patients-demands-are-fueling-the-digital-revolution-in-healthcare_154137/</t>
  </si>
  <si>
    <t>https://inkhive.com/2019/05/16/5-things-every-executive-know-data-driven-marketing/</t>
  </si>
  <si>
    <t>has Combo App</t>
  </si>
  <si>
    <t>https://soakmind.com/tech/digital-trends-healthcare-pr-experts-should-know-about-in-2019/</t>
  </si>
  <si>
    <t>https://naturalhealthvillage.com via  rachael@tastefulspace.com</t>
  </si>
  <si>
    <t>https://naturalhealthvillage.com/2019/05/17/5-awesome-gifts-for-the-gym-enthusiast/</t>
  </si>
  <si>
    <t>tastefulspace.com/ via rachael@tastefulspace.com</t>
  </si>
  <si>
    <t>https://www.tastefulspace.com/blog/2019/05/17/innovative-treatments-for-heart-patients/</t>
  </si>
  <si>
    <t>https://legendvalley.net via rachael@tastefulspace.com</t>
  </si>
  <si>
    <t>https://legendvalley.net/2019/05/17/6-things-you-need-if-you-love-coffee/</t>
  </si>
  <si>
    <t>influencer marketing</t>
  </si>
  <si>
    <t>https://docs.google.com/document/d/15vbVs1Hu_bjAECWb7kjwYSL9Iqvi6IzBRUEeI8lnJY4/edit</t>
  </si>
  <si>
    <t>https://legendvalley.net/2019/05/17/fitbit-trackers-which-one-is-the-best/</t>
  </si>
  <si>
    <t>https://techlogitic.net/5-things-you-should-know-about-healthcare-marketing-in-2019/</t>
  </si>
  <si>
    <t>https://www.tastefulspace.com/blog/2019/05/19/five-things-to-do-to-become-more-eco-friendly/</t>
  </si>
  <si>
    <t>entreb.com/  via rachael@tastefulspace.com</t>
  </si>
  <si>
    <t>https://entreb.com/top-modern-home-products-this-year/</t>
  </si>
  <si>
    <t>www.easyworknet.com/ via rachael@tastefulspace.com</t>
  </si>
  <si>
    <t>https://www.easyworknet.com/technology/hitrust-quick-overview-healthcares-top-security-framework/</t>
  </si>
  <si>
    <t>Healthcare Weekly</t>
  </si>
  <si>
    <t>https://healthyvoyager.com/my-favorite-camping-gear-for-2019/</t>
  </si>
  <si>
    <t>https://www.oneworldherald.com/2019/05/20/scientists-recommend-these-7-ways-to-increase-your-daily-water-intake-capacity/</t>
  </si>
  <si>
    <t>https://oneworldherald.com/2019/05/20/global-research-reveals-8-reasons-to-take-astaxanthin-everyday/</t>
  </si>
  <si>
    <t>bigtimedaily.com/  via rohit</t>
  </si>
  <si>
    <t>https://www.bigtimedaily.com/report-shows-disney-dethrones-apple-as-the-most-intimate-brand-in-the-world/</t>
  </si>
  <si>
    <t>Topics</t>
  </si>
  <si>
    <t>Used previosly</t>
  </si>
  <si>
    <t>socialnomics.net</t>
  </si>
  <si>
    <t>seekerstime.com/ via rohit</t>
  </si>
  <si>
    <t>https://www.seekerstime.com/report-shows-what-type-of-gifts-mothers-want-for-mothers-day/</t>
  </si>
  <si>
    <t xml:space="preserve">socialnomics@gmail.com </t>
  </si>
  <si>
    <t>digital, social media, mobile, business</t>
  </si>
  <si>
    <t>https://thedishh.com/ via Adam T</t>
  </si>
  <si>
    <t>thenextscoop@gmail.com</t>
  </si>
  <si>
    <t>social media, marketing, business</t>
  </si>
  <si>
    <t>websitemagazine.com</t>
  </si>
  <si>
    <t>https://thedishh.com/2019/05/20/8-amazing-graduation-gifts/</t>
  </si>
  <si>
    <t>HCW</t>
  </si>
  <si>
    <t>Michael</t>
  </si>
  <si>
    <t>digital, design, web</t>
  </si>
  <si>
    <t>http://www.socialmediaimpact.com/</t>
  </si>
  <si>
    <t>https://www.awe.sm/2019/05/20/15-statistics-that-prove-connected-health-is-the-next-big-thing-in-healthcare/</t>
  </si>
  <si>
    <t xml:space="preserve">rita@socialmediamagic.com </t>
  </si>
  <si>
    <t>social media and marketing</t>
  </si>
  <si>
    <t>www.finextra.com</t>
  </si>
  <si>
    <t>Codrin's contact</t>
  </si>
  <si>
    <t>https://cupertinotimes.com/</t>
  </si>
  <si>
    <t>https://axcessnews.com/national/health/5-new-applications-of-telemedicine-you-need-to-know-about_11152/</t>
  </si>
  <si>
    <t>Info@cupertinotimes.com</t>
  </si>
  <si>
    <t xml:space="preserve">AI, IOT, VR/AR, </t>
  </si>
  <si>
    <t>Codrin</t>
  </si>
  <si>
    <t>elisabeth@getreferralmd.com</t>
  </si>
  <si>
    <t>Codrin needs to finish it</t>
  </si>
  <si>
    <t>https://www.techsite.io/p/1090734/t/when-working-super-hard-leads-to-success</t>
  </si>
  <si>
    <t>codrin's account</t>
  </si>
  <si>
    <t>anything digital</t>
  </si>
  <si>
    <t>www.dev.to</t>
  </si>
  <si>
    <t>Yao's account</t>
  </si>
  <si>
    <t>all things tied to development - Yoss etc.</t>
  </si>
  <si>
    <t>finextra.com</t>
  </si>
  <si>
    <t>www.cascadebusnews.com via marcee@cascadebusnews.com</t>
  </si>
  <si>
    <t>http://cascadebusnews.com/6-marketing-strategies-every-b2b-business-experiment-year/</t>
  </si>
  <si>
    <t>finance + tech</t>
  </si>
  <si>
    <t>financial services marketing DAP</t>
  </si>
  <si>
    <t>https://openminds.swissre.com</t>
  </si>
  <si>
    <t xml:space="preserve"> www.cascadeae.com via marcee@cascadebusnews.com</t>
  </si>
  <si>
    <t>http://www.cascadeae.com/what-restaurant-owners-should-know-about-ada-compliance/</t>
  </si>
  <si>
    <t>anything; no-follow</t>
  </si>
  <si>
    <t>http://cascadebusnews.com/ via email</t>
  </si>
  <si>
    <t xml:space="preserve">http://cascadebusnews.com/5-ways-help-environment/ </t>
  </si>
  <si>
    <t>tech, healthcare, pharma</t>
  </si>
  <si>
    <t>DAP AI;</t>
  </si>
  <si>
    <t>http://www.cascadeae.com/ via email</t>
  </si>
  <si>
    <t>http://www.cascadeae.com/5-things-to-take-to-the-gym-with-you/</t>
  </si>
  <si>
    <t>sent to info@portalmaya.com personal for ExpressDigest.com</t>
  </si>
  <si>
    <t>https://expressdigest.com/how-to-use-social-media-to-market-your-hotel/</t>
  </si>
  <si>
    <t>https://expressdigest.com/7-tips-to-skip-meals-while-traveling-in-europe/</t>
  </si>
  <si>
    <t>parvez4k@hotmail.com</t>
  </si>
  <si>
    <t>https://blogwritr.com/seven-things-i-carry-with-me-in-my-pilates-bag/</t>
  </si>
  <si>
    <t>https://blogwritr.com/how-hard-is-it-to-build-a-mobile-app/</t>
  </si>
  <si>
    <t>https://t2conline.com/great-hotel-rooftops-in-the-us-with-a-view/</t>
  </si>
  <si>
    <t>CTC</t>
  </si>
  <si>
    <t>https://www.mindstick.com/ via rachael@tastefulspace.com</t>
  </si>
  <si>
    <t>https://www.mindstick.com/Blog/53517/why-every-development-company-should-become-hitrust-certified-today</t>
  </si>
  <si>
    <t>http://healthcareinsides.com via prince</t>
  </si>
  <si>
    <t>https://www.healthcareinsides.com/bpa-free-water-bottles/</t>
  </si>
  <si>
    <t>rohitink for Bestoftheyear.in</t>
  </si>
  <si>
    <t>https://bestoftheyear.in/10-things-you-need-for-a-fabulous-bollywood-movie-marathon-night/</t>
  </si>
  <si>
    <t xml:space="preserve">insidecatholic.com via  contributeic@gmail.com
 </t>
  </si>
  <si>
    <t>https://www.atebits.com/what-to-bring-with-you-to-the-beach/</t>
  </si>
  <si>
    <t>https://www.atebits.com/ via contributeic@gmail.com</t>
  </si>
  <si>
    <t>https://www.insidecatholic.com/2019/05/26/five-things-to-do-to-become-more-eco-friendly/</t>
  </si>
  <si>
    <t>https://instablogs.com/how-ada-website-compliance-can-help-your-online-medical-reputation.html</t>
  </si>
  <si>
    <t>Xomba.com via  contributeic@gmail.com</t>
  </si>
  <si>
    <t>https://www.xomba.com/best-water-bottle/</t>
  </si>
  <si>
    <t>https://www.tripatlas.com/hotels-are-struggling-with-ada-compliance/</t>
  </si>
  <si>
    <t>https://www.xomba.com/5-vitamins-to-take-to-live-a-longer-life/</t>
  </si>
  <si>
    <t>https://stopie.com/ via stopietech@gmail.com</t>
  </si>
  <si>
    <t>https://stopie.com/big-data-in-healthcare-how-it-works/</t>
  </si>
  <si>
    <t>https://ecofriend.com/famous-companies-sued-over-website-ada-compliance.html</t>
  </si>
  <si>
    <t>https://www.emphas.is/is-your-website-ada-compliant-find-out-today/</t>
  </si>
  <si>
    <t>advertising@primestandardmedia.com via personal</t>
  </si>
  <si>
    <t>http://www.isurfwebster.com/3-famous-companies-sued-over-website-ada-compliance/</t>
  </si>
  <si>
    <t>https://rogueimc.org/5-steps-to-make-sure-your-site-is-ada-compliant/</t>
  </si>
  <si>
    <t>http://www.isurfwebster.com/should-parents-give-multivitamins-to-their-kids/</t>
  </si>
  <si>
    <t>https://openminds.swissre.com/stories/1542/</t>
  </si>
  <si>
    <t>https://www.womensconference.org/5-reasons-why-every-business-should-use-alexa-for-business/</t>
  </si>
  <si>
    <t>explosion.com via nikola@gulevski.com</t>
  </si>
  <si>
    <t>https://www.explosion.com/130474/amazing-kids-gear-for-2019/</t>
  </si>
  <si>
    <t>https://www.rushprnews.com/2019/06/15/5-alexa-skills-every-business-should-invest-in/</t>
  </si>
  <si>
    <t>https://www.explosion.com/130477/everything-you-need-to-know-about-multivitamins/</t>
  </si>
  <si>
    <t>http://girlsmagpk.com/2019/05/five-things-pack-concert-season/</t>
  </si>
  <si>
    <t>https://www.shiftfrequency.com/ via gcgrann@gmail.com</t>
  </si>
  <si>
    <t>https://www.shiftfrequency.com/how-to-prepare-for-college/</t>
  </si>
  <si>
    <t>https://www.roboearth.org/6-technologies-helping-people-live-a-better-life/</t>
  </si>
  <si>
    <t>https://www.friendhood.net/7-ways-amazons-alexa-is-redefining-healthcare-as-we-know-it/</t>
  </si>
  <si>
    <t>https://www.shiftfrequency.com/healthcare-apps-common-examples-today/</t>
  </si>
  <si>
    <t>https://www.briefmobile.com/5-medical-technologies-including-mobile-apps-to-pay-attention-to-in-2019/</t>
  </si>
  <si>
    <t>tman4137@gmail.com for https://thecompleteherbalguide.com/</t>
  </si>
  <si>
    <t>https://thecompleteherbalguide.com/entries/everyday-solutions/5-signs-you-need-to-consider-a-scoliosis-brace-for-your-child/</t>
  </si>
  <si>
    <t>blue cross blue shield of illinois</t>
  </si>
  <si>
    <t>knowtechie.com B2B marketing</t>
  </si>
  <si>
    <t>https://knowtechie.com/productivity-hacks-to-become-a-better-marketer/</t>
  </si>
  <si>
    <t>AIVA sent to knowtechie.com</t>
  </si>
  <si>
    <t>https://knowtechie.com/7-of-the-smartest-ai-apps-ive-used-so-far/</t>
  </si>
  <si>
    <t>AIVA</t>
  </si>
  <si>
    <t>doctortipster.com via doctortipster1@gmail.com</t>
  </si>
  <si>
    <t>http://www.doctortipster.com/47360-how-to-choose-a-pedometer-get-healthy-on-a-budget.html</t>
  </si>
  <si>
    <t>www.easkme.com via admin@easkme.com</t>
  </si>
  <si>
    <t>https://www.easkme.com/2019/05/sales-marketing-tips-startups.html</t>
  </si>
  <si>
    <t>https://drprem.com/business/why-should-big-pharma-invest-in-artificial-intelligence-in-2019</t>
  </si>
  <si>
    <t>http://www.bitrebels.com/technology/10-things-marketer-office/</t>
  </si>
  <si>
    <t>https://greendiary.com/ai-tackling-treatment-of-rare-difficult-and-expensive-disorders.html</t>
  </si>
  <si>
    <t>Kool8+Twinkle in Time</t>
  </si>
  <si>
    <t>bitrebels@gmail.com Orthogonal</t>
  </si>
  <si>
    <t>https://www.lmcordoba.com.ar/news/10-uses-for-artificial-intelligence-in-pharma-beyond-drug-discovery/</t>
  </si>
  <si>
    <t>http://www.bitrebels.com/technology/20-statistics-prove-connected-health-next-big-thing-healthcare/</t>
  </si>
  <si>
    <t>articles@usabusinessradio.net for http://usdailyreview.com/</t>
  </si>
  <si>
    <t>http://usdailyreview.com/7-easy-and-fun-ways-to-drink-more-water-everyday/</t>
  </si>
  <si>
    <t>http://usdailyreview.com/what-restaurant-website-owners-should-know-about-ada-compliance/</t>
  </si>
  <si>
    <t>https://consciouslifenews.com/5-pillars-of-content-marketing/11170293/</t>
  </si>
  <si>
    <t>http://www.easyfinance.com/blog/is-linkedin-effective-in-driving-business-to-your-company-website/</t>
  </si>
  <si>
    <t>articles@usabusinessradio.net for PriceofBusiness.com</t>
  </si>
  <si>
    <t>https://priceofbusiness.com/5-storytelling-techniques-for-it-marketers/</t>
  </si>
  <si>
    <t>https://ecofriend.org/how-to-market-your-eco-friendly-startup-for-free-in-2019/</t>
  </si>
  <si>
    <t>https://priceofbusiness.com/12-things-to-own-if-you-are-a-clumsy-man/</t>
  </si>
  <si>
    <t>https://www.businessfirstonline.co.uk/advice/7-amazing-b2b-marketing-examples-that-work/</t>
  </si>
  <si>
    <t>info@mscareergirl.com; has twinkle in time!</t>
  </si>
  <si>
    <t>https://www.mscareergirl.com/6-things-i-didnt-know-i-needed-but-i-now-love/</t>
  </si>
  <si>
    <t>https://www.techiestate.com/differences-between-seo-and-content-strategy/</t>
  </si>
  <si>
    <t>kellysthoughtsonthings@gmail.com for https://kellysthoughtsonthings.com/</t>
  </si>
  <si>
    <t>https://kellysthoughtsonthings.com/5-perfect-gifts-to-keep-your-student-motivated-through-until-summer/</t>
  </si>
  <si>
    <t>https://kellysthoughtsonthings.com/side-effects-of-multivitamins-you-should-know-about/</t>
  </si>
  <si>
    <t>https://downtownmiami.com/community/ via edward83</t>
  </si>
  <si>
    <t>https://www.downtownmiami.com/community/family/7-reasons-why-you-should-take-multivitamins-every-day.html</t>
  </si>
  <si>
    <t>http://www.unitedfinances.com/blog/5-things-every-executive-should-know-about-blockchain-in-healthcare/</t>
  </si>
  <si>
    <t>3dartistrawat@gmail.com stuffablog.com</t>
  </si>
  <si>
    <t>http://stuffablog.com/5-marketing-tips-sell-without-selling/</t>
  </si>
  <si>
    <t>http://stuffablog.com/8-products-buy-life/</t>
  </si>
  <si>
    <t>https://www.sofeminine.co.uk/ via edward83</t>
  </si>
  <si>
    <t>https://album.sofeminine.co.uk/album/1354003/9-things-you-can-do-to-be-healthy-around-the-office-0.html#p1</t>
  </si>
  <si>
    <t>https://www.travelblog.org/ via edward83</t>
  </si>
  <si>
    <t>https://www.travelblog.org/Europe/blog-1035073.html</t>
  </si>
  <si>
    <t>https://stimulhosting.com/ via edward83</t>
  </si>
  <si>
    <t>https://stimulhosting.com/6-alexa-skills-making-employees-more-productive.html</t>
  </si>
  <si>
    <t>http://theendoclub.com/ via edward83</t>
  </si>
  <si>
    <t>http://theendoclub.com/best-gear-for-hiking-in-2019/</t>
  </si>
  <si>
    <t>pommietravels.com via vbrewood@gmail.com</t>
  </si>
  <si>
    <t>https://www.pommietravels.com/5-things-meant-for-travel-that-you-can-use-every-day/</t>
  </si>
  <si>
    <t>https://southafricatoday.net/lifestyle/5-great-gift-ideas-for-colleagues/</t>
  </si>
  <si>
    <t>https://southafricatoday.net/internet/internet-marketing/marketing-tips-to-improve-your-apps-visibility-in-2019/</t>
  </si>
  <si>
    <t>http://www.saasgenius.com/blog/best-b2b-it-marketing-strategies-2019</t>
  </si>
  <si>
    <t>getthebigpicture.net via sherisse@websmore.co.uk</t>
  </si>
  <si>
    <t>http://www.getthebigpicture.net/3-tips-on-how-to-optimize-your-mobile-app/</t>
  </si>
  <si>
    <t>expert-market.com via info@expert-market.com</t>
  </si>
  <si>
    <t>https://www.expert-market.com/winning-marketing-strategies-for-every-b2b-business/</t>
  </si>
  <si>
    <t>https://southfloridareporter.com/kool8-water-bottle-why-this-is-my-new-favorite-bo</t>
  </si>
  <si>
    <t>technocodex@gmail.com for https://technocodex.com/</t>
  </si>
  <si>
    <t>https://technocodex.com/6-strategies-to-get-customers-for-your-tech-business-in-2019/</t>
  </si>
  <si>
    <t>citizeneffect.org via thislittlecity7@gmail.com</t>
  </si>
  <si>
    <t>http://citizeneffect.org/three-amazing-digital-marketing-strategies-every-hotel-owner-should-try-out-in-2019/</t>
  </si>
  <si>
    <t>http://citizeneffect.org/benefits-of-telemedicine-for-small-businesses/</t>
  </si>
  <si>
    <t>http://citizeneffect.org/gift-guide-for-the-stay-at-home-mom/</t>
  </si>
  <si>
    <t>azizauko@gmail.com for thetrentonline.com</t>
  </si>
  <si>
    <t>https://www.thetrentonline.com/everything-you-need-to-know-about-choosing-your-first-pedometer/</t>
  </si>
  <si>
    <t>Pedometer</t>
  </si>
  <si>
    <t>https://www.thetrentonline.com/7-things-you-should-buy-for-your-grandmother/</t>
  </si>
  <si>
    <t>technationnews.com via email@technationnews.com</t>
  </si>
  <si>
    <t>https://www.technationnews.com/news/buisness/why-every-ai-company-in-healthcare-should-become-hitrust-certified/</t>
  </si>
  <si>
    <t>http://advertiser24.rebelmouse.com via cloudseo</t>
  </si>
  <si>
    <t>http://advertiser24.rebelmouse.com/why-every-hotel-should-invest-in-content-marketing-this-year-2638686854.html</t>
  </si>
  <si>
    <t>evernote.com  via cloudseo</t>
  </si>
  <si>
    <t>https://www.evernote.com/shard/s662/client/snv?noteGuid=0d1829f6-32ae-41a5-aad6-33cb0a90a31e&amp;noteKey=a99f975e749abb287b779eb2e35c8d39&amp;sn=https%3A%2F%2Fwww.evernote.com%2Fshard%2Fs662%2Fsh%2F0d1829f6-32ae-41a5-aad6-33cb0a90a31e%2Fa99f975e749abb287b779eb2e35c8d39&amp;title=How%2BTo%2BUse%2BAnalytics%2BTo%2BImprove%2BYour%2BWeb%2BExperience</t>
  </si>
  <si>
    <t>minds.com via cloudseo</t>
  </si>
  <si>
    <t>https://www.minds.com/bewallmart/blog/5-strategies-to-improve-traffic-to-your-small-business-websi-982752937947537408</t>
  </si>
  <si>
    <t>ideafit.com via cloudseo</t>
  </si>
  <si>
    <t>https://blog.ideafit.com/blogs/sabrina-ramon/ai-s-impact-on-clinical-data</t>
  </si>
  <si>
    <t>https://diyhealth.com/6-vr-innovations-revolutionizing-healthcare-in-2019.html</t>
  </si>
  <si>
    <t>http://widetoworld.blog.fc2.com/blog-entry-564.html via cloudseo</t>
  </si>
  <si>
    <t>http://widetoworld.blog.fc2.com/blog-entry-578.html</t>
  </si>
  <si>
    <t>eqlypz@gmail.com for whatispsychology.biz</t>
  </si>
  <si>
    <t>http://www.whatispsychology.biz/5-healthy-foods-you-should-eat-if-you-have-depression-117</t>
  </si>
  <si>
    <t>haley@lifestylelinks.net for flurl.com</t>
  </si>
  <si>
    <t>http://www.flurl.com/lifestyle/5-really-cool-gifts-for-women-you-should-consider-buying-this-summer/</t>
  </si>
  <si>
    <t>https://smthemes.com/blog/5-design-tips-for-healthcare-organizations/</t>
  </si>
  <si>
    <t>http://www.dailynewsen.com/ via rcpkrc@msn.com</t>
  </si>
  <si>
    <t>https://www.dailynewsen.com/breaking/american-coffee-shop-closes-after-3rd-ada-lawsuit-h11811.html</t>
  </si>
  <si>
    <t>https://www.marketdominationmedia.com/5-tips-for-information-technology-marketing-professionals/</t>
  </si>
  <si>
    <t>http://www.dailynewsen.com/ rcpkrc@msn.com</t>
  </si>
  <si>
    <t>https://www.dailynewsen.com/life-style/15-fun-and-unique-gift-ideas-for-boys-h11812.html</t>
  </si>
  <si>
    <t>https://www.dailynewsen.com/health/why-do-adults-take-multivitamins-h11813.html</t>
  </si>
  <si>
    <t>http://tiendagourmet.co/ rcpkrc@msn.com</t>
  </si>
  <si>
    <t>http://tiendagourmet.co/6-sleek-presents-for-your-birthday</t>
  </si>
  <si>
    <t>http://tiendagourmet.co/10-reasons-why-multivitamins-are-great-for-your-child</t>
  </si>
  <si>
    <t>https://designbuzz.com/8-things-that-amazing-mobile-apps-have-in-common/</t>
  </si>
  <si>
    <t>http://tiendagourmet.co/every-hotel-owner-needs-to-make-their-website-ada-compliant-heres-why</t>
  </si>
  <si>
    <t>https://pspl.com/5-things-that-make-a-mobile-app-amazing/</t>
  </si>
  <si>
    <t>https://www.fxtribune.com/ rcpkrc@msn.com</t>
  </si>
  <si>
    <t>https://www.fxtribune.com/travel/5-eco-friendly-and-affordable-things-i-always-carry-with-me-while-travelling-h603754.html</t>
  </si>
  <si>
    <t>https://www.fxtribune.com/technology/how-big-data-is-redefining-marketing-h603755.html</t>
  </si>
  <si>
    <t>http://www.blogbookworld.com/ rcpkrc@msn.com</t>
  </si>
  <si>
    <t>http://www.blogbookworld.com/epic-pr-fails-to-avoid-in-2019</t>
  </si>
  <si>
    <t>https://consciouslifenews.com/why-multivitamins-are-useless/11170295/</t>
  </si>
  <si>
    <t>https://harcourthealth.com/is-protein-coffee-good-for-you/</t>
  </si>
  <si>
    <t>https://thesocialmediamonthly.com/does-experiential-marketing-work/</t>
  </si>
  <si>
    <t xml:space="preserve">Kool8 / ComboApp </t>
  </si>
  <si>
    <t>https://therealtimereport.com/2019/06/04/hotel-marketing-tips-you-simply-cant-ignore/</t>
  </si>
  <si>
    <t>http://isitvivid.com via thislittlecity7@gmail.com</t>
  </si>
  <si>
    <t>http://isitvivid.com/5-b2b-strategies-guaranteed-to-work-in-2019/</t>
  </si>
  <si>
    <t>http://isitvivid.com/anniversary-gift-ideas-that-will-make-a-lasting-impression/</t>
  </si>
  <si>
    <t>http://isitvivid.com/could-your-child-have-scoliosis-signs-to-look-for/</t>
  </si>
  <si>
    <t>tsgettinghotinhere.org/ via thislittlecity7@gmail.com</t>
  </si>
  <si>
    <t>http://www.itsgettinghotinhere.org/business/what-works-and-what-doesnt-in-content-strategy-this-year/</t>
  </si>
  <si>
    <t>http://affordablecomfort.org/ via thislittlecity7@gmail.com</t>
  </si>
  <si>
    <t>http://affordablecomfort.org/travel/5-eco-friendly-and-affordable-travel-items/</t>
  </si>
  <si>
    <t>http://www.itsgettinghotinhere.org/money/6-gifts-to-remember/</t>
  </si>
  <si>
    <t>Kool8+Twinkle in time</t>
  </si>
  <si>
    <t>CBDKyro</t>
  </si>
  <si>
    <t>http://www.itsgettinghotinhere.org/health-fitness/how-much-vitamin-c-should-you-actually-take/</t>
  </si>
  <si>
    <t>https://southfloridareporter.com/5-multivitamins-that-are-actually-good-for-your-body/</t>
  </si>
  <si>
    <t>https://manvsclock.com/ via thislittlecity7@gmail.com</t>
  </si>
  <si>
    <t>https://manvsclock.com/6-gadgets-you-didnt-know-you-needed/</t>
  </si>
  <si>
    <t>http://www.flurl.com/healthy/5-early-signs-of-scoliosis-that-you-should-be-aware-of/</t>
  </si>
  <si>
    <t>https://www.moneymagpie.com/save-money/kool8-review</t>
  </si>
  <si>
    <t>https://designlike.com/5-essential-things-i-have-in-my-home-office/</t>
  </si>
  <si>
    <t>https://www.worldoffemale.com/my-experience-with-the-kool8-bottle/</t>
  </si>
  <si>
    <t>Kool8+Complete Nutrition</t>
  </si>
  <si>
    <t>https://www.ruhanirabin.com/reasons-biotech-artificial-intelligence-blockchain/</t>
  </si>
  <si>
    <t>https://southfloridareporter.com/kool8-water-bottle-why-this-is-my-new-favorite-bottle-ever/</t>
  </si>
  <si>
    <t>darshanshah834@gmail.com for http://sunlightprojects.org/</t>
  </si>
  <si>
    <t>http://msftplace.com/8-things-that-successful-mobile-apps-have-in-common/</t>
  </si>
  <si>
    <t>https://scallywagandvagabond.com/2019/06/testing-kool8-water-bottle-comprehensive-review/</t>
  </si>
  <si>
    <t>https://baltimorepostexaminer.com/why-kool8-is-my-favorite-water-bottle/2019/06/15</t>
  </si>
  <si>
    <t>must send to contact@saasgenius.com for new outlet</t>
  </si>
  <si>
    <t>www.tripatlas.com</t>
  </si>
  <si>
    <t>ecofriend.org/</t>
  </si>
  <si>
    <t>scoliosis brace</t>
  </si>
  <si>
    <t>https://instablogs.com/</t>
  </si>
  <si>
    <t>https://instablogs.com/easy-peasy-gift-ideas-for-fathers-day.html</t>
  </si>
  <si>
    <t>Kool8+Twinkle inTime</t>
  </si>
  <si>
    <t>https://designbuzz.com/</t>
  </si>
  <si>
    <t>https://designbuzz.com/10-unique-gifts-for-your-clients/</t>
  </si>
  <si>
    <t>https://greendiary.com/</t>
  </si>
  <si>
    <t>https://ecofriend.com/</t>
  </si>
  <si>
    <t>https://healthcareweekly.com/artificial-intelligence-in-healthcare/</t>
  </si>
  <si>
    <t>https://hometone.com/</t>
  </si>
  <si>
    <t>https://hometone.com/10-perfect-gifts-for-space-nerds.html</t>
  </si>
  <si>
    <t>https://drprem.com/</t>
  </si>
  <si>
    <t>https://diyhealth.com/</t>
  </si>
  <si>
    <t>https://consciouslifenews.com/byod-in-healthcare-a-new-trend/11170387/</t>
  </si>
  <si>
    <t>https://consciouslifenews.com/5-cbd-oil-side-effects-you-should-know-about/11170397/</t>
  </si>
  <si>
    <t>KyroCBD</t>
  </si>
  <si>
    <t>https://consciouslifenews.com/stylish-thermoses-to-buy-this-year/11170402/</t>
  </si>
  <si>
    <t>rcpkrc@msn.com for dailynewsen.com</t>
  </si>
  <si>
    <t>https://www.dailynewsen.com/breaking/6-reasons-why-bluetooth-powered-medical-devices-have-become-so-popular-h11825.html</t>
  </si>
  <si>
    <t>100k</t>
  </si>
  <si>
    <t>https://southfloridareporter.com/myths-about-digital-health/</t>
  </si>
  <si>
    <t>whitehatbuzz1@gmail.com</t>
  </si>
  <si>
    <t>http://mynewpinkbutton.com/7-gift-ideas-for-your-spouse/</t>
  </si>
  <si>
    <t>moneymagpie.com via personal email.</t>
  </si>
  <si>
    <t>https://newsblaze.com/usnews/health/can-cbd-oil-help-you-quit-smoking_155833/</t>
  </si>
  <si>
    <t>https://www.ukuncut.org.uk/</t>
  </si>
  <si>
    <t>https://www.ukuncut.org.uk/cbd-for-kids-everything-you-need-to-know/</t>
  </si>
  <si>
    <t>baltimorepostexaminer.com</t>
  </si>
  <si>
    <t>https://baltimorepostexaminer.com/why-89-of-seniors-recommend-cbd-oil-to-a-friend/2019/06/14</t>
  </si>
  <si>
    <t>sourcefed.com</t>
  </si>
  <si>
    <t>https://sourcefed.com/6-surprising-uses-for-cbd-oil-you-never-knew-about/</t>
  </si>
  <si>
    <t>https://luxedb.com/</t>
  </si>
  <si>
    <t>https://luxedb.com/do-cbd-oil-gummies-work/</t>
  </si>
  <si>
    <t>https://www.emphas.is/</t>
  </si>
  <si>
    <t>https://www.emphas.is/cbd-oil-for-migraines-risks-and-benefits/</t>
  </si>
  <si>
    <t xml:space="preserve">https://axcessnews.com/national/health/whats-the-difference-between-thc-and-cbd_11331/ </t>
  </si>
  <si>
    <t>https://www.independent.mk/5-cbd-oil-side-effects-you-should-know-about/</t>
  </si>
  <si>
    <t>https://thedishh.com/2019/06/14/how-to-use-cbd-for-arthritis/</t>
  </si>
  <si>
    <t>https://www.rushprnews.com/2019/06/14/why-we-need-a-new-thc-police-field-test/</t>
  </si>
  <si>
    <t>harcourthealth.com/</t>
  </si>
  <si>
    <t>https://harcourthealth.com/the-promising-potential-of-cbd-oil/</t>
  </si>
  <si>
    <t>teethgrinder.co.uk</t>
  </si>
  <si>
    <t>https://www.teethgrinder.co.uk/how-cbd-helps-with-acne-treatment/</t>
  </si>
  <si>
    <t>articlerich.com</t>
  </si>
  <si>
    <t>https://www.articlerich.com/cbd-inflammation-it-actually-works/</t>
  </si>
  <si>
    <t>ribbon.co</t>
  </si>
  <si>
    <t>https://ribbon.co/5-cbd-oil-adverse-risks-you-should-know-about/</t>
  </si>
  <si>
    <t>CBD Kyro</t>
  </si>
  <si>
    <t>lincolnlabs.com</t>
  </si>
  <si>
    <t>https://lincolnlabs.com/can-cbd-help-with-pain-reduction/</t>
  </si>
  <si>
    <t>womensconference.org</t>
  </si>
  <si>
    <t>https://www.womensconference.org/cbd-and-cancer-patients-does-it-work/</t>
  </si>
  <si>
    <t>https://www.onebyfourstudio.com/2019/06/cbd-and-dogs-how-to-do-it-safely/</t>
  </si>
  <si>
    <t>https://sli.mg/10-industries-disrupted-by-cbd-oil/</t>
  </si>
  <si>
    <t>CBD guide
https://www.cbdkyro.com/cbd-oil/
https://healthcareweekly.com/cbd-oil/</t>
  </si>
  <si>
    <t>https://www.roboearth.org/</t>
  </si>
  <si>
    <t>https://www.emphas.is/skip-the-lame-go-for-the-cool-5-gifts-that-will-wow-and-delight/</t>
  </si>
  <si>
    <t>Kool8+TwinkleIntime</t>
  </si>
  <si>
    <t xml:space="preserve">https://axcessnews.com/national/environment/amazing-gifts-for-those-who-have-everything_11334/
</t>
  </si>
  <si>
    <t>https://www.marketdominationmedia.com/blog/</t>
  </si>
  <si>
    <t>www.epubzone.org</t>
  </si>
  <si>
    <t>https://www.epubzone.org/benefits-of-cbd-in-baked-goods/</t>
  </si>
  <si>
    <t>https://www.epubzone.org/a-travelers-guide-to-every-spring-destination/</t>
  </si>
  <si>
    <t>https://rogueimc.org/cbd-arrests-in-the-us/</t>
  </si>
  <si>
    <t>https://www.cleanweb.co/2019/06/14/packing-guide-for-an-amazing-trip-to-africa/</t>
  </si>
  <si>
    <t>https://www.theglimpse.com/5-gorgeous-modern-gifts-for-the-perfect-girlfriend/</t>
  </si>
  <si>
    <t>https://homebusinessmag.com/businesses/app-development/outsourcing-mobile-app-development-ideal-startups/</t>
  </si>
  <si>
    <t>send to christopher@scallywagandvagabond.com when images are stripped of metadata</t>
  </si>
  <si>
    <t>sent to Baltimore Explorer with pics</t>
  </si>
  <si>
    <t>https://pspl.com/7-ways-smartphones-are-becoming-vital-to-healthcare/</t>
  </si>
  <si>
    <t>https://small-bizsense.com/blog</t>
  </si>
  <si>
    <t>has both orthogonal and cbdkyro!</t>
  </si>
  <si>
    <t>https://small-bizsense.com/5-medical-wearables-that-can-improve-the-health-of-patients-with-complex-care-needs/</t>
  </si>
  <si>
    <t>https://www.roboearth.org/5-medical-specialties-improved-by-smart-sensors/</t>
  </si>
  <si>
    <t>https://www.emphas.is/5-treatments-remote-patient-monitoring-rpm-is-revolutionizing-in-2019/</t>
  </si>
  <si>
    <t>https://www.rushprnews.com/2019/06/15/5-up-and-coming-medtech-startups-of-2019/</t>
  </si>
  <si>
    <t>https://www.rushprnews.com/2019/06/15/5-gifts-every-morning-person-will-simply-love/</t>
  </si>
  <si>
    <t>Complete Nutrition + Kool8</t>
  </si>
  <si>
    <t xml:space="preserve">https://www.rushprnews.com/2019/06/15/5-alexa-skills-every-business-should-invest-in/ </t>
  </si>
  <si>
    <t>https://www.lmcordoba.com.ar/blog/gift-ideas-for-the-newly-engaged/</t>
  </si>
  <si>
    <t>Kool8+TwinkleInTime</t>
  </si>
  <si>
    <t>Complete Nutrition</t>
  </si>
  <si>
    <t>Complete Nutrition cocoandcreme.com via whitehatbuzz1@gmail.com</t>
  </si>
  <si>
    <t>http://cocoandcreme.com/7-coffee-brands-i-really-love/</t>
  </si>
  <si>
    <t xml:space="preserve">sales@hapakenya.com has Complete Nutrition </t>
  </si>
  <si>
    <t>https://hapakenya.com/info/10-tips-to-live-a-healthier-lifestyle-that-are-actually-doable/</t>
  </si>
  <si>
    <t>80millionmoviesfree.com via whitehatbuzz1@gmail.com</t>
  </si>
  <si>
    <t>http://80millionmoviesfree.com/5-romantic-gifts-for-women/</t>
  </si>
  <si>
    <t>cocoandcreme.com via whitehatbuzz1@gmail.com</t>
  </si>
  <si>
    <t>http://cocoandcreme.com/9-bike-accessories-on-a-budget/</t>
  </si>
  <si>
    <t xml:space="preserve">Kool8 </t>
  </si>
  <si>
    <t>https://www.tgdaily.com/technology/reviews/kool8-review/</t>
  </si>
  <si>
    <t>techmaish@gmail.com for techmaish.com</t>
  </si>
  <si>
    <t>adam t smth tied to cars.</t>
  </si>
  <si>
    <t>http://www.x519.info/2018/11/28/5-tips-on-how-to-make-your-employees-happy-this-holiday-season/</t>
  </si>
  <si>
    <t>Results end of week 1</t>
  </si>
  <si>
    <t>61 (+39)</t>
  </si>
  <si>
    <t>22(+68)</t>
  </si>
  <si>
    <t>digitalauthority.me</t>
  </si>
  <si>
    <t>58 (+1)</t>
  </si>
  <si>
    <t>46(+52)</t>
  </si>
  <si>
    <t>24 (+76)</t>
  </si>
  <si>
    <t>3 (+2)</t>
  </si>
  <si>
    <t>12(+11)</t>
  </si>
  <si>
    <t>19(+29)</t>
  </si>
  <si>
    <t>21(+1)</t>
  </si>
  <si>
    <t>24 (+2)</t>
  </si>
  <si>
    <t>Results end of week 3</t>
  </si>
  <si>
    <t>40 (+18)</t>
  </si>
  <si>
    <t>44(+2)</t>
  </si>
  <si>
    <t>2 (+1)</t>
  </si>
  <si>
    <t>11(+1)</t>
  </si>
  <si>
    <t>7(+12)</t>
  </si>
  <si>
    <t>New rankings on the list</t>
  </si>
  <si>
    <t>Mixpanel Partner press release</t>
  </si>
  <si>
    <t>mixpanel</t>
  </si>
  <si>
    <t>19 (+81)</t>
  </si>
  <si>
    <t>51 (+49)</t>
  </si>
  <si>
    <t>https://fastlisting.org/p/how-to-make-your-healthcare-website-amazing-with-few-simple-tweaks/</t>
  </si>
  <si>
    <t>Results end of week 5</t>
  </si>
  <si>
    <t>3(same)</t>
  </si>
  <si>
    <t>5 (+2)</t>
  </si>
  <si>
    <t>12 (+17)</t>
  </si>
  <si>
    <t>drivign app downloads</t>
  </si>
  <si>
    <t>13 (+12)</t>
  </si>
  <si>
    <t>13 (+20)</t>
  </si>
  <si>
    <t>14 (+10)</t>
  </si>
  <si>
    <t>31 (+30)</t>
  </si>
  <si>
    <t>52 (+4)</t>
  </si>
  <si>
    <t>47 (+53)</t>
  </si>
  <si>
    <t>69 (+31)</t>
  </si>
  <si>
    <t>81 (+19)</t>
  </si>
  <si>
    <t>https://setiweb.ssl.berkeley.edu/beta/team_display.php?teamid=134140</t>
  </si>
  <si>
    <t>http://juliawall.sites.gettysburg.edu/westpoint61/fifty-colleges-hit-together-with-ada-lawsuits/index</t>
  </si>
  <si>
    <t>https://my.sterling.edu/ICS/Academics/LL/LL379__UG06/FA_2006_UNDG-LL379__UG06_-A/Blog_71.jnz?portlet=Blog_71&amp;screen=View+Post&amp;screenType=next&amp;Id=fb296dc0-0b8b-4b1c-93d9-e40b4cd35ad1</t>
  </si>
  <si>
    <t xml:space="preserve">https://ribbon.co/how-can-artificial-intelligence-help-pharma-in-2019/
</t>
  </si>
  <si>
    <t xml:space="preserve">https://businesstimes.co.tz/four-free-strategies-to-market-your-app-in-2019/
</t>
  </si>
  <si>
    <t>influencer marketing guide</t>
  </si>
  <si>
    <t>https://www.techwebspace.com/5-affordable-strategies-to-market-your-app-effectively-in-2019/"</t>
  </si>
  <si>
    <t>https://incredibleplanet.net/10-benefits-of-telemedicine-for-both-healthcare-providers-and-their-patients/</t>
  </si>
  <si>
    <t>https://www.healthcarereformmagazine.com/tips-on-how-to-build-a-health-app-that-goes-viral/</t>
  </si>
  <si>
    <t>https://www.techmasai.com/marketing-tactics-every-it-company-should-leverage/</t>
  </si>
  <si>
    <t xml:space="preserve">https://www.foodfindsasia.com/5-amazing-telemedicine-apps-on-the-market-today/       </t>
  </si>
  <si>
    <t>https://www.theglimpse.com/5-content-marketing-strategies-it-marketers-should-use-in-2019</t>
  </si>
  <si>
    <t>https://healthcareweekly.com/scoliosis-brace-guide/</t>
  </si>
  <si>
    <t xml:space="preserve">https://www.serversfree.com/5-actionable-tips-to-a-data-driven-content-marketing-strategy/
</t>
  </si>
  <si>
    <t>"https://www.teethgrinder.co.uk/11-examples-of-how-voice-technology-is-taking-over-healthcare/
"</t>
  </si>
  <si>
    <t>Writing people</t>
  </si>
  <si>
    <t>Other services</t>
  </si>
  <si>
    <t>Rating (out of 5)</t>
  </si>
  <si>
    <t>Service</t>
  </si>
  <si>
    <t>mayragomes</t>
  </si>
  <si>
    <t>yourawesome</t>
  </si>
  <si>
    <t>video</t>
  </si>
  <si>
    <t>ssj1236</t>
  </si>
  <si>
    <t>cindyhardy</t>
  </si>
  <si>
    <t>melanielm</t>
  </si>
  <si>
    <t>Champi99</t>
  </si>
  <si>
    <t>product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</si>
</sst>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&quot;$&quot;#,##0"/>
    <numFmt numFmtId="165" formatCode="&quot;$&quot;#,##0.00"/>
    <numFmt numFmtId="166" formatCode="m/d"/>
    <numFmt numFmtId="167" formatCode="mm/dd/yy"/>
    <numFmt numFmtId="168" formatCode="mm/dd"/>
    <numFmt numFmtId="169" formatCode="mm/dd/yyyy"/>
    <numFmt numFmtId="170" formatCode="m/d/yyyy"/>
  </numFmts>
  <fonts count="93" x14ac:knownFonts="1">
    <font>
      <sz val="10"/>
      <color rgb="FF000000"/>
      <name val="Arial"/>
    </font>
    <font>
      <sz val="10"/>
      <color rgb="FFFFFFFF"/>
      <name val="Arial"/>
    </font>
    <font>
      <sz val="10"/>
      <color rgb="FFFFFFFF"/>
      <name val="Arial"/>
    </font>
    <font>
      <sz val="10"/>
      <name val="Arial"/>
    </font>
    <font>
      <b/>
      <sz val="8"/>
      <name val="Arial"/>
    </font>
    <font>
      <b/>
      <sz val="10"/>
      <name val="Arial"/>
    </font>
    <font>
      <sz val="10"/>
      <color rgb="FF000000"/>
      <name val="Arial"/>
    </font>
    <font>
      <sz val="18"/>
      <color rgb="FFFFFF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9"/>
      <color rgb="FFDD1144"/>
      <name val="Menlo"/>
    </font>
    <font>
      <sz val="10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sz val="10"/>
      <color rgb="FF000000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1"/>
      <color rgb="FF000000"/>
      <name val="Inconsolata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sz val="14"/>
      <color rgb="FF000000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b/>
      <sz val="18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8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3C4043"/>
      <name val="Roboto"/>
    </font>
    <font>
      <sz val="10"/>
      <color rgb="FF222222"/>
      <name val="Roboto"/>
    </font>
    <font>
      <sz val="10"/>
      <color rgb="FF555555"/>
      <name val="Roboto"/>
    </font>
    <font>
      <u/>
      <sz val="10"/>
      <color rgb="FF000000"/>
      <name val="Arial"/>
    </font>
    <font>
      <u/>
      <sz val="10"/>
      <color rgb="FF000000"/>
      <name val="Arial"/>
    </font>
    <font>
      <sz val="10"/>
      <color rgb="FFFF9900"/>
      <name val="Arial"/>
    </font>
    <font>
      <sz val="10"/>
      <color rgb="FF6AA84F"/>
      <name val="Arial"/>
    </font>
    <font>
      <u/>
      <sz val="10"/>
      <color rgb="FF000000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222222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FF0000"/>
      <name val="Arial"/>
    </font>
    <font>
      <sz val="8"/>
      <name val="Arial"/>
    </font>
    <font>
      <u/>
      <sz val="10"/>
      <color rgb="FF000000"/>
      <name val="Arial"/>
    </font>
    <font>
      <u/>
      <sz val="10"/>
      <color rgb="FF3C4043"/>
      <name val="Roboto"/>
    </font>
    <font>
      <u/>
      <sz val="10"/>
      <color rgb="FF1155CC"/>
      <name val="Arial"/>
    </font>
    <font>
      <sz val="10"/>
      <color rgb="FFFF9900"/>
      <name val="Arial"/>
    </font>
    <font>
      <sz val="10"/>
      <color rgb="FF6AA84F"/>
      <name val="Arial"/>
    </font>
    <font>
      <u/>
      <sz val="11"/>
      <color rgb="FF555555"/>
      <name val="HelveticaNeue"/>
    </font>
    <font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0000FF"/>
      <name val="Arial"/>
    </font>
    <font>
      <b/>
      <u/>
      <sz val="10"/>
      <color rgb="FF0000FF"/>
      <name val="Arial"/>
    </font>
    <font>
      <sz val="10"/>
      <color rgb="FF222222"/>
      <name val="Arial"/>
    </font>
    <font>
      <b/>
      <u/>
      <sz val="10"/>
      <color rgb="FF1155CC"/>
      <name val="Arial"/>
    </font>
    <font>
      <sz val="11"/>
      <color rgb="FF000000"/>
      <name val="Arial"/>
    </font>
    <font>
      <b/>
      <sz val="10"/>
      <color rgb="FF1155CC"/>
      <name val="Arial"/>
    </font>
    <font>
      <u/>
      <sz val="10"/>
      <color rgb="FFE69138"/>
      <name val="Arial"/>
    </font>
    <font>
      <sz val="10"/>
      <color rgb="FFE69138"/>
      <name val="Arial"/>
    </font>
    <font>
      <u/>
      <sz val="10"/>
      <color rgb="FF1155CC"/>
      <name val="Arial"/>
    </font>
    <font>
      <sz val="10"/>
      <color rgb="FF1155CC"/>
      <name val="Arial"/>
    </font>
    <font>
      <sz val="10"/>
      <color rgb="FF0000FF"/>
      <name val="Arial"/>
    </font>
    <font>
      <sz val="14"/>
      <name val="Arial"/>
    </font>
    <font>
      <b/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1"/>
      <color rgb="FF000000"/>
      <name val="Inconsolata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sz val="11"/>
      <color rgb="FF555555"/>
      <name val="Arial"/>
    </font>
    <font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00"/>
      <name val="Arial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7F7F9"/>
        <bgColor rgb="FFF7F7F9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6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horizontal="left"/>
    </xf>
    <xf numFmtId="0" fontId="3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2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horizontal="left" wrapText="1"/>
    </xf>
    <xf numFmtId="0" fontId="3" fillId="3" borderId="0" xfId="0" applyFont="1" applyFill="1" applyAlignment="1">
      <alignment horizontal="right" wrapText="1"/>
    </xf>
    <xf numFmtId="0" fontId="3" fillId="0" borderId="0" xfId="0" applyFont="1" applyAlignment="1">
      <alignment horizontal="right" wrapText="1"/>
    </xf>
    <xf numFmtId="0" fontId="10" fillId="4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right" wrapText="1"/>
    </xf>
    <xf numFmtId="0" fontId="11" fillId="0" borderId="0" xfId="0" applyFont="1" applyAlignment="1">
      <alignment horizontal="right" wrapText="1"/>
    </xf>
    <xf numFmtId="0" fontId="6" fillId="5" borderId="0" xfId="0" applyFont="1" applyFill="1" applyAlignment="1">
      <alignment wrapText="1"/>
    </xf>
    <xf numFmtId="0" fontId="15" fillId="5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0" fontId="20" fillId="5" borderId="0" xfId="0" applyFont="1" applyFill="1" applyAlignment="1">
      <alignment wrapText="1"/>
    </xf>
    <xf numFmtId="0" fontId="21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horizontal="left" wrapText="1"/>
    </xf>
    <xf numFmtId="0" fontId="22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0" fontId="23" fillId="5" borderId="0" xfId="0" applyFont="1" applyFill="1" applyAlignment="1">
      <alignment wrapText="1"/>
    </xf>
    <xf numFmtId="0" fontId="24" fillId="0" borderId="0" xfId="0" applyFont="1" applyAlignment="1">
      <alignment wrapText="1"/>
    </xf>
    <xf numFmtId="0" fontId="19" fillId="5" borderId="0" xfId="0" applyFont="1" applyFill="1" applyAlignment="1">
      <alignment horizontal="right" wrapText="1"/>
    </xf>
    <xf numFmtId="0" fontId="25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0" fontId="3" fillId="3" borderId="0" xfId="0" applyFont="1" applyFill="1" applyAlignment="1">
      <alignment wrapText="1"/>
    </xf>
    <xf numFmtId="0" fontId="19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horizontal="center" wrapText="1"/>
    </xf>
    <xf numFmtId="0" fontId="28" fillId="5" borderId="0" xfId="0" applyFont="1" applyFill="1" applyAlignment="1">
      <alignment wrapText="1"/>
    </xf>
    <xf numFmtId="0" fontId="19" fillId="5" borderId="0" xfId="0" applyFont="1" applyFill="1" applyAlignment="1">
      <alignment horizontal="right" wrapText="1"/>
    </xf>
    <xf numFmtId="0" fontId="29" fillId="5" borderId="0" xfId="0" applyFont="1" applyFill="1" applyAlignment="1">
      <alignment wrapText="1"/>
    </xf>
    <xf numFmtId="0" fontId="30" fillId="0" borderId="0" xfId="0" applyFont="1" applyAlignment="1">
      <alignment wrapText="1"/>
    </xf>
    <xf numFmtId="0" fontId="11" fillId="0" borderId="0" xfId="0" applyFont="1" applyAlignment="1">
      <alignment horizontal="right" wrapText="1"/>
    </xf>
    <xf numFmtId="0" fontId="31" fillId="0" borderId="0" xfId="0" applyFont="1" applyAlignment="1">
      <alignment horizontal="center" wrapText="1"/>
    </xf>
    <xf numFmtId="3" fontId="3" fillId="0" borderId="0" xfId="0" applyNumberFormat="1" applyFont="1" applyAlignment="1">
      <alignment wrapText="1"/>
    </xf>
    <xf numFmtId="0" fontId="32" fillId="5" borderId="0" xfId="0" applyFont="1" applyFill="1" applyAlignment="1">
      <alignment wrapText="1"/>
    </xf>
    <xf numFmtId="0" fontId="33" fillId="0" borderId="0" xfId="0" applyFont="1" applyAlignment="1"/>
    <xf numFmtId="0" fontId="34" fillId="0" borderId="0" xfId="0" applyFont="1" applyAlignment="1">
      <alignment wrapText="1"/>
    </xf>
    <xf numFmtId="0" fontId="35" fillId="0" borderId="0" xfId="0" applyFont="1" applyAlignment="1"/>
    <xf numFmtId="0" fontId="3" fillId="0" borderId="0" xfId="0" applyFont="1" applyAlignment="1">
      <alignment horizontal="center" wrapText="1"/>
    </xf>
    <xf numFmtId="0" fontId="36" fillId="0" borderId="0" xfId="0" applyFont="1" applyAlignment="1">
      <alignment horizontal="right" wrapText="1"/>
    </xf>
    <xf numFmtId="164" fontId="3" fillId="0" borderId="0" xfId="0" applyNumberFormat="1" applyFont="1" applyAlignment="1">
      <alignment wrapText="1"/>
    </xf>
    <xf numFmtId="9" fontId="3" fillId="0" borderId="0" xfId="0" applyNumberFormat="1" applyFont="1" applyAlignment="1">
      <alignment horizontal="right" wrapText="1"/>
    </xf>
    <xf numFmtId="164" fontId="11" fillId="0" borderId="0" xfId="0" applyNumberFormat="1" applyFont="1" applyAlignment="1">
      <alignment horizontal="right" wrapText="1"/>
    </xf>
    <xf numFmtId="9" fontId="11" fillId="0" borderId="0" xfId="0" applyNumberFormat="1" applyFont="1" applyAlignment="1">
      <alignment horizontal="right" wrapText="1"/>
    </xf>
    <xf numFmtId="164" fontId="3" fillId="0" borderId="0" xfId="0" applyNumberFormat="1" applyFont="1" applyAlignment="1">
      <alignment horizontal="right" wrapText="1"/>
    </xf>
    <xf numFmtId="0" fontId="37" fillId="0" borderId="0" xfId="0" applyFont="1" applyAlignment="1">
      <alignment wrapText="1"/>
    </xf>
    <xf numFmtId="0" fontId="38" fillId="0" borderId="0" xfId="0" applyFont="1" applyAlignment="1"/>
    <xf numFmtId="0" fontId="3" fillId="0" borderId="0" xfId="0" applyFont="1" applyAlignment="1"/>
    <xf numFmtId="164" fontId="11" fillId="0" borderId="0" xfId="0" applyNumberFormat="1" applyFont="1" applyAlignment="1">
      <alignment wrapText="1"/>
    </xf>
    <xf numFmtId="164" fontId="11" fillId="0" borderId="0" xfId="0" applyNumberFormat="1" applyFont="1" applyAlignment="1">
      <alignment wrapText="1"/>
    </xf>
    <xf numFmtId="0" fontId="39" fillId="5" borderId="0" xfId="0" applyFont="1" applyFill="1" applyAlignment="1"/>
    <xf numFmtId="164" fontId="11" fillId="0" borderId="0" xfId="0" applyNumberFormat="1" applyFont="1" applyAlignment="1">
      <alignment horizontal="right" wrapText="1"/>
    </xf>
    <xf numFmtId="9" fontId="3" fillId="0" borderId="0" xfId="0" applyNumberFormat="1" applyFont="1" applyAlignment="1">
      <alignment horizontal="right"/>
    </xf>
    <xf numFmtId="164" fontId="3" fillId="0" borderId="0" xfId="0" applyNumberFormat="1" applyFont="1" applyAlignment="1"/>
    <xf numFmtId="164" fontId="3" fillId="0" borderId="0" xfId="0" applyNumberFormat="1" applyFont="1" applyAlignment="1">
      <alignment horizontal="right"/>
    </xf>
    <xf numFmtId="0" fontId="19" fillId="5" borderId="0" xfId="0" applyFont="1" applyFill="1" applyAlignment="1">
      <alignment horizontal="left"/>
    </xf>
    <xf numFmtId="0" fontId="40" fillId="5" borderId="0" xfId="0" applyFont="1" applyFill="1" applyAlignment="1"/>
    <xf numFmtId="0" fontId="3" fillId="0" borderId="0" xfId="0" applyFont="1" applyAlignment="1">
      <alignment horizontal="right"/>
    </xf>
    <xf numFmtId="0" fontId="41" fillId="5" borderId="0" xfId="0" applyFont="1" applyFill="1" applyAlignment="1">
      <alignment horizontal="left" vertical="top"/>
    </xf>
    <xf numFmtId="0" fontId="41" fillId="5" borderId="0" xfId="0" applyFont="1" applyFill="1" applyAlignment="1"/>
    <xf numFmtId="0" fontId="42" fillId="0" borderId="0" xfId="0" applyFont="1" applyAlignment="1"/>
    <xf numFmtId="0" fontId="6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43" fillId="5" borderId="0" xfId="0" applyFont="1" applyFill="1" applyAlignment="1">
      <alignment horizontal="left"/>
    </xf>
    <xf numFmtId="165" fontId="3" fillId="0" borderId="0" xfId="0" applyNumberFormat="1" applyFont="1" applyAlignment="1">
      <alignment wrapText="1"/>
    </xf>
    <xf numFmtId="0" fontId="44" fillId="0" borderId="0" xfId="0" applyFont="1" applyAlignment="1">
      <alignment horizontal="right" wrapText="1"/>
    </xf>
    <xf numFmtId="0" fontId="45" fillId="0" borderId="0" xfId="0" applyFont="1" applyAlignment="1">
      <alignment horizontal="right" wrapText="1"/>
    </xf>
    <xf numFmtId="0" fontId="11" fillId="0" borderId="0" xfId="0" applyFont="1" applyAlignment="1">
      <alignment horizontal="left"/>
    </xf>
    <xf numFmtId="0" fontId="46" fillId="0" borderId="0" xfId="0" applyFont="1" applyAlignment="1"/>
    <xf numFmtId="0" fontId="6" fillId="0" borderId="0" xfId="0" applyFont="1"/>
    <xf numFmtId="0" fontId="47" fillId="0" borderId="0" xfId="0" applyFont="1" applyAlignment="1"/>
    <xf numFmtId="0" fontId="48" fillId="6" borderId="0" xfId="0" applyFont="1" applyFill="1" applyAlignment="1"/>
    <xf numFmtId="0" fontId="49" fillId="6" borderId="0" xfId="0" applyFont="1" applyFill="1" applyAlignment="1"/>
    <xf numFmtId="0" fontId="3" fillId="6" borderId="0" xfId="0" applyFont="1" applyFill="1" applyAlignment="1"/>
    <xf numFmtId="0" fontId="3" fillId="6" borderId="0" xfId="0" applyFont="1" applyFill="1"/>
    <xf numFmtId="49" fontId="3" fillId="0" borderId="0" xfId="0" applyNumberFormat="1" applyFont="1" applyAlignment="1">
      <alignment horizontal="right" wrapText="1"/>
    </xf>
    <xf numFmtId="0" fontId="11" fillId="0" borderId="0" xfId="0" applyFont="1" applyAlignment="1"/>
    <xf numFmtId="0" fontId="50" fillId="0" borderId="0" xfId="0" applyFont="1" applyAlignment="1"/>
    <xf numFmtId="0" fontId="11" fillId="0" borderId="0" xfId="0" applyFont="1" applyAlignment="1">
      <alignment horizontal="right"/>
    </xf>
    <xf numFmtId="0" fontId="11" fillId="0" borderId="0" xfId="0" applyFont="1" applyAlignment="1"/>
    <xf numFmtId="0" fontId="3" fillId="0" borderId="0" xfId="0" applyFont="1" applyAlignment="1">
      <alignment horizontal="right" wrapText="1"/>
    </xf>
    <xf numFmtId="0" fontId="7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51" fillId="5" borderId="0" xfId="0" applyFont="1" applyFill="1" applyAlignment="1"/>
    <xf numFmtId="0" fontId="52" fillId="7" borderId="0" xfId="0" applyFont="1" applyFill="1" applyAlignment="1"/>
    <xf numFmtId="0" fontId="3" fillId="7" borderId="0" xfId="0" applyFont="1" applyFill="1" applyAlignment="1"/>
    <xf numFmtId="0" fontId="3" fillId="8" borderId="0" xfId="0" applyFont="1" applyFill="1" applyAlignment="1">
      <alignment wrapText="1"/>
    </xf>
    <xf numFmtId="0" fontId="3" fillId="8" borderId="0" xfId="0" applyFont="1" applyFill="1" applyAlignment="1">
      <alignment wrapText="1"/>
    </xf>
    <xf numFmtId="0" fontId="3" fillId="9" borderId="0" xfId="0" applyFont="1" applyFill="1" applyAlignment="1"/>
    <xf numFmtId="0" fontId="53" fillId="8" borderId="0" xfId="0" applyFont="1" applyFill="1" applyAlignment="1">
      <alignment wrapText="1"/>
    </xf>
    <xf numFmtId="0" fontId="54" fillId="5" borderId="0" xfId="0" applyFont="1" applyFill="1" applyAlignment="1"/>
    <xf numFmtId="0" fontId="55" fillId="0" borderId="0" xfId="0" applyFont="1" applyAlignment="1"/>
    <xf numFmtId="0" fontId="56" fillId="0" borderId="0" xfId="0" applyFont="1" applyAlignment="1"/>
    <xf numFmtId="0" fontId="11" fillId="0" borderId="0" xfId="0" applyFont="1" applyAlignment="1">
      <alignment wrapText="1"/>
    </xf>
    <xf numFmtId="0" fontId="57" fillId="0" borderId="0" xfId="0" applyFont="1" applyAlignment="1">
      <alignment horizontal="right" wrapText="1"/>
    </xf>
    <xf numFmtId="164" fontId="11" fillId="0" borderId="0" xfId="0" applyNumberFormat="1" applyFont="1" applyAlignment="1"/>
    <xf numFmtId="0" fontId="11" fillId="0" borderId="0" xfId="0" applyFont="1" applyAlignment="1"/>
    <xf numFmtId="166" fontId="3" fillId="8" borderId="0" xfId="0" applyNumberFormat="1" applyFont="1" applyFill="1" applyAlignment="1">
      <alignment wrapText="1"/>
    </xf>
    <xf numFmtId="0" fontId="3" fillId="8" borderId="0" xfId="0" applyFont="1" applyFill="1" applyAlignment="1">
      <alignment horizontal="right" wrapText="1"/>
    </xf>
    <xf numFmtId="166" fontId="3" fillId="0" borderId="0" xfId="0" applyNumberFormat="1" applyFont="1" applyAlignment="1">
      <alignment wrapText="1"/>
    </xf>
    <xf numFmtId="0" fontId="58" fillId="5" borderId="0" xfId="0" applyFont="1" applyFill="1" applyAlignment="1"/>
    <xf numFmtId="0" fontId="59" fillId="5" borderId="0" xfId="0" applyFont="1" applyFill="1" applyAlignment="1"/>
    <xf numFmtId="0" fontId="60" fillId="0" borderId="0" xfId="0" applyFont="1" applyAlignment="1">
      <alignment wrapText="1"/>
    </xf>
    <xf numFmtId="0" fontId="19" fillId="5" borderId="0" xfId="0" applyFont="1" applyFill="1" applyAlignment="1"/>
    <xf numFmtId="0" fontId="61" fillId="0" borderId="0" xfId="0" applyFont="1" applyAlignment="1">
      <alignment horizontal="right" wrapText="1"/>
    </xf>
    <xf numFmtId="167" fontId="3" fillId="0" borderId="0" xfId="0" applyNumberFormat="1" applyFont="1" applyAlignment="1">
      <alignment wrapText="1"/>
    </xf>
    <xf numFmtId="0" fontId="62" fillId="0" borderId="0" xfId="0" applyFont="1" applyAlignment="1">
      <alignment horizontal="right" wrapText="1"/>
    </xf>
    <xf numFmtId="0" fontId="41" fillId="5" borderId="0" xfId="0" applyFont="1" applyFill="1" applyAlignment="1"/>
    <xf numFmtId="0" fontId="63" fillId="5" borderId="0" xfId="0" applyFont="1" applyFill="1" applyAlignment="1">
      <alignment wrapText="1"/>
    </xf>
    <xf numFmtId="0" fontId="64" fillId="0" borderId="0" xfId="0" applyFont="1" applyAlignment="1"/>
    <xf numFmtId="0" fontId="11" fillId="0" borderId="0" xfId="0" applyFont="1" applyAlignment="1">
      <alignment horizontal="right"/>
    </xf>
    <xf numFmtId="164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 wrapText="1"/>
    </xf>
    <xf numFmtId="0" fontId="65" fillId="5" borderId="0" xfId="0" applyFont="1" applyFill="1" applyAlignment="1"/>
    <xf numFmtId="0" fontId="66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7" fillId="0" borderId="0" xfId="0" applyFont="1" applyAlignment="1">
      <alignment wrapText="1"/>
    </xf>
    <xf numFmtId="0" fontId="68" fillId="5" borderId="0" xfId="0" applyFont="1" applyFill="1" applyAlignment="1"/>
    <xf numFmtId="0" fontId="69" fillId="0" borderId="0" xfId="0" applyFont="1" applyAlignment="1">
      <alignment horizontal="left" wrapText="1"/>
    </xf>
    <xf numFmtId="169" fontId="3" fillId="0" borderId="0" xfId="0" applyNumberFormat="1" applyFont="1" applyAlignment="1">
      <alignment wrapText="1"/>
    </xf>
    <xf numFmtId="0" fontId="3" fillId="10" borderId="0" xfId="0" applyFont="1" applyFill="1" applyAlignment="1"/>
    <xf numFmtId="0" fontId="70" fillId="0" borderId="0" xfId="0" applyFont="1" applyAlignment="1"/>
    <xf numFmtId="0" fontId="71" fillId="5" borderId="0" xfId="0" applyFont="1" applyFill="1" applyAlignment="1"/>
    <xf numFmtId="0" fontId="72" fillId="0" borderId="0" xfId="0" applyFont="1" applyAlignment="1"/>
    <xf numFmtId="0" fontId="73" fillId="0" borderId="0" xfId="0" applyFont="1" applyAlignment="1"/>
    <xf numFmtId="0" fontId="74" fillId="5" borderId="0" xfId="0" applyFont="1" applyFill="1" applyAlignment="1"/>
    <xf numFmtId="0" fontId="75" fillId="0" borderId="0" xfId="0" applyFont="1" applyAlignment="1"/>
    <xf numFmtId="0" fontId="76" fillId="0" borderId="0" xfId="0" applyFont="1" applyAlignment="1">
      <alignment wrapText="1"/>
    </xf>
    <xf numFmtId="0" fontId="75" fillId="5" borderId="0" xfId="0" applyFont="1" applyFill="1" applyAlignment="1"/>
    <xf numFmtId="0" fontId="78" fillId="0" borderId="0" xfId="0" applyFont="1" applyAlignment="1"/>
    <xf numFmtId="0" fontId="3" fillId="6" borderId="0" xfId="0" applyFont="1" applyFill="1" applyAlignment="1"/>
    <xf numFmtId="0" fontId="5" fillId="0" borderId="0" xfId="0" applyFont="1" applyAlignment="1"/>
    <xf numFmtId="0" fontId="79" fillId="0" borderId="0" xfId="0" applyFont="1" applyAlignment="1">
      <alignment horizontal="left" wrapText="1"/>
    </xf>
    <xf numFmtId="0" fontId="44" fillId="0" borderId="0" xfId="0" applyFont="1" applyAlignment="1">
      <alignment wrapText="1"/>
    </xf>
    <xf numFmtId="0" fontId="80" fillId="0" borderId="0" xfId="0" applyFont="1" applyAlignment="1">
      <alignment horizontal="right" wrapText="1"/>
    </xf>
    <xf numFmtId="0" fontId="3" fillId="11" borderId="0" xfId="0" applyFont="1" applyFill="1" applyAlignment="1">
      <alignment wrapText="1"/>
    </xf>
    <xf numFmtId="0" fontId="81" fillId="0" borderId="0" xfId="0" applyFont="1" applyAlignment="1"/>
    <xf numFmtId="0" fontId="56" fillId="0" borderId="0" xfId="0" applyFont="1"/>
    <xf numFmtId="0" fontId="82" fillId="0" borderId="0" xfId="0" applyFont="1" applyAlignment="1"/>
    <xf numFmtId="0" fontId="2" fillId="2" borderId="0" xfId="0" applyFont="1" applyFill="1" applyAlignment="1">
      <alignment horizontal="left" wrapText="1"/>
    </xf>
    <xf numFmtId="0" fontId="83" fillId="5" borderId="0" xfId="0" applyFont="1" applyFill="1"/>
    <xf numFmtId="0" fontId="84" fillId="5" borderId="0" xfId="0" applyFont="1" applyFill="1" applyAlignment="1">
      <alignment wrapText="1"/>
    </xf>
    <xf numFmtId="0" fontId="11" fillId="3" borderId="0" xfId="0" applyFont="1" applyFill="1" applyAlignment="1">
      <alignment horizontal="right" wrapText="1"/>
    </xf>
    <xf numFmtId="168" fontId="11" fillId="0" borderId="0" xfId="0" applyNumberFormat="1" applyFont="1" applyAlignment="1">
      <alignment horizontal="right" wrapText="1"/>
    </xf>
    <xf numFmtId="0" fontId="11" fillId="3" borderId="0" xfId="0" applyFont="1" applyFill="1" applyAlignment="1">
      <alignment horizontal="right" wrapText="1"/>
    </xf>
    <xf numFmtId="0" fontId="85" fillId="0" borderId="0" xfId="0" applyFont="1" applyAlignment="1">
      <alignment wrapText="1"/>
    </xf>
    <xf numFmtId="0" fontId="86" fillId="0" borderId="0" xfId="0" applyFont="1" applyAlignment="1">
      <alignment horizontal="right" wrapText="1"/>
    </xf>
    <xf numFmtId="0" fontId="3" fillId="3" borderId="0" xfId="0" applyFont="1" applyFill="1" applyAlignment="1">
      <alignment horizontal="right"/>
    </xf>
    <xf numFmtId="0" fontId="6" fillId="3" borderId="0" xfId="0" applyFont="1" applyFill="1" applyAlignment="1">
      <alignment horizontal="right" wrapText="1"/>
    </xf>
    <xf numFmtId="0" fontId="87" fillId="5" borderId="0" xfId="0" applyFont="1" applyFill="1" applyAlignment="1">
      <alignment wrapText="1"/>
    </xf>
    <xf numFmtId="0" fontId="19" fillId="5" borderId="0" xfId="0" applyFont="1" applyFill="1" applyAlignment="1">
      <alignment horizontal="right" wrapText="1"/>
    </xf>
    <xf numFmtId="0" fontId="88" fillId="5" borderId="0" xfId="0" applyFont="1" applyFill="1"/>
    <xf numFmtId="0" fontId="88" fillId="5" borderId="0" xfId="0" applyFont="1" applyFill="1"/>
    <xf numFmtId="0" fontId="89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92" fillId="0" borderId="0" xfId="0" applyFont="1" applyAlignment="1">
      <alignment wrapText="1"/>
    </xf>
    <xf numFmtId="0" fontId="3" fillId="8" borderId="0" xfId="0" applyFont="1" applyFill="1" applyAlignment="1">
      <alignment wrapText="1"/>
    </xf>
    <xf numFmtId="0" fontId="0" fillId="0" borderId="0" xfId="0" applyFont="1" applyAlignment="1"/>
    <xf numFmtId="0" fontId="3" fillId="0" borderId="0" xfId="0" applyFont="1" applyAlignment="1">
      <alignment wrapText="1"/>
    </xf>
    <xf numFmtId="0" fontId="7" fillId="2" borderId="0" xfId="0" applyFont="1" applyFill="1" applyAlignment="1">
      <alignment wrapText="1"/>
    </xf>
    <xf numFmtId="168" fontId="3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67" fontId="3" fillId="0" borderId="0" xfId="0" applyNumberFormat="1" applyFont="1" applyAlignment="1">
      <alignment wrapText="1"/>
    </xf>
    <xf numFmtId="170" fontId="3" fillId="0" borderId="0" xfId="0" applyNumberFormat="1" applyFont="1" applyAlignment="1">
      <alignment wrapText="1"/>
    </xf>
    <xf numFmtId="0" fontId="77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31" fillId="0" borderId="0" xfId="0" applyFont="1" applyAlignment="1">
      <alignment horizontal="center" wrapText="1"/>
    </xf>
    <xf numFmtId="0" fontId="27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igitalauthority.me/resources/alexa-for-business-skills/" TargetMode="External"/><Relationship Id="rId4" Type="http://schemas.openxmlformats.org/officeDocument/2006/relationships/hyperlink" Target="https://healthcareweekly.com/artificial-intelligence-in-healthcare/" TargetMode="External"/><Relationship Id="rId5" Type="http://schemas.openxmlformats.org/officeDocument/2006/relationships/hyperlink" Target="https://healthcareweekly.com/multivitamins/" TargetMode="External"/><Relationship Id="rId1" Type="http://schemas.openxmlformats.org/officeDocument/2006/relationships/hyperlink" Target="https://www.digitalauthority.me/web-analytics-services-chicago/" TargetMode="External"/><Relationship Id="rId2" Type="http://schemas.openxmlformats.org/officeDocument/2006/relationships/hyperlink" Target="https://www.digitalauthority.me/resources/hitrust-certification-guideline/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s://www.digitalauthority.me/resources/pharma-marketing-guide/" TargetMode="External"/><Relationship Id="rId21" Type="http://schemas.openxmlformats.org/officeDocument/2006/relationships/hyperlink" Target="https://www.digitalauthority.me/web-design-chicago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s://www.digitalauthority.me/resources/hitrust-certification-guideline/" TargetMode="External"/><Relationship Id="rId17" Type="http://schemas.openxmlformats.org/officeDocument/2006/relationships/hyperlink" Target="https://www.digitalauthority.me/resources/hotel-digital-marketing-tips/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s://healthcareweekly.com/multivitamins/" TargetMode="External"/><Relationship Id="rId1" Type="http://schemas.openxmlformats.org/officeDocument/2006/relationships/hyperlink" Target="https://www.digitalauthority.me/resources/alexa-for-business-skills/" TargetMode="External"/><Relationship Id="rId2" Type="http://schemas.openxmlformats.org/officeDocument/2006/relationships/hyperlink" Target="https://www.digitalauthority.me/resources/alexa-in-healthcare/" TargetMode="External"/><Relationship Id="rId3" Type="http://schemas.openxmlformats.org/officeDocument/2006/relationships/hyperlink" Target="https://www.techmaish.com/8-b2b-marketing-techniques-to-experiment-with-this-year/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s://www.digitalauthority.me/web-design-chicago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s://www.digitalauthority.me/resources/hitrust-certification-guideline/" TargetMode="External"/><Relationship Id="rId16" Type="http://schemas.openxmlformats.org/officeDocument/2006/relationships/hyperlink" Target="https://www.digitalauthority.me/resources/hotel-digital-marketing-tips/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s://healthcareweekly.com/multivitamins/" TargetMode="External"/><Relationship Id="rId19" Type="http://schemas.openxmlformats.org/officeDocument/2006/relationships/hyperlink" Target="https://www.digitalauthority.me/resources/pharma-marketing-guide/" TargetMode="External"/><Relationship Id="rId1" Type="http://schemas.openxmlformats.org/officeDocument/2006/relationships/hyperlink" Target="https://www.digitalauthority.me/resources/alexa-for-business-skills/" TargetMode="External"/><Relationship Id="rId2" Type="http://schemas.openxmlformats.org/officeDocument/2006/relationships/hyperlink" Target="https://www.digitalauthority.me/resources/alexa-in-healthcare/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4.xml.rels><?xml version="1.0" encoding="UTF-8" standalone="yes"?>
<Relationships xmlns="http://schemas.openxmlformats.org/package/2006/relationships"><Relationship Id="rId106" Type="http://schemas.openxmlformats.org/officeDocument/2006/relationships/hyperlink" Target="http://healthyvoyager.com" TargetMode="External"/><Relationship Id="rId107" Type="http://schemas.openxmlformats.org/officeDocument/2006/relationships/hyperlink" Target="http://thetrentonline.com" TargetMode="External"/><Relationship Id="rId108" Type="http://schemas.openxmlformats.org/officeDocument/2006/relationships/hyperlink" Target="http://ruhanirabin.com" TargetMode="External"/><Relationship Id="rId109" Type="http://schemas.openxmlformats.org/officeDocument/2006/relationships/hyperlink" Target="http://rushprnews.com" TargetMode="External"/><Relationship Id="rId70" Type="http://schemas.openxmlformats.org/officeDocument/2006/relationships/hyperlink" Target="http://easyfinance.com" TargetMode="External"/><Relationship Id="rId71" Type="http://schemas.openxmlformats.org/officeDocument/2006/relationships/hyperlink" Target="http://axcessnews.com" TargetMode="External"/><Relationship Id="rId72" Type="http://schemas.openxmlformats.org/officeDocument/2006/relationships/hyperlink" Target="http://falconhive.com" TargetMode="External"/><Relationship Id="rId73" Type="http://schemas.openxmlformats.org/officeDocument/2006/relationships/hyperlink" Target="http://therealtimereport.com" TargetMode="External"/><Relationship Id="rId74" Type="http://schemas.openxmlformats.org/officeDocument/2006/relationships/hyperlink" Target="http://www.epubzone.org/" TargetMode="External"/><Relationship Id="rId75" Type="http://schemas.openxmlformats.org/officeDocument/2006/relationships/hyperlink" Target="https://www.centrinity.com/" TargetMode="External"/><Relationship Id="rId76" Type="http://schemas.openxmlformats.org/officeDocument/2006/relationships/hyperlink" Target="http://tlists.com/" TargetMode="External"/><Relationship Id="rId77" Type="http://schemas.openxmlformats.org/officeDocument/2006/relationships/hyperlink" Target="http://www.bigtimedaily.com" TargetMode="External"/><Relationship Id="rId78" Type="http://schemas.openxmlformats.org/officeDocument/2006/relationships/hyperlink" Target="https://butterflylabs.com/" TargetMode="External"/><Relationship Id="rId79" Type="http://schemas.openxmlformats.org/officeDocument/2006/relationships/hyperlink" Target="https://stuckathomemom.com/" TargetMode="External"/><Relationship Id="rId170" Type="http://schemas.openxmlformats.org/officeDocument/2006/relationships/hyperlink" Target="http://sguru.org" TargetMode="External"/><Relationship Id="rId171" Type="http://schemas.openxmlformats.org/officeDocument/2006/relationships/hyperlink" Target="http://opptrends.com" TargetMode="External"/><Relationship Id="rId172" Type="http://schemas.openxmlformats.org/officeDocument/2006/relationships/hyperlink" Target="http://meetrv.com" TargetMode="External"/><Relationship Id="rId173" Type="http://schemas.openxmlformats.org/officeDocument/2006/relationships/hyperlink" Target="http://embedds.com" TargetMode="External"/><Relationship Id="rId174" Type="http://schemas.openxmlformats.org/officeDocument/2006/relationships/hyperlink" Target="http://instablogs.com" TargetMode="External"/><Relationship Id="rId175" Type="http://schemas.openxmlformats.org/officeDocument/2006/relationships/hyperlink" Target="https://ribbon.co/" TargetMode="External"/><Relationship Id="rId176" Type="http://schemas.openxmlformats.org/officeDocument/2006/relationships/hyperlink" Target="http://realwealthbusiness.com" TargetMode="External"/><Relationship Id="rId177" Type="http://schemas.openxmlformats.org/officeDocument/2006/relationships/hyperlink" Target="https://contentrally.com/" TargetMode="External"/><Relationship Id="rId178" Type="http://schemas.openxmlformats.org/officeDocument/2006/relationships/hyperlink" Target="http://techmasai.com" TargetMode="External"/><Relationship Id="rId179" Type="http://schemas.openxmlformats.org/officeDocument/2006/relationships/hyperlink" Target="http://expressdigest.com" TargetMode="External"/><Relationship Id="rId260" Type="http://schemas.openxmlformats.org/officeDocument/2006/relationships/hyperlink" Target="http://dcresource.biz" TargetMode="External"/><Relationship Id="rId10" Type="http://schemas.openxmlformats.org/officeDocument/2006/relationships/hyperlink" Target="http://webdesign.org" TargetMode="External"/><Relationship Id="rId11" Type="http://schemas.openxmlformats.org/officeDocument/2006/relationships/hyperlink" Target="http://www.dezzain.com/" TargetMode="External"/><Relationship Id="rId12" Type="http://schemas.openxmlformats.org/officeDocument/2006/relationships/hyperlink" Target="https://thefrisky.com" TargetMode="External"/><Relationship Id="rId13" Type="http://schemas.openxmlformats.org/officeDocument/2006/relationships/hyperlink" Target="https://socialmediaexplorer.com/" TargetMode="External"/><Relationship Id="rId14" Type="http://schemas.openxmlformats.org/officeDocument/2006/relationships/hyperlink" Target="https://pitchengine.com/" TargetMode="External"/><Relationship Id="rId15" Type="http://schemas.openxmlformats.org/officeDocument/2006/relationships/hyperlink" Target="http://divjot.co" TargetMode="External"/><Relationship Id="rId16" Type="http://schemas.openxmlformats.org/officeDocument/2006/relationships/hyperlink" Target="http://www.equities.com" TargetMode="External"/><Relationship Id="rId17" Type="http://schemas.openxmlformats.org/officeDocument/2006/relationships/hyperlink" Target="http://bmmagazine.co.uk" TargetMode="External"/><Relationship Id="rId18" Type="http://schemas.openxmlformats.org/officeDocument/2006/relationships/hyperlink" Target="http://www.bitrebels.com/" TargetMode="External"/><Relationship Id="rId19" Type="http://schemas.openxmlformats.org/officeDocument/2006/relationships/hyperlink" Target="http://newsblaze.com" TargetMode="External"/><Relationship Id="rId261" Type="http://schemas.openxmlformats.org/officeDocument/2006/relationships/hyperlink" Target="http://drmusayeva.com/" TargetMode="External"/><Relationship Id="rId262" Type="http://schemas.openxmlformats.org/officeDocument/2006/relationships/hyperlink" Target="http://memetics.com" TargetMode="External"/><Relationship Id="rId263" Type="http://schemas.openxmlformats.org/officeDocument/2006/relationships/hyperlink" Target="http://bobcassidy.net" TargetMode="External"/><Relationship Id="rId264" Type="http://schemas.openxmlformats.org/officeDocument/2006/relationships/hyperlink" Target="https://lincolnlabs.com/" TargetMode="External"/><Relationship Id="rId110" Type="http://schemas.openxmlformats.org/officeDocument/2006/relationships/hyperlink" Target="https://pspl.com/" TargetMode="External"/><Relationship Id="rId111" Type="http://schemas.openxmlformats.org/officeDocument/2006/relationships/hyperlink" Target="http://www.pouted.com" TargetMode="External"/><Relationship Id="rId112" Type="http://schemas.openxmlformats.org/officeDocument/2006/relationships/hyperlink" Target="https://uberant.com/" TargetMode="External"/><Relationship Id="rId113" Type="http://schemas.openxmlformats.org/officeDocument/2006/relationships/hyperlink" Target="http://mybeautifuladventures.com" TargetMode="External"/><Relationship Id="rId114" Type="http://schemas.openxmlformats.org/officeDocument/2006/relationships/hyperlink" Target="http://oneworldherald.com" TargetMode="External"/><Relationship Id="rId115" Type="http://schemas.openxmlformats.org/officeDocument/2006/relationships/hyperlink" Target="http://usdailyreview.com/" TargetMode="External"/><Relationship Id="rId116" Type="http://schemas.openxmlformats.org/officeDocument/2006/relationships/hyperlink" Target="http://southfloridareporter.com" TargetMode="External"/><Relationship Id="rId117" Type="http://schemas.openxmlformats.org/officeDocument/2006/relationships/hyperlink" Target="http://dailynewsen.com" TargetMode="External"/><Relationship Id="rId118" Type="http://schemas.openxmlformats.org/officeDocument/2006/relationships/hyperlink" Target="http://designlike.com" TargetMode="External"/><Relationship Id="rId119" Type="http://schemas.openxmlformats.org/officeDocument/2006/relationships/hyperlink" Target="http://drprem.com" TargetMode="External"/><Relationship Id="rId200" Type="http://schemas.openxmlformats.org/officeDocument/2006/relationships/hyperlink" Target="http://fashionsy.com/" TargetMode="External"/><Relationship Id="rId201" Type="http://schemas.openxmlformats.org/officeDocument/2006/relationships/hyperlink" Target="https://5bestthings.com/" TargetMode="External"/><Relationship Id="rId202" Type="http://schemas.openxmlformats.org/officeDocument/2006/relationships/hyperlink" Target="https://shabbychicboho.com/" TargetMode="External"/><Relationship Id="rId203" Type="http://schemas.openxmlformats.org/officeDocument/2006/relationships/hyperlink" Target="http://e-papyrus.com" TargetMode="External"/><Relationship Id="rId204" Type="http://schemas.openxmlformats.org/officeDocument/2006/relationships/hyperlink" Target="https://loreleiweb.com/" TargetMode="External"/><Relationship Id="rId205" Type="http://schemas.openxmlformats.org/officeDocument/2006/relationships/hyperlink" Target="http://getthebigpicture.net/" TargetMode="External"/><Relationship Id="rId206" Type="http://schemas.openxmlformats.org/officeDocument/2006/relationships/hyperlink" Target="https://www.newsforpublic.com/" TargetMode="External"/><Relationship Id="rId207" Type="http://schemas.openxmlformats.org/officeDocument/2006/relationships/hyperlink" Target="http://pswish.com" TargetMode="External"/><Relationship Id="rId208" Type="http://schemas.openxmlformats.org/officeDocument/2006/relationships/hyperlink" Target="mailto:3dartistrawat@gmail.com" TargetMode="External"/><Relationship Id="rId209" Type="http://schemas.openxmlformats.org/officeDocument/2006/relationships/hyperlink" Target="http://tricksmode.com/" TargetMode="External"/><Relationship Id="rId265" Type="http://schemas.openxmlformats.org/officeDocument/2006/relationships/hyperlink" Target="https://projectdiaspora.org/" TargetMode="External"/><Relationship Id="rId266" Type="http://schemas.openxmlformats.org/officeDocument/2006/relationships/hyperlink" Target="https://rumyittips.com/" TargetMode="External"/><Relationship Id="rId267" Type="http://schemas.openxmlformats.org/officeDocument/2006/relationships/hyperlink" Target="http://www.insectuniverse.com/" TargetMode="External"/><Relationship Id="rId268" Type="http://schemas.openxmlformats.org/officeDocument/2006/relationships/hyperlink" Target="http://good-after.com" TargetMode="External"/><Relationship Id="rId269" Type="http://schemas.openxmlformats.org/officeDocument/2006/relationships/hyperlink" Target="http://speedliting.com" TargetMode="External"/><Relationship Id="rId1" Type="http://schemas.openxmlformats.org/officeDocument/2006/relationships/hyperlink" Target="http://scalar.usc.edu" TargetMode="External"/><Relationship Id="rId2" Type="http://schemas.openxmlformats.org/officeDocument/2006/relationships/hyperlink" Target="http://today.com" TargetMode="External"/><Relationship Id="rId3" Type="http://schemas.openxmlformats.org/officeDocument/2006/relationships/hyperlink" Target="http://www.reliablecounter.com" TargetMode="External"/><Relationship Id="rId4" Type="http://schemas.openxmlformats.org/officeDocument/2006/relationships/hyperlink" Target="http://mthemes.com" TargetMode="External"/><Relationship Id="rId5" Type="http://schemas.openxmlformats.org/officeDocument/2006/relationships/hyperlink" Target="http://rohitink.com" TargetMode="External"/><Relationship Id="rId6" Type="http://schemas.openxmlformats.org/officeDocument/2006/relationships/hyperlink" Target="https://www.selfgrowth.com/" TargetMode="External"/><Relationship Id="rId7" Type="http://schemas.openxmlformats.org/officeDocument/2006/relationships/hyperlink" Target="http://www.theodysseyonline.com/" TargetMode="External"/><Relationship Id="rId8" Type="http://schemas.openxmlformats.org/officeDocument/2006/relationships/hyperlink" Target="http://tgdaily.com" TargetMode="External"/><Relationship Id="rId9" Type="http://schemas.openxmlformats.org/officeDocument/2006/relationships/hyperlink" Target="http://blog.ideafit.com/" TargetMode="External"/><Relationship Id="rId80" Type="http://schemas.openxmlformats.org/officeDocument/2006/relationships/hyperlink" Target="http://rocketnews.com" TargetMode="External"/><Relationship Id="rId81" Type="http://schemas.openxmlformats.org/officeDocument/2006/relationships/hyperlink" Target="http://itsguru.com" TargetMode="External"/><Relationship Id="rId82" Type="http://schemas.openxmlformats.org/officeDocument/2006/relationships/hyperlink" Target="http://topdreamer.com" TargetMode="External"/><Relationship Id="rId83" Type="http://schemas.openxmlformats.org/officeDocument/2006/relationships/hyperlink" Target="http://isurfwebster.com" TargetMode="External"/><Relationship Id="rId84" Type="http://schemas.openxmlformats.org/officeDocument/2006/relationships/hyperlink" Target="http://medicalmingle.com/" TargetMode="External"/><Relationship Id="rId85" Type="http://schemas.openxmlformats.org/officeDocument/2006/relationships/hyperlink" Target="http://alltes.com" TargetMode="External"/><Relationship Id="rId86" Type="http://schemas.openxmlformats.org/officeDocument/2006/relationships/hyperlink" Target="http://bestoftheyear.in" TargetMode="External"/><Relationship Id="rId87" Type="http://schemas.openxmlformats.org/officeDocument/2006/relationships/hyperlink" Target="http://thesocialmediamonthly.com" TargetMode="External"/><Relationship Id="rId88" Type="http://schemas.openxmlformats.org/officeDocument/2006/relationships/hyperlink" Target="http://ecofriend.org" TargetMode="External"/><Relationship Id="rId89" Type="http://schemas.openxmlformats.org/officeDocument/2006/relationships/hyperlink" Target="https://foreignpolicyi.org" TargetMode="External"/><Relationship Id="rId180" Type="http://schemas.openxmlformats.org/officeDocument/2006/relationships/hyperlink" Target="https://thecompleteherbalguide.com/" TargetMode="External"/><Relationship Id="rId181" Type="http://schemas.openxmlformats.org/officeDocument/2006/relationships/hyperlink" Target="https://www.cleanweb.co/" TargetMode="External"/><Relationship Id="rId182" Type="http://schemas.openxmlformats.org/officeDocument/2006/relationships/hyperlink" Target="http://embedds.com" TargetMode="External"/><Relationship Id="rId183" Type="http://schemas.openxmlformats.org/officeDocument/2006/relationships/hyperlink" Target="http://healthcarereformmagazine.com" TargetMode="External"/><Relationship Id="rId184" Type="http://schemas.openxmlformats.org/officeDocument/2006/relationships/hyperlink" Target="http://whiteoutpress.com" TargetMode="External"/><Relationship Id="rId185" Type="http://schemas.openxmlformats.org/officeDocument/2006/relationships/hyperlink" Target="http://menaentrepreneur.org" TargetMode="External"/><Relationship Id="rId186" Type="http://schemas.openxmlformats.org/officeDocument/2006/relationships/hyperlink" Target="http://zipmeme.com" TargetMode="External"/><Relationship Id="rId187" Type="http://schemas.openxmlformats.org/officeDocument/2006/relationships/hyperlink" Target="http://thefabweb.com" TargetMode="External"/><Relationship Id="rId188" Type="http://schemas.openxmlformats.org/officeDocument/2006/relationships/hyperlink" Target="http://easkme.com" TargetMode="External"/><Relationship Id="rId189" Type="http://schemas.openxmlformats.org/officeDocument/2006/relationships/hyperlink" Target="http://blog.smarthealthshop.com/" TargetMode="External"/><Relationship Id="rId270" Type="http://schemas.openxmlformats.org/officeDocument/2006/relationships/hyperlink" Target="http://homehealthcaresos.com" TargetMode="External"/><Relationship Id="rId20" Type="http://schemas.openxmlformats.org/officeDocument/2006/relationships/hyperlink" Target="http://blog.clicksor.com" TargetMode="External"/><Relationship Id="rId21" Type="http://schemas.openxmlformats.org/officeDocument/2006/relationships/hyperlink" Target="https://www.teethgrinder.co.uk/" TargetMode="External"/><Relationship Id="rId22" Type="http://schemas.openxmlformats.org/officeDocument/2006/relationships/hyperlink" Target="http://becomegorgeous.com/" TargetMode="External"/><Relationship Id="rId23" Type="http://schemas.openxmlformats.org/officeDocument/2006/relationships/hyperlink" Target="http://isitvivid.com/" TargetMode="External"/><Relationship Id="rId24" Type="http://schemas.openxmlformats.org/officeDocument/2006/relationships/hyperlink" Target="https://www.awe.sm/" TargetMode="External"/><Relationship Id="rId25" Type="http://schemas.openxmlformats.org/officeDocument/2006/relationships/hyperlink" Target="http://www.business-opportunities.biz/" TargetMode="External"/><Relationship Id="rId26" Type="http://schemas.openxmlformats.org/officeDocument/2006/relationships/hyperlink" Target="http://augustafreepress.com/" TargetMode="External"/><Relationship Id="rId27" Type="http://schemas.openxmlformats.org/officeDocument/2006/relationships/hyperlink" Target="mailto:contributeic@gmail.com" TargetMode="External"/><Relationship Id="rId28" Type="http://schemas.openxmlformats.org/officeDocument/2006/relationships/hyperlink" Target="http://atebits.com" TargetMode="External"/><Relationship Id="rId29" Type="http://schemas.openxmlformats.org/officeDocument/2006/relationships/hyperlink" Target="http://ultimate-tech-news.com" TargetMode="External"/><Relationship Id="rId271" Type="http://schemas.openxmlformats.org/officeDocument/2006/relationships/hyperlink" Target="http://entreb.com/" TargetMode="External"/><Relationship Id="rId272" Type="http://schemas.openxmlformats.org/officeDocument/2006/relationships/hyperlink" Target="http://international-issues.org" TargetMode="External"/><Relationship Id="rId273" Type="http://schemas.openxmlformats.org/officeDocument/2006/relationships/hyperlink" Target="http://bang-real.com/" TargetMode="External"/><Relationship Id="rId274" Type="http://schemas.openxmlformats.org/officeDocument/2006/relationships/hyperlink" Target="http://albanianjournalism.com" TargetMode="External"/><Relationship Id="rId120" Type="http://schemas.openxmlformats.org/officeDocument/2006/relationships/hyperlink" Target="http://greendiary.com" TargetMode="External"/><Relationship Id="rId121" Type="http://schemas.openxmlformats.org/officeDocument/2006/relationships/hyperlink" Target="http://businessfirstonline.co.uk" TargetMode="External"/><Relationship Id="rId122" Type="http://schemas.openxmlformats.org/officeDocument/2006/relationships/hyperlink" Target="http://lmcordoba.com.ar" TargetMode="External"/><Relationship Id="rId123" Type="http://schemas.openxmlformats.org/officeDocument/2006/relationships/hyperlink" Target="https://www.tastefulspace.com/" TargetMode="External"/><Relationship Id="rId124" Type="http://schemas.openxmlformats.org/officeDocument/2006/relationships/hyperlink" Target="https://www.mobileappdaily.com/" TargetMode="External"/><Relationship Id="rId125" Type="http://schemas.openxmlformats.org/officeDocument/2006/relationships/hyperlink" Target="http://priceofbusiness.com" TargetMode="External"/><Relationship Id="rId126" Type="http://schemas.openxmlformats.org/officeDocument/2006/relationships/hyperlink" Target="https://small-bizsense.com/" TargetMode="External"/><Relationship Id="rId127" Type="http://schemas.openxmlformats.org/officeDocument/2006/relationships/hyperlink" Target="http://moneyforlunch.com" TargetMode="External"/><Relationship Id="rId128" Type="http://schemas.openxmlformats.org/officeDocument/2006/relationships/hyperlink" Target="http://www.worthview.com" TargetMode="External"/><Relationship Id="rId129" Type="http://schemas.openxmlformats.org/officeDocument/2006/relationships/hyperlink" Target="http://pureresiduals.com" TargetMode="External"/><Relationship Id="rId210" Type="http://schemas.openxmlformats.org/officeDocument/2006/relationships/hyperlink" Target="http://virily.com" TargetMode="External"/><Relationship Id="rId211" Type="http://schemas.openxmlformats.org/officeDocument/2006/relationships/hyperlink" Target="http://technocodex.com" TargetMode="External"/><Relationship Id="rId212" Type="http://schemas.openxmlformats.org/officeDocument/2006/relationships/hyperlink" Target="http://technationnews.com" TargetMode="External"/><Relationship Id="rId213" Type="http://schemas.openxmlformats.org/officeDocument/2006/relationships/hyperlink" Target="http://luxedb.com" TargetMode="External"/><Relationship Id="rId214" Type="http://schemas.openxmlformats.org/officeDocument/2006/relationships/hyperlink" Target="http://friendhood.net" TargetMode="External"/><Relationship Id="rId215" Type="http://schemas.openxmlformats.org/officeDocument/2006/relationships/hyperlink" Target="http://elenaonlineshop.net" TargetMode="External"/><Relationship Id="rId216" Type="http://schemas.openxmlformats.org/officeDocument/2006/relationships/hyperlink" Target="https://onlinenewsbuzz.com/" TargetMode="External"/><Relationship Id="rId217" Type="http://schemas.openxmlformats.org/officeDocument/2006/relationships/hyperlink" Target="http://bloggerspath.com" TargetMode="External"/><Relationship Id="rId218" Type="http://schemas.openxmlformats.org/officeDocument/2006/relationships/hyperlink" Target="mailto:3dartistrawat@gmail.com" TargetMode="External"/><Relationship Id="rId219" Type="http://schemas.openxmlformats.org/officeDocument/2006/relationships/hyperlink" Target="http://www.bakenstein.com/" TargetMode="External"/><Relationship Id="rId275" Type="http://schemas.openxmlformats.org/officeDocument/2006/relationships/hyperlink" Target="http://tribunebyte.com" TargetMode="External"/><Relationship Id="rId276" Type="http://schemas.openxmlformats.org/officeDocument/2006/relationships/hyperlink" Target="http://northindiadaily.com" TargetMode="External"/><Relationship Id="rId277" Type="http://schemas.openxmlformats.org/officeDocument/2006/relationships/hyperlink" Target="http://girlsmagpk.com" TargetMode="External"/><Relationship Id="rId278" Type="http://schemas.openxmlformats.org/officeDocument/2006/relationships/hyperlink" Target="http://fxtribune.com" TargetMode="External"/><Relationship Id="rId279" Type="http://schemas.openxmlformats.org/officeDocument/2006/relationships/hyperlink" Target="http://marketingwithmiles.com/" TargetMode="External"/><Relationship Id="rId300" Type="http://schemas.openxmlformats.org/officeDocument/2006/relationships/hyperlink" Target="http://directlendingonline.com" TargetMode="External"/><Relationship Id="rId301" Type="http://schemas.openxmlformats.org/officeDocument/2006/relationships/hyperlink" Target="http://theallmag.com" TargetMode="External"/><Relationship Id="rId302" Type="http://schemas.openxmlformats.org/officeDocument/2006/relationships/hyperlink" Target="http://techmaish.com" TargetMode="External"/><Relationship Id="rId90" Type="http://schemas.openxmlformats.org/officeDocument/2006/relationships/hyperlink" Target="http://startupopinions.com" TargetMode="External"/><Relationship Id="rId91" Type="http://schemas.openxmlformats.org/officeDocument/2006/relationships/hyperlink" Target="http://startupopinions.com" TargetMode="External"/><Relationship Id="rId92" Type="http://schemas.openxmlformats.org/officeDocument/2006/relationships/hyperlink" Target="http://stuffablog.com" TargetMode="External"/><Relationship Id="rId93" Type="http://schemas.openxmlformats.org/officeDocument/2006/relationships/hyperlink" Target="http://floridaindependent.com" TargetMode="External"/><Relationship Id="rId94" Type="http://schemas.openxmlformats.org/officeDocument/2006/relationships/hyperlink" Target="http://www.techgyd.com" TargetMode="External"/><Relationship Id="rId95" Type="http://schemas.openxmlformats.org/officeDocument/2006/relationships/hyperlink" Target="http://stuffablog.com/" TargetMode="External"/><Relationship Id="rId96" Type="http://schemas.openxmlformats.org/officeDocument/2006/relationships/hyperlink" Target="http://designbuzz.com" TargetMode="External"/><Relationship Id="rId97" Type="http://schemas.openxmlformats.org/officeDocument/2006/relationships/hyperlink" Target="http://scallywagandvagabond.com" TargetMode="External"/><Relationship Id="rId98" Type="http://schemas.openxmlformats.org/officeDocument/2006/relationships/hyperlink" Target="http://www.ukuncut.org.uk/" TargetMode="External"/><Relationship Id="rId99" Type="http://schemas.openxmlformats.org/officeDocument/2006/relationships/hyperlink" Target="https://curiousmindmagazine.com/" TargetMode="External"/><Relationship Id="rId190" Type="http://schemas.openxmlformats.org/officeDocument/2006/relationships/hyperlink" Target="http://technicalustad.com" TargetMode="External"/><Relationship Id="rId191" Type="http://schemas.openxmlformats.org/officeDocument/2006/relationships/hyperlink" Target="http://topgoldforum.com" TargetMode="External"/><Relationship Id="rId192" Type="http://schemas.openxmlformats.org/officeDocument/2006/relationships/hyperlink" Target="mailto:3dartistrawat@gmail.com" TargetMode="External"/><Relationship Id="rId193" Type="http://schemas.openxmlformats.org/officeDocument/2006/relationships/hyperlink" Target="http://soft2share.com/" TargetMode="External"/><Relationship Id="rId194" Type="http://schemas.openxmlformats.org/officeDocument/2006/relationships/hyperlink" Target="http://www.wearecontributors.com" TargetMode="External"/><Relationship Id="rId195" Type="http://schemas.openxmlformats.org/officeDocument/2006/relationships/hyperlink" Target="https://timesofstartups.com/" TargetMode="External"/><Relationship Id="rId196" Type="http://schemas.openxmlformats.org/officeDocument/2006/relationships/hyperlink" Target="http://techlogitic.net/" TargetMode="External"/><Relationship Id="rId197" Type="http://schemas.openxmlformats.org/officeDocument/2006/relationships/hyperlink" Target="http://tripatlas.com" TargetMode="External"/><Relationship Id="rId198" Type="http://schemas.openxmlformats.org/officeDocument/2006/relationships/hyperlink" Target="http://techinexpert.com" TargetMode="External"/><Relationship Id="rId199" Type="http://schemas.openxmlformats.org/officeDocument/2006/relationships/hyperlink" Target="http://feelitcool.com" TargetMode="External"/><Relationship Id="rId280" Type="http://schemas.openxmlformats.org/officeDocument/2006/relationships/hyperlink" Target="http://industriat.com" TargetMode="External"/><Relationship Id="rId30" Type="http://schemas.openxmlformats.org/officeDocument/2006/relationships/hyperlink" Target="http://t2conline.com" TargetMode="External"/><Relationship Id="rId31" Type="http://schemas.openxmlformats.org/officeDocument/2006/relationships/hyperlink" Target="https://icharts.net/" TargetMode="External"/><Relationship Id="rId32" Type="http://schemas.openxmlformats.org/officeDocument/2006/relationships/hyperlink" Target="http://apppicker.com" TargetMode="External"/><Relationship Id="rId33" Type="http://schemas.openxmlformats.org/officeDocument/2006/relationships/hyperlink" Target="mailto:contributeic@gmail.com" TargetMode="External"/><Relationship Id="rId34" Type="http://schemas.openxmlformats.org/officeDocument/2006/relationships/hyperlink" Target="https://d-addicts.com/category/more/" TargetMode="External"/><Relationship Id="rId35" Type="http://schemas.openxmlformats.org/officeDocument/2006/relationships/hyperlink" Target="http://homebusinessmag.com" TargetMode="External"/><Relationship Id="rId36" Type="http://schemas.openxmlformats.org/officeDocument/2006/relationships/hyperlink" Target="http://blinkbits.com" TargetMode="External"/><Relationship Id="rId37" Type="http://schemas.openxmlformats.org/officeDocument/2006/relationships/hyperlink" Target="https://www.jcount.com/" TargetMode="External"/><Relationship Id="rId38" Type="http://schemas.openxmlformats.org/officeDocument/2006/relationships/hyperlink" Target="http://spacecoastdaily.com" TargetMode="External"/><Relationship Id="rId39" Type="http://schemas.openxmlformats.org/officeDocument/2006/relationships/hyperlink" Target="http://loreleiwebdesign.com" TargetMode="External"/><Relationship Id="rId281" Type="http://schemas.openxmlformats.org/officeDocument/2006/relationships/hyperlink" Target="http://www.thesilverbird.com" TargetMode="External"/><Relationship Id="rId282" Type="http://schemas.openxmlformats.org/officeDocument/2006/relationships/hyperlink" Target="http://nictcampus.com/" TargetMode="External"/><Relationship Id="rId283" Type="http://schemas.openxmlformats.org/officeDocument/2006/relationships/hyperlink" Target="http://www.humanboundary.com/" TargetMode="External"/><Relationship Id="rId284" Type="http://schemas.openxmlformats.org/officeDocument/2006/relationships/hyperlink" Target="http://metrosaga.com" TargetMode="External"/><Relationship Id="rId130" Type="http://schemas.openxmlformats.org/officeDocument/2006/relationships/hyperlink" Target="http://dietoflife.com" TargetMode="External"/><Relationship Id="rId131" Type="http://schemas.openxmlformats.org/officeDocument/2006/relationships/hyperlink" Target="http://saasgenius.com" TargetMode="External"/><Relationship Id="rId132" Type="http://schemas.openxmlformats.org/officeDocument/2006/relationships/hyperlink" Target="https://deliciouslysavvy.com/" TargetMode="External"/><Relationship Id="rId133" Type="http://schemas.openxmlformats.org/officeDocument/2006/relationships/hyperlink" Target="http://scienceprog.com" TargetMode="External"/><Relationship Id="rId220" Type="http://schemas.openxmlformats.org/officeDocument/2006/relationships/hyperlink" Target="http://fantasticviewpoint.com" TargetMode="External"/><Relationship Id="rId221" Type="http://schemas.openxmlformats.org/officeDocument/2006/relationships/hyperlink" Target="http://thedishh.com" TargetMode="External"/><Relationship Id="rId222" Type="http://schemas.openxmlformats.org/officeDocument/2006/relationships/hyperlink" Target="http://mynewsfit.com" TargetMode="External"/><Relationship Id="rId223" Type="http://schemas.openxmlformats.org/officeDocument/2006/relationships/hyperlink" Target="http://safeandhealthylife.com" TargetMode="External"/><Relationship Id="rId224" Type="http://schemas.openxmlformats.org/officeDocument/2006/relationships/hyperlink" Target="http://unigamesity.com" TargetMode="External"/><Relationship Id="rId225" Type="http://schemas.openxmlformats.org/officeDocument/2006/relationships/hyperlink" Target="http://hoangthangit.com/" TargetMode="External"/><Relationship Id="rId226" Type="http://schemas.openxmlformats.org/officeDocument/2006/relationships/hyperlink" Target="http://asksotiris.com" TargetMode="External"/><Relationship Id="rId227" Type="http://schemas.openxmlformats.org/officeDocument/2006/relationships/hyperlink" Target="http://tiendagourmet.co" TargetMode="External"/><Relationship Id="rId228" Type="http://schemas.openxmlformats.org/officeDocument/2006/relationships/hyperlink" Target="https://manvsclock.com/" TargetMode="External"/><Relationship Id="rId229" Type="http://schemas.openxmlformats.org/officeDocument/2006/relationships/hyperlink" Target="http://inthow.com" TargetMode="External"/><Relationship Id="rId134" Type="http://schemas.openxmlformats.org/officeDocument/2006/relationships/hyperlink" Target="http://www.munplanet.com" TargetMode="External"/><Relationship Id="rId135" Type="http://schemas.openxmlformats.org/officeDocument/2006/relationships/hyperlink" Target="http://negosentro.com" TargetMode="External"/><Relationship Id="rId136" Type="http://schemas.openxmlformats.org/officeDocument/2006/relationships/hyperlink" Target="http://mindstick.com" TargetMode="External"/><Relationship Id="rId137" Type="http://schemas.openxmlformats.org/officeDocument/2006/relationships/hyperlink" Target="http://pommietravels.com" TargetMode="External"/><Relationship Id="rId138" Type="http://schemas.openxmlformats.org/officeDocument/2006/relationships/hyperlink" Target="https://sli.mg/" TargetMode="External"/><Relationship Id="rId139" Type="http://schemas.openxmlformats.org/officeDocument/2006/relationships/hyperlink" Target="https://thealmostdone.com/" TargetMode="External"/><Relationship Id="rId285" Type="http://schemas.openxmlformats.org/officeDocument/2006/relationships/hyperlink" Target="https://www.theglimpse.com/" TargetMode="External"/><Relationship Id="rId286" Type="http://schemas.openxmlformats.org/officeDocument/2006/relationships/hyperlink" Target="http://blogfolders.com/" TargetMode="External"/><Relationship Id="rId287" Type="http://schemas.openxmlformats.org/officeDocument/2006/relationships/hyperlink" Target="http://marketingspot.com" TargetMode="External"/><Relationship Id="rId288" Type="http://schemas.openxmlformats.org/officeDocument/2006/relationships/hyperlink" Target="http://marketingspot.com" TargetMode="External"/><Relationship Id="rId289" Type="http://schemas.openxmlformats.org/officeDocument/2006/relationships/hyperlink" Target="http://beatsmonsterfrance.com" TargetMode="External"/><Relationship Id="rId290" Type="http://schemas.openxmlformats.org/officeDocument/2006/relationships/hyperlink" Target="http://foodfindsasia.com" TargetMode="External"/><Relationship Id="rId291" Type="http://schemas.openxmlformats.org/officeDocument/2006/relationships/hyperlink" Target="https://www.asiaradiosales.com/" TargetMode="External"/><Relationship Id="rId292" Type="http://schemas.openxmlformats.org/officeDocument/2006/relationships/hyperlink" Target="http://whatsyourtagblog.com" TargetMode="External"/><Relationship Id="rId293" Type="http://schemas.openxmlformats.org/officeDocument/2006/relationships/hyperlink" Target="http://executivechronicles.com" TargetMode="External"/><Relationship Id="rId294" Type="http://schemas.openxmlformats.org/officeDocument/2006/relationships/hyperlink" Target="http://techmediaguide.com" TargetMode="External"/><Relationship Id="rId295" Type="http://schemas.openxmlformats.org/officeDocument/2006/relationships/hyperlink" Target="http://albarkka.com" TargetMode="External"/><Relationship Id="rId296" Type="http://schemas.openxmlformats.org/officeDocument/2006/relationships/hyperlink" Target="http://3rdworldentrepreneur.com" TargetMode="External"/><Relationship Id="rId40" Type="http://schemas.openxmlformats.org/officeDocument/2006/relationships/hyperlink" Target="http://harcourthealth.com" TargetMode="External"/><Relationship Id="rId41" Type="http://schemas.openxmlformats.org/officeDocument/2006/relationships/hyperlink" Target="http://baltimorepostexaminer.com/" TargetMode="External"/><Relationship Id="rId42" Type="http://schemas.openxmlformats.org/officeDocument/2006/relationships/hyperlink" Target="http://www.meldium.com" TargetMode="External"/><Relationship Id="rId43" Type="http://schemas.openxmlformats.org/officeDocument/2006/relationships/hyperlink" Target="http://designbeep.com" TargetMode="External"/><Relationship Id="rId44" Type="http://schemas.openxmlformats.org/officeDocument/2006/relationships/hyperlink" Target="http://besttechie.com" TargetMode="External"/><Relationship Id="rId45" Type="http://schemas.openxmlformats.org/officeDocument/2006/relationships/hyperlink" Target="http://world.edu" TargetMode="External"/><Relationship Id="rId46" Type="http://schemas.openxmlformats.org/officeDocument/2006/relationships/hyperlink" Target="http://xavixstore.com" TargetMode="External"/><Relationship Id="rId47" Type="http://schemas.openxmlformats.org/officeDocument/2006/relationships/hyperlink" Target="http://www.techiestate.com" TargetMode="External"/><Relationship Id="rId48" Type="http://schemas.openxmlformats.org/officeDocument/2006/relationships/hyperlink" Target="http://knowtechie.com" TargetMode="External"/><Relationship Id="rId49" Type="http://schemas.openxmlformats.org/officeDocument/2006/relationships/hyperlink" Target="http://mscareergirl.com" TargetMode="External"/><Relationship Id="rId297" Type="http://schemas.openxmlformats.org/officeDocument/2006/relationships/hyperlink" Target="http://incredit.me/" TargetMode="External"/><Relationship Id="rId298" Type="http://schemas.openxmlformats.org/officeDocument/2006/relationships/hyperlink" Target="http://uni5download.com" TargetMode="External"/><Relationship Id="rId299" Type="http://schemas.openxmlformats.org/officeDocument/2006/relationships/hyperlink" Target="http://kingwanatranslation.com" TargetMode="External"/><Relationship Id="rId140" Type="http://schemas.openxmlformats.org/officeDocument/2006/relationships/hyperlink" Target="http://amolife.com/" TargetMode="External"/><Relationship Id="rId141" Type="http://schemas.openxmlformats.org/officeDocument/2006/relationships/hyperlink" Target="http://techpatio.com" TargetMode="External"/><Relationship Id="rId142" Type="http://schemas.openxmlformats.org/officeDocument/2006/relationships/hyperlink" Target="http://techicy.com" TargetMode="External"/><Relationship Id="rId143" Type="http://schemas.openxmlformats.org/officeDocument/2006/relationships/hyperlink" Target="http://emphas.is" TargetMode="External"/><Relationship Id="rId144" Type="http://schemas.openxmlformats.org/officeDocument/2006/relationships/hyperlink" Target="http://briefmobile.com" TargetMode="External"/><Relationship Id="rId145" Type="http://schemas.openxmlformats.org/officeDocument/2006/relationships/hyperlink" Target="http://www.itsgettinghotinhere.org/" TargetMode="External"/><Relationship Id="rId146" Type="http://schemas.openxmlformats.org/officeDocument/2006/relationships/hyperlink" Target="http://ohmyheartsiegirl.com" TargetMode="External"/><Relationship Id="rId147" Type="http://schemas.openxmlformats.org/officeDocument/2006/relationships/hyperlink" Target="http://bestfatburner.biz/" TargetMode="External"/><Relationship Id="rId148" Type="http://schemas.openxmlformats.org/officeDocument/2006/relationships/hyperlink" Target="http://citizeneffect.org" TargetMode="External"/><Relationship Id="rId149" Type="http://schemas.openxmlformats.org/officeDocument/2006/relationships/hyperlink" Target="http://roboearth.org" TargetMode="External"/><Relationship Id="rId230" Type="http://schemas.openxmlformats.org/officeDocument/2006/relationships/hyperlink" Target="http://techfeast.co" TargetMode="External"/><Relationship Id="rId231" Type="http://schemas.openxmlformats.org/officeDocument/2006/relationships/hyperlink" Target="http://bodyprojex.com" TargetMode="External"/><Relationship Id="rId232" Type="http://schemas.openxmlformats.org/officeDocument/2006/relationships/hyperlink" Target="http://blogprocess.com/" TargetMode="External"/><Relationship Id="rId233" Type="http://schemas.openxmlformats.org/officeDocument/2006/relationships/hyperlink" Target="http://livinginthisseason.com" TargetMode="External"/><Relationship Id="rId234" Type="http://schemas.openxmlformats.org/officeDocument/2006/relationships/hyperlink" Target="http://hoangthangit.com" TargetMode="External"/><Relationship Id="rId235" Type="http://schemas.openxmlformats.org/officeDocument/2006/relationships/hyperlink" Target="http://womenfitnessmag.com" TargetMode="External"/><Relationship Id="rId236" Type="http://schemas.openxmlformats.org/officeDocument/2006/relationships/hyperlink" Target="http://soakmind.com" TargetMode="External"/><Relationship Id="rId237" Type="http://schemas.openxmlformats.org/officeDocument/2006/relationships/hyperlink" Target="http://seekerstime.com" TargetMode="External"/><Relationship Id="rId238" Type="http://schemas.openxmlformats.org/officeDocument/2006/relationships/hyperlink" Target="http://rogueimc.org" TargetMode="External"/><Relationship Id="rId239" Type="http://schemas.openxmlformats.org/officeDocument/2006/relationships/hyperlink" Target="http://vermontrepublic.org/" TargetMode="External"/><Relationship Id="rId50" Type="http://schemas.openxmlformats.org/officeDocument/2006/relationships/hyperlink" Target="http://fooyoh.com/" TargetMode="External"/><Relationship Id="rId51" Type="http://schemas.openxmlformats.org/officeDocument/2006/relationships/hyperlink" Target="http://format.com" TargetMode="External"/><Relationship Id="rId52" Type="http://schemas.openxmlformats.org/officeDocument/2006/relationships/hyperlink" Target="http://chandigarhofficial.com" TargetMode="External"/><Relationship Id="rId53" Type="http://schemas.openxmlformats.org/officeDocument/2006/relationships/hyperlink" Target="http://cascadebusnews.com" TargetMode="External"/><Relationship Id="rId54" Type="http://schemas.openxmlformats.org/officeDocument/2006/relationships/hyperlink" Target="http://www.tapscape.com" TargetMode="External"/><Relationship Id="rId55" Type="http://schemas.openxmlformats.org/officeDocument/2006/relationships/hyperlink" Target="http://codetorank.com" TargetMode="External"/><Relationship Id="rId56" Type="http://schemas.openxmlformats.org/officeDocument/2006/relationships/hyperlink" Target="http://unitedfinances.com/" TargetMode="External"/><Relationship Id="rId57" Type="http://schemas.openxmlformats.org/officeDocument/2006/relationships/hyperlink" Target="http://theglobaldispatch.com" TargetMode="External"/><Relationship Id="rId58" Type="http://schemas.openxmlformats.org/officeDocument/2006/relationships/hyperlink" Target="http://theglobaldispatch.com" TargetMode="External"/><Relationship Id="rId59" Type="http://schemas.openxmlformats.org/officeDocument/2006/relationships/hyperlink" Target="https://www.askthetrainer.com/" TargetMode="External"/><Relationship Id="rId150" Type="http://schemas.openxmlformats.org/officeDocument/2006/relationships/hyperlink" Target="http://affordablecomfort.org/" TargetMode="External"/><Relationship Id="rId151" Type="http://schemas.openxmlformats.org/officeDocument/2006/relationships/hyperlink" Target="http://olaladirectory.com.au" TargetMode="External"/><Relationship Id="rId152" Type="http://schemas.openxmlformats.org/officeDocument/2006/relationships/hyperlink" Target="http://igeekphone.com" TargetMode="External"/><Relationship Id="rId153" Type="http://schemas.openxmlformats.org/officeDocument/2006/relationships/hyperlink" Target="http://shiftfrequency.com" TargetMode="External"/><Relationship Id="rId154" Type="http://schemas.openxmlformats.org/officeDocument/2006/relationships/hyperlink" Target="http://doctortipster.com" TargetMode="External"/><Relationship Id="rId155" Type="http://schemas.openxmlformats.org/officeDocument/2006/relationships/hyperlink" Target="http://diyhealth.com" TargetMode="External"/><Relationship Id="rId156" Type="http://schemas.openxmlformats.org/officeDocument/2006/relationships/hyperlink" Target="http://hometone.com" TargetMode="External"/><Relationship Id="rId157" Type="http://schemas.openxmlformats.org/officeDocument/2006/relationships/hyperlink" Target="http://infobeat.com/" TargetMode="External"/><Relationship Id="rId158" Type="http://schemas.openxmlformats.org/officeDocument/2006/relationships/hyperlink" Target="mailto:contributeic@gmail.com" TargetMode="External"/><Relationship Id="rId159" Type="http://schemas.openxmlformats.org/officeDocument/2006/relationships/hyperlink" Target="http://insidecatholic.com" TargetMode="External"/><Relationship Id="rId240" Type="http://schemas.openxmlformats.org/officeDocument/2006/relationships/hyperlink" Target="https://beautyiswithin.net/" TargetMode="External"/><Relationship Id="rId241" Type="http://schemas.openxmlformats.org/officeDocument/2006/relationships/hyperlink" Target="http://mostinside.com" TargetMode="External"/><Relationship Id="rId242" Type="http://schemas.openxmlformats.org/officeDocument/2006/relationships/hyperlink" Target="http://healthcareinsides.com" TargetMode="External"/><Relationship Id="rId243" Type="http://schemas.openxmlformats.org/officeDocument/2006/relationships/hyperlink" Target="http://makingbrandshappen.com" TargetMode="External"/><Relationship Id="rId244" Type="http://schemas.openxmlformats.org/officeDocument/2006/relationships/hyperlink" Target="http://managerbiz.com" TargetMode="External"/><Relationship Id="rId245" Type="http://schemas.openxmlformats.org/officeDocument/2006/relationships/hyperlink" Target="http://innewsweekly.com" TargetMode="External"/><Relationship Id="rId246" Type="http://schemas.openxmlformats.org/officeDocument/2006/relationships/hyperlink" Target="http://doffitt.com" TargetMode="External"/><Relationship Id="rId247" Type="http://schemas.openxmlformats.org/officeDocument/2006/relationships/hyperlink" Target="http://webseasoning.com" TargetMode="External"/><Relationship Id="rId248" Type="http://schemas.openxmlformats.org/officeDocument/2006/relationships/hyperlink" Target="http://www.thenewsfix.com" TargetMode="External"/><Relationship Id="rId249" Type="http://schemas.openxmlformats.org/officeDocument/2006/relationships/hyperlink" Target="https://www.namasteui.com/" TargetMode="External"/><Relationship Id="rId60" Type="http://schemas.openxmlformats.org/officeDocument/2006/relationships/hyperlink" Target="http://www.lapshock.com" TargetMode="External"/><Relationship Id="rId61" Type="http://schemas.openxmlformats.org/officeDocument/2006/relationships/hyperlink" Target="http://southafricatoday.net/" TargetMode="External"/><Relationship Id="rId62" Type="http://schemas.openxmlformats.org/officeDocument/2006/relationships/hyperlink" Target="http://consciouslifenews.com" TargetMode="External"/><Relationship Id="rId63" Type="http://schemas.openxmlformats.org/officeDocument/2006/relationships/hyperlink" Target="http://techmoran.com" TargetMode="External"/><Relationship Id="rId64" Type="http://schemas.openxmlformats.org/officeDocument/2006/relationships/hyperlink" Target="https://brandfuge.com/" TargetMode="External"/><Relationship Id="rId65" Type="http://schemas.openxmlformats.org/officeDocument/2006/relationships/hyperlink" Target="https://sourcefed.com/" TargetMode="External"/><Relationship Id="rId66" Type="http://schemas.openxmlformats.org/officeDocument/2006/relationships/hyperlink" Target="http://blog.businesscasestudies.co.uk" TargetMode="External"/><Relationship Id="rId67" Type="http://schemas.openxmlformats.org/officeDocument/2006/relationships/hyperlink" Target="http://wellbeing-support.com" TargetMode="External"/><Relationship Id="rId68" Type="http://schemas.openxmlformats.org/officeDocument/2006/relationships/hyperlink" Target="http://savedelete.com" TargetMode="External"/><Relationship Id="rId69" Type="http://schemas.openxmlformats.org/officeDocument/2006/relationships/hyperlink" Target="https://myventurepad.com/" TargetMode="External"/><Relationship Id="rId160" Type="http://schemas.openxmlformats.org/officeDocument/2006/relationships/hyperlink" Target="http://explosion.com" TargetMode="External"/><Relationship Id="rId161" Type="http://schemas.openxmlformats.org/officeDocument/2006/relationships/hyperlink" Target="http://flurl.com" TargetMode="External"/><Relationship Id="rId162" Type="http://schemas.openxmlformats.org/officeDocument/2006/relationships/hyperlink" Target="http://worldoffemale.com" TargetMode="External"/><Relationship Id="rId163" Type="http://schemas.openxmlformats.org/officeDocument/2006/relationships/hyperlink" Target="https://revenuesandprofits.com/" TargetMode="External"/><Relationship Id="rId164" Type="http://schemas.openxmlformats.org/officeDocument/2006/relationships/hyperlink" Target="http://cascadeae.com" TargetMode="External"/><Relationship Id="rId165" Type="http://schemas.openxmlformats.org/officeDocument/2006/relationships/hyperlink" Target="https://www.independent.mk/" TargetMode="External"/><Relationship Id="rId166" Type="http://schemas.openxmlformats.org/officeDocument/2006/relationships/hyperlink" Target="http://www.womensconference.org/" TargetMode="External"/><Relationship Id="rId167" Type="http://schemas.openxmlformats.org/officeDocument/2006/relationships/hyperlink" Target="https://thestuffofsuccess.com/" TargetMode="External"/><Relationship Id="rId168" Type="http://schemas.openxmlformats.org/officeDocument/2006/relationships/hyperlink" Target="https://www.onebyfourstudio.com/" TargetMode="External"/><Relationship Id="rId169" Type="http://schemas.openxmlformats.org/officeDocument/2006/relationships/hyperlink" Target="https://www.serversfree.com/" TargetMode="External"/><Relationship Id="rId250" Type="http://schemas.openxmlformats.org/officeDocument/2006/relationships/hyperlink" Target="http://whatispsychology.biz" TargetMode="External"/><Relationship Id="rId251" Type="http://schemas.openxmlformats.org/officeDocument/2006/relationships/hyperlink" Target="https://businesstimes.co.tz/" TargetMode="External"/><Relationship Id="rId252" Type="http://schemas.openxmlformats.org/officeDocument/2006/relationships/hyperlink" Target="https://www.heandshefitness.com/" TargetMode="External"/><Relationship Id="rId253" Type="http://schemas.openxmlformats.org/officeDocument/2006/relationships/hyperlink" Target="http://www.nowg.net" TargetMode="External"/><Relationship Id="rId254" Type="http://schemas.openxmlformats.org/officeDocument/2006/relationships/hyperlink" Target="http://healthylifecentar.com" TargetMode="External"/><Relationship Id="rId255" Type="http://schemas.openxmlformats.org/officeDocument/2006/relationships/hyperlink" Target="http://livinginthisseason.com/" TargetMode="External"/><Relationship Id="rId256" Type="http://schemas.openxmlformats.org/officeDocument/2006/relationships/hyperlink" Target="http://mediredvital.com" TargetMode="External"/><Relationship Id="rId257" Type="http://schemas.openxmlformats.org/officeDocument/2006/relationships/hyperlink" Target="http://www.diet2x.com/" TargetMode="External"/><Relationship Id="rId258" Type="http://schemas.openxmlformats.org/officeDocument/2006/relationships/hyperlink" Target="http://kenyear.com" TargetMode="External"/><Relationship Id="rId259" Type="http://schemas.openxmlformats.org/officeDocument/2006/relationships/hyperlink" Target="http://wwonline.net/" TargetMode="External"/><Relationship Id="rId100" Type="http://schemas.openxmlformats.org/officeDocument/2006/relationships/hyperlink" Target="https://www.techsite.io/" TargetMode="External"/><Relationship Id="rId101" Type="http://schemas.openxmlformats.org/officeDocument/2006/relationships/hyperlink" Target="http://ecofriend.com" TargetMode="External"/><Relationship Id="rId102" Type="http://schemas.openxmlformats.org/officeDocument/2006/relationships/hyperlink" Target="http://www.articlerich.com/" TargetMode="External"/><Relationship Id="rId103" Type="http://schemas.openxmlformats.org/officeDocument/2006/relationships/hyperlink" Target="http://topteny.com/" TargetMode="External"/><Relationship Id="rId104" Type="http://schemas.openxmlformats.org/officeDocument/2006/relationships/hyperlink" Target="http://justwebworld.com/" TargetMode="External"/><Relationship Id="rId105" Type="http://schemas.openxmlformats.org/officeDocument/2006/relationships/hyperlink" Target="http://fashiondivadesign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lodestar.asu.edu/content/write-u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ylifeline.org/" TargetMode="External"/><Relationship Id="rId4" Type="http://schemas.openxmlformats.org/officeDocument/2006/relationships/hyperlink" Target="http://www.pen.io/" TargetMode="External"/><Relationship Id="rId5" Type="http://schemas.openxmlformats.org/officeDocument/2006/relationships/hyperlink" Target="http://workitmom.com/" TargetMode="External"/><Relationship Id="rId6" Type="http://schemas.openxmlformats.org/officeDocument/2006/relationships/hyperlink" Target="http://www.fashionindustrynetwork.com/" TargetMode="External"/><Relationship Id="rId7" Type="http://schemas.openxmlformats.org/officeDocument/2006/relationships/hyperlink" Target="https://dailygram.com/index.php/" TargetMode="External"/><Relationship Id="rId8" Type="http://schemas.openxmlformats.org/officeDocument/2006/relationships/hyperlink" Target="https://www.jeffbullas.com/" TargetMode="External"/><Relationship Id="rId9" Type="http://schemas.openxmlformats.org/officeDocument/2006/relationships/hyperlink" Target="http://getresponse.com" TargetMode="External"/><Relationship Id="rId1" Type="http://schemas.openxmlformats.org/officeDocument/2006/relationships/hyperlink" Target="https://www.americantowns.com/" TargetMode="External"/><Relationship Id="rId2" Type="http://schemas.openxmlformats.org/officeDocument/2006/relationships/hyperlink" Target="https://www.youthkiawaaz.com/" TargetMode="External"/></Relationships>
</file>

<file path=xl/worksheets/_rels/sheet7.xml.rels><?xml version="1.0" encoding="UTF-8" standalone="yes"?>
<Relationships xmlns="http://schemas.openxmlformats.org/package/2006/relationships"><Relationship Id="rId459" Type="http://schemas.openxmlformats.org/officeDocument/2006/relationships/hyperlink" Target="https://www.shiftfrequency.com/healthcare-apps-common-examples-today/" TargetMode="External"/><Relationship Id="rId510" Type="http://schemas.openxmlformats.org/officeDocument/2006/relationships/hyperlink" Target="https://www.fxtribune.com/technology/how-big-data-is-redefining-marketing-h603755.html" TargetMode="External"/><Relationship Id="rId511" Type="http://schemas.openxmlformats.org/officeDocument/2006/relationships/hyperlink" Target="http://www.blogbookworld.com/epic-pr-fails-to-avoid-in-2019" TargetMode="External"/><Relationship Id="rId512" Type="http://schemas.openxmlformats.org/officeDocument/2006/relationships/hyperlink" Target="https://thesocialmediamonthly.com/does-experiential-marketing-work/" TargetMode="External"/><Relationship Id="rId20" Type="http://schemas.openxmlformats.org/officeDocument/2006/relationships/hyperlink" Target="http://socialmediaexplorer.com" TargetMode="External"/><Relationship Id="rId21" Type="http://schemas.openxmlformats.org/officeDocument/2006/relationships/hyperlink" Target="https://socialmediaexplorer.com/content-marketing-2/9-content-marketing-techniques-you-should-try-in-2019/" TargetMode="External"/><Relationship Id="rId22" Type="http://schemas.openxmlformats.org/officeDocument/2006/relationships/hyperlink" Target="https://www.awe.sm/2018/12/27/smarter-web-design-strategies-for-healthcare-organizations/" TargetMode="External"/><Relationship Id="rId23" Type="http://schemas.openxmlformats.org/officeDocument/2006/relationships/hyperlink" Target="http://www.teethgrinder.co.uk" TargetMode="External"/><Relationship Id="rId24" Type="http://schemas.openxmlformats.org/officeDocument/2006/relationships/hyperlink" Target="https://www.teethgrinder.co.uk/fintech-digital-marketing-strategies-for-2019-and-beyond/" TargetMode="External"/><Relationship Id="rId25" Type="http://schemas.openxmlformats.org/officeDocument/2006/relationships/hyperlink" Target="https://shabbychicboho.com/five-cool-gifts-to-get-this-holiday-season/" TargetMode="External"/><Relationship Id="rId26" Type="http://schemas.openxmlformats.org/officeDocument/2006/relationships/hyperlink" Target="https://www.techicy.com/5-healthcare-marketing-tips-to-implement-in-2019.html" TargetMode="External"/><Relationship Id="rId27" Type="http://schemas.openxmlformats.org/officeDocument/2006/relationships/hyperlink" Target="http://www.humanboundary.com/benefits-of-astaxanthin-for-a-healthy-lifestyle.html" TargetMode="External"/><Relationship Id="rId28" Type="http://schemas.openxmlformats.org/officeDocument/2006/relationships/hyperlink" Target="http://stuffablog.com" TargetMode="External"/><Relationship Id="rId29" Type="http://schemas.openxmlformats.org/officeDocument/2006/relationships/hyperlink" Target="http://stuffablog.com/10-quick-easy-marketing-tips-small-medical-private-practices/" TargetMode="External"/><Relationship Id="rId513" Type="http://schemas.openxmlformats.org/officeDocument/2006/relationships/hyperlink" Target="https://therealtimereport.com/2019/06/04/hotel-marketing-tips-you-simply-cant-ignore/" TargetMode="External"/><Relationship Id="rId514" Type="http://schemas.openxmlformats.org/officeDocument/2006/relationships/hyperlink" Target="http://isitvivid.com/5-b2b-strategies-guaranteed-to-work-in-2019/" TargetMode="External"/><Relationship Id="rId515" Type="http://schemas.openxmlformats.org/officeDocument/2006/relationships/hyperlink" Target="http://isitvivid.com/anniversary-gift-ideas-that-will-make-a-lasting-impression/" TargetMode="External"/><Relationship Id="rId516" Type="http://schemas.openxmlformats.org/officeDocument/2006/relationships/hyperlink" Target="http://isitvivid.com/could-your-child-have-scoliosis-signs-to-look-for/" TargetMode="External"/><Relationship Id="rId517" Type="http://schemas.openxmlformats.org/officeDocument/2006/relationships/hyperlink" Target="http://www.itsgettinghotinhere.org/business/what-works-and-what-doesnt-in-content-strategy-this-year/" TargetMode="External"/><Relationship Id="rId518" Type="http://schemas.openxmlformats.org/officeDocument/2006/relationships/hyperlink" Target="http://affordablecomfort.org/travel/5-eco-friendly-and-affordable-travel-items/" TargetMode="External"/><Relationship Id="rId519" Type="http://schemas.openxmlformats.org/officeDocument/2006/relationships/hyperlink" Target="http://www.itsgettinghotinhere.org/money/6-gifts-to-remember/" TargetMode="External"/><Relationship Id="rId170" Type="http://schemas.openxmlformats.org/officeDocument/2006/relationships/hyperlink" Target="https://butterflylabs.com/" TargetMode="External"/><Relationship Id="rId171" Type="http://schemas.openxmlformats.org/officeDocument/2006/relationships/hyperlink" Target="https://revenuesandprofits.com/4-marketing-tactics-every-it-company-should-leverage-in-2019/" TargetMode="External"/><Relationship Id="rId172" Type="http://schemas.openxmlformats.org/officeDocument/2006/relationships/hyperlink" Target="https://www.justwebworld.com/web-analytic-metrics-healthcare-marketing-managers-should-track/" TargetMode="External"/><Relationship Id="rId173" Type="http://schemas.openxmlformats.org/officeDocument/2006/relationships/hyperlink" Target="https://www.techfeast.co/health-app-development-trends-to-watch-out/" TargetMode="External"/><Relationship Id="rId174" Type="http://schemas.openxmlformats.org/officeDocument/2006/relationships/hyperlink" Target="https://icharts.net/5-free-digital-marketing-techniques-for-your-mobile-app/" TargetMode="External"/><Relationship Id="rId175" Type="http://schemas.openxmlformats.org/officeDocument/2006/relationships/hyperlink" Target="http://www.socialmediaimpact.com/6-social-media-metrics-you-need-to-pay-attention-to-in-2019/" TargetMode="External"/><Relationship Id="rId176" Type="http://schemas.openxmlformats.org/officeDocument/2006/relationships/hyperlink" Target="http://contentrally.com" TargetMode="External"/><Relationship Id="rId177" Type="http://schemas.openxmlformats.org/officeDocument/2006/relationships/hyperlink" Target="https://contentrally.com/9-cool-things-every-marketer-office/" TargetMode="External"/><Relationship Id="rId178" Type="http://schemas.openxmlformats.org/officeDocument/2006/relationships/hyperlink" Target="http://onlinenewsbuzz.com" TargetMode="External"/><Relationship Id="rId179" Type="http://schemas.openxmlformats.org/officeDocument/2006/relationships/hyperlink" Target="https://onlinenewsbuzz.com/biggest-news-2018-abbvie/" TargetMode="External"/><Relationship Id="rId230" Type="http://schemas.openxmlformats.org/officeDocument/2006/relationships/hyperlink" Target="http://www.apppicker.com/developernews/34575/Tricks-Tips-and-Strategies-on-How-to-Be-Competitive-in-the-Mobile-App-Market" TargetMode="External"/><Relationship Id="rId231" Type="http://schemas.openxmlformats.org/officeDocument/2006/relationships/hyperlink" Target="https://socialunderground.com/2019/02/how-artificial-intelligence-is-changing-big-pharma/" TargetMode="External"/><Relationship Id="rId232" Type="http://schemas.openxmlformats.org/officeDocument/2006/relationships/hyperlink" Target="https://thriveglobal.com/stories/avoid-website-compliance-mistakes-industry-giants-like-amazon-and-netflix-are-making/" TargetMode="External"/><Relationship Id="rId233" Type="http://schemas.openxmlformats.org/officeDocument/2006/relationships/hyperlink" Target="https://www.techgyd.com/organization-should-commit-to-website-ada-compliance/39630/" TargetMode="External"/><Relationship Id="rId234" Type="http://schemas.openxmlformats.org/officeDocument/2006/relationships/hyperlink" Target="https://drmusayeva.com/entrepreneurs-and-new-technology-in-medicine/" TargetMode="External"/><Relationship Id="rId235" Type="http://schemas.openxmlformats.org/officeDocument/2006/relationships/hyperlink" Target="https://wellbeing-support.com/advances-in-stem-cell-technology-and-its-impact-on-medicine/" TargetMode="External"/><Relationship Id="rId236" Type="http://schemas.openxmlformats.org/officeDocument/2006/relationships/hyperlink" Target="http://asksotiris.com/6-ways-your-website-is-ruining-your-it-marketing-efforts/" TargetMode="External"/><Relationship Id="rId237" Type="http://schemas.openxmlformats.org/officeDocument/2006/relationships/hyperlink" Target="http://blog.clicksor.com/how-to-understand-your-market-for-better-mobile-app-adoption/" TargetMode="External"/><Relationship Id="rId238" Type="http://schemas.openxmlformats.org/officeDocument/2006/relationships/hyperlink" Target="https://savedelete.com/internet-tips/strategies-that-help-understand-your-market-better-mobile-app-adoption/202466/" TargetMode="External"/><Relationship Id="rId239" Type="http://schemas.openxmlformats.org/officeDocument/2006/relationships/hyperlink" Target="https://thefrisky.com/why-is-water-important-for-your-body/" TargetMode="External"/><Relationship Id="rId460" Type="http://schemas.openxmlformats.org/officeDocument/2006/relationships/hyperlink" Target="https://thecompleteherbalguide.com/entries/everyday-solutions/5-signs-you-need-to-consider-a-scoliosis-brace-for-your-child/" TargetMode="External"/><Relationship Id="rId461" Type="http://schemas.openxmlformats.org/officeDocument/2006/relationships/hyperlink" Target="https://knowtechie.com/productivity-hacks-to-become-a-better-marketer/" TargetMode="External"/><Relationship Id="rId462" Type="http://schemas.openxmlformats.org/officeDocument/2006/relationships/hyperlink" Target="https://knowtechie.com/7-of-the-smartest-ai-apps-ive-used-so-far/" TargetMode="External"/><Relationship Id="rId463" Type="http://schemas.openxmlformats.org/officeDocument/2006/relationships/hyperlink" Target="http://www.doctortipster.com/47360-how-to-choose-a-pedometer-get-healthy-on-a-budget.html" TargetMode="External"/><Relationship Id="rId464" Type="http://schemas.openxmlformats.org/officeDocument/2006/relationships/hyperlink" Target="https://www.easkme.com/2019/05/sales-marketing-tips-startups.html" TargetMode="External"/><Relationship Id="rId465" Type="http://schemas.openxmlformats.org/officeDocument/2006/relationships/hyperlink" Target="http://www.bitrebels.com/technology/10-things-marketer-office/" TargetMode="External"/><Relationship Id="rId466" Type="http://schemas.openxmlformats.org/officeDocument/2006/relationships/hyperlink" Target="http://www.bitrebels.com/technology/20-statistics-prove-connected-health-next-big-thing-healthcare/" TargetMode="External"/><Relationship Id="rId467" Type="http://schemas.openxmlformats.org/officeDocument/2006/relationships/hyperlink" Target="http://usdailyreview.com/7-easy-and-fun-ways-to-drink-more-water-everyday/" TargetMode="External"/><Relationship Id="rId468" Type="http://schemas.openxmlformats.org/officeDocument/2006/relationships/hyperlink" Target="http://usdailyreview.com/what-restaurant-website-owners-should-know-about-ada-compliance/" TargetMode="External"/><Relationship Id="rId469" Type="http://schemas.openxmlformats.org/officeDocument/2006/relationships/hyperlink" Target="https://priceofbusiness.com/5-storytelling-techniques-for-it-marketers/" TargetMode="External"/><Relationship Id="rId520" Type="http://schemas.openxmlformats.org/officeDocument/2006/relationships/hyperlink" Target="http://www.itsgettinghotinhere.org/health-fitness/how-much-vitamin-c-should-you-actually-take/" TargetMode="External"/><Relationship Id="rId521" Type="http://schemas.openxmlformats.org/officeDocument/2006/relationships/hyperlink" Target="https://southfloridareporter.com/5-multivitamins-that-are-actually-good-for-your-body/" TargetMode="External"/><Relationship Id="rId522" Type="http://schemas.openxmlformats.org/officeDocument/2006/relationships/hyperlink" Target="https://manvsclock.com/6-gadgets-you-didnt-know-you-needed/" TargetMode="External"/><Relationship Id="rId30" Type="http://schemas.openxmlformats.org/officeDocument/2006/relationships/hyperlink" Target="https://t2conline.com/5-cool-ideas-for-personalized-holiday-gifts-this-season/" TargetMode="External"/><Relationship Id="rId31" Type="http://schemas.openxmlformats.org/officeDocument/2006/relationships/hyperlink" Target="https://t2conline.com/heres-why-your-business-should-pay-attention-to-ada-compliance/" TargetMode="External"/><Relationship Id="rId32" Type="http://schemas.openxmlformats.org/officeDocument/2006/relationships/hyperlink" Target="https://www.jcount.com/top-reasons-why-marketing-agencies-should-invest-in-custom-t-shirts-for-their-employees/" TargetMode="External"/><Relationship Id="rId33" Type="http://schemas.openxmlformats.org/officeDocument/2006/relationships/hyperlink" Target="http://spacecoastdaily.com" TargetMode="External"/><Relationship Id="rId34" Type="http://schemas.openxmlformats.org/officeDocument/2006/relationships/hyperlink" Target="http://spacecoastdaily.com/2019/01/six-cool-health-technologies-you-didnt-know-exists-in-2019/" TargetMode="External"/><Relationship Id="rId35" Type="http://schemas.openxmlformats.org/officeDocument/2006/relationships/hyperlink" Target="https://techmoran.com/2019/01/04/5-analytics-kpis-every-online-business-should-pay-attention-to-in-2019/" TargetMode="External"/><Relationship Id="rId36" Type="http://schemas.openxmlformats.org/officeDocument/2006/relationships/hyperlink" Target="http://tricksmode.com" TargetMode="External"/><Relationship Id="rId37" Type="http://schemas.openxmlformats.org/officeDocument/2006/relationships/hyperlink" Target="http://tricksmode.com/4-quick-strategies-d%D0%BE%D1%81t%D0%BEr%D1%95-can-use-to-im%D1%80r%D0%BEv%D0%B5-their-%D0%BEnl%D1%96n%D0%B5-reputation/" TargetMode="External"/><Relationship Id="rId38" Type="http://schemas.openxmlformats.org/officeDocument/2006/relationships/hyperlink" Target="http://broowaha.com" TargetMode="External"/><Relationship Id="rId39" Type="http://schemas.openxmlformats.org/officeDocument/2006/relationships/hyperlink" Target="http://www.broowaha.com/articles/32152/5-things-american-online-businesses-should-know-about-ada-web-compliance" TargetMode="External"/><Relationship Id="rId523" Type="http://schemas.openxmlformats.org/officeDocument/2006/relationships/hyperlink" Target="http://www.flurl.com/healthy/5-early-signs-of-scoliosis-that-you-should-be-aware-of/" TargetMode="External"/><Relationship Id="rId524" Type="http://schemas.openxmlformats.org/officeDocument/2006/relationships/hyperlink" Target="https://designlike.com/5-essential-things-i-have-in-my-home-office/" TargetMode="External"/><Relationship Id="rId525" Type="http://schemas.openxmlformats.org/officeDocument/2006/relationships/hyperlink" Target="https://www.ruhanirabin.com/reasons-biotech-artificial-intelligence-blockchain/" TargetMode="External"/><Relationship Id="rId526" Type="http://schemas.openxmlformats.org/officeDocument/2006/relationships/hyperlink" Target="http://msftplace.com/8-things-that-successful-mobile-apps-have-in-common/" TargetMode="External"/><Relationship Id="rId527" Type="http://schemas.openxmlformats.org/officeDocument/2006/relationships/hyperlink" Target="https://consciouslifenews.com/5-pillars-of-content-marketing/11170293/" TargetMode="External"/><Relationship Id="rId528" Type="http://schemas.openxmlformats.org/officeDocument/2006/relationships/hyperlink" Target="https://consciouslifenews.com/why-multivitamins-are-useless/11170295/" TargetMode="External"/><Relationship Id="rId529" Type="http://schemas.openxmlformats.org/officeDocument/2006/relationships/hyperlink" Target="http://www.unitedfinances.com/blog/5-things-every-executive-should-know-about-blockchain-in-healthcare/" TargetMode="External"/><Relationship Id="rId180" Type="http://schemas.openxmlformats.org/officeDocument/2006/relationships/hyperlink" Target="https://www.rocketnews.com/2019/02/gym-essentials-every-person-working-out-should-have-in-their-bag/" TargetMode="External"/><Relationship Id="rId181" Type="http://schemas.openxmlformats.org/officeDocument/2006/relationships/hyperlink" Target="https://www.rocketnews.com/2019/02/beyonces-website-sued-for-not-being-ada-compliant-your-companys-site-could-be-next/" TargetMode="External"/><Relationship Id="rId182" Type="http://schemas.openxmlformats.org/officeDocument/2006/relationships/hyperlink" Target="https://www.modelonamission.com/how-astaxanthin-is-good-for-your-skincare/" TargetMode="External"/><Relationship Id="rId183" Type="http://schemas.openxmlformats.org/officeDocument/2006/relationships/hyperlink" Target="https://setiweb.ssl.berkeley.edu/beta/team_display.php?teamid=135610" TargetMode="External"/><Relationship Id="rId184" Type="http://schemas.openxmlformats.org/officeDocument/2006/relationships/hyperlink" Target="http://juliawall.sites.gettysburg.edu/westpoint61/benefits-of-telemedicine/index" TargetMode="External"/><Relationship Id="rId185" Type="http://schemas.openxmlformats.org/officeDocument/2006/relationships/hyperlink" Target="https://my.sterling.edu/ICS/Academics/LL/LL379__UG06/FA_2006_UNDG-LL379__UG06_-A/Blog_71.jnz?portlet=Blog_71&amp;screen=View+Post&amp;screenType=next&amp;Id=1e07c381-4d7c-448c-a76d-8be1aedfa0c1" TargetMode="External"/><Relationship Id="rId186" Type="http://schemas.openxmlformats.org/officeDocument/2006/relationships/hyperlink" Target="http://contentrally.com" TargetMode="External"/><Relationship Id="rId187" Type="http://schemas.openxmlformats.org/officeDocument/2006/relationships/hyperlink" Target="https://mynewsfit.com/why-every-development-company-in-the-healthcare-field-should-become-hitrust-certified/" TargetMode="External"/><Relationship Id="rId188" Type="http://schemas.openxmlformats.org/officeDocument/2006/relationships/hyperlink" Target="http://www.theglobaldispatch.com/medical-startups-to-watch-in-2019-2019/" TargetMode="External"/><Relationship Id="rId189" Type="http://schemas.openxmlformats.org/officeDocument/2006/relationships/hyperlink" Target="http://theedgesearch.com" TargetMode="External"/><Relationship Id="rId240" Type="http://schemas.openxmlformats.org/officeDocument/2006/relationships/hyperlink" Target="http://designbeep.com" TargetMode="External"/><Relationship Id="rId241" Type="http://schemas.openxmlformats.org/officeDocument/2006/relationships/hyperlink" Target="http://designbeep.com/2019/03/07/tips-for-building-successful-mhealth-apps/" TargetMode="External"/><Relationship Id="rId242" Type="http://schemas.openxmlformats.org/officeDocument/2006/relationships/hyperlink" Target="https://www.marketingspot.com/2019/03/the-one-it-marketing-strategy-you-should-be-focusing-on-in-2019/" TargetMode="External"/><Relationship Id="rId243" Type="http://schemas.openxmlformats.org/officeDocument/2006/relationships/hyperlink" Target="http://hoangthangit.com/major-partnerships-in-pharma-using-ai/" TargetMode="External"/><Relationship Id="rId244" Type="http://schemas.openxmlformats.org/officeDocument/2006/relationships/hyperlink" Target="http://tweakyourbiz.com" TargetMode="External"/><Relationship Id="rId245" Type="http://schemas.openxmlformats.org/officeDocument/2006/relationships/hyperlink" Target="https://tweakyourbiz.com/finance/financial-planning/market-their-services" TargetMode="External"/><Relationship Id="rId246" Type="http://schemas.openxmlformats.org/officeDocument/2006/relationships/hyperlink" Target="https://thefrisky.com/health-benefits-of-astaxanthin/" TargetMode="External"/><Relationship Id="rId247" Type="http://schemas.openxmlformats.org/officeDocument/2006/relationships/hyperlink" Target="http://drmusayeva.com/15-items-to-pack-for-your-next-global-excursion/" TargetMode="External"/><Relationship Id="rId248" Type="http://schemas.openxmlformats.org/officeDocument/2006/relationships/hyperlink" Target="http://speedliting.com/how-telemedicine-is-restoring-patients-trust-in-doctors/" TargetMode="External"/><Relationship Id="rId249" Type="http://schemas.openxmlformats.org/officeDocument/2006/relationships/hyperlink" Target="https://livinginthisseason.com/10-gifts-for-the-eco-conscious-friend/" TargetMode="External"/><Relationship Id="rId300" Type="http://schemas.openxmlformats.org/officeDocument/2006/relationships/hyperlink" Target="https://thefabweb.com/top-5-strategies-to-prepare-a-healthcare-marketing-plan/" TargetMode="External"/><Relationship Id="rId301" Type="http://schemas.openxmlformats.org/officeDocument/2006/relationships/hyperlink" Target="http://thesmartweightloss.com" TargetMode="External"/><Relationship Id="rId302" Type="http://schemas.openxmlformats.org/officeDocument/2006/relationships/hyperlink" Target="https://www.thesmartweightloss.com/can-astaxanthin-help-patients-suffering-from-alzheimers/" TargetMode="External"/><Relationship Id="rId303" Type="http://schemas.openxmlformats.org/officeDocument/2006/relationships/hyperlink" Target="http://www.mobiletweaks.net/" TargetMode="External"/><Relationship Id="rId304" Type="http://schemas.openxmlformats.org/officeDocument/2006/relationships/hyperlink" Target="http://www.mobiletweaks.net/7-trendy-modern-gifts-ideas/" TargetMode="External"/><Relationship Id="rId305" Type="http://schemas.openxmlformats.org/officeDocument/2006/relationships/hyperlink" Target="https://uniquethis.com/blogs/111900/256497/marketing-mistakes-for-it-companies-and-what-to-do-instead" TargetMode="External"/><Relationship Id="rId306" Type="http://schemas.openxmlformats.org/officeDocument/2006/relationships/hyperlink" Target="https://makingbrandshappen.com/2019/03/25/what-is-the-astaxanthin-natural-supplement-good-for/" TargetMode="External"/><Relationship Id="rId307" Type="http://schemas.openxmlformats.org/officeDocument/2006/relationships/hyperlink" Target="http://mybeautifuladventures.com/2019/03/25/best-fitness-trackers-to-buy-in-2019/" TargetMode="External"/><Relationship Id="rId308" Type="http://schemas.openxmlformats.org/officeDocument/2006/relationships/hyperlink" Target="http://www.mobiletweaks.net/7-customer-retention-marketing-tips-for-it-companies/" TargetMode="External"/><Relationship Id="rId309" Type="http://schemas.openxmlformats.org/officeDocument/2006/relationships/hyperlink" Target="https://www.bmmagazine.co.uk/business/website-ada-compliance-what-it-is-how-it-works-and-why-you-need-to-do-it/" TargetMode="External"/><Relationship Id="rId470" Type="http://schemas.openxmlformats.org/officeDocument/2006/relationships/hyperlink" Target="https://priceofbusiness.com/12-things-to-own-if-you-are-a-clumsy-man/" TargetMode="External"/><Relationship Id="rId471" Type="http://schemas.openxmlformats.org/officeDocument/2006/relationships/hyperlink" Target="https://www.mscareergirl.com/6-things-i-didnt-know-i-needed-but-i-now-love/" TargetMode="External"/><Relationship Id="rId472" Type="http://schemas.openxmlformats.org/officeDocument/2006/relationships/hyperlink" Target="https://kellysthoughtsonthings.com/5-perfect-gifts-to-keep-your-student-motivated-through-until-summer/" TargetMode="External"/><Relationship Id="rId473" Type="http://schemas.openxmlformats.org/officeDocument/2006/relationships/hyperlink" Target="https://kellysthoughtsonthings.com/side-effects-of-multivitamins-you-should-know-about/" TargetMode="External"/><Relationship Id="rId474" Type="http://schemas.openxmlformats.org/officeDocument/2006/relationships/hyperlink" Target="https://www.downtownmiami.com/community/family/7-reasons-why-you-should-take-multivitamins-every-day.html" TargetMode="External"/><Relationship Id="rId475" Type="http://schemas.openxmlformats.org/officeDocument/2006/relationships/hyperlink" Target="http://stuffablog.com/5-marketing-tips-sell-without-selling/" TargetMode="External"/><Relationship Id="rId476" Type="http://schemas.openxmlformats.org/officeDocument/2006/relationships/hyperlink" Target="http://stuffablog.com/8-products-buy-life/" TargetMode="External"/><Relationship Id="rId477" Type="http://schemas.openxmlformats.org/officeDocument/2006/relationships/hyperlink" Target="https://album.sofeminine.co.uk/album/1354003/9-things-you-can-do-to-be-healthy-around-the-office-0.html" TargetMode="External"/><Relationship Id="rId478" Type="http://schemas.openxmlformats.org/officeDocument/2006/relationships/hyperlink" Target="https://www.travelblog.org/Europe/blog-1035073.html" TargetMode="External"/><Relationship Id="rId479" Type="http://schemas.openxmlformats.org/officeDocument/2006/relationships/hyperlink" Target="https://stimulhosting.com/6-alexa-skills-making-employees-more-productive.html" TargetMode="External"/><Relationship Id="rId530" Type="http://schemas.openxmlformats.org/officeDocument/2006/relationships/hyperlink" Target="http://www.easyfinance.com/blog/is-linkedin-effective-in-driving-business-to-your-company-website/" TargetMode="External"/><Relationship Id="rId531" Type="http://schemas.openxmlformats.org/officeDocument/2006/relationships/hyperlink" Target="http://www.tripatlas.com" TargetMode="External"/><Relationship Id="rId532" Type="http://schemas.openxmlformats.org/officeDocument/2006/relationships/hyperlink" Target="https://www.tripatlas.com/hotels-are-struggling-with-ada-compliance/" TargetMode="External"/><Relationship Id="rId40" Type="http://schemas.openxmlformats.org/officeDocument/2006/relationships/hyperlink" Target="http://selfgrowth.com" TargetMode="External"/><Relationship Id="rId41" Type="http://schemas.openxmlformats.org/officeDocument/2006/relationships/hyperlink" Target="https://www.selfgrowth.com/articles/8-things-a-fintech-startup-can-do-on-a-budget-to-market-their-product-online" TargetMode="External"/><Relationship Id="rId42" Type="http://schemas.openxmlformats.org/officeDocument/2006/relationships/hyperlink" Target="http://small-bizsense.com" TargetMode="External"/><Relationship Id="rId43" Type="http://schemas.openxmlformats.org/officeDocument/2006/relationships/hyperlink" Target="https://small-bizsense.com/how-banks-should-market-their-services-to-millennials/" TargetMode="External"/><Relationship Id="rId44" Type="http://schemas.openxmlformats.org/officeDocument/2006/relationships/hyperlink" Target="http://www.becomegorgeous.com/blogs/naim/astaxanthin-the-perfect-solution-to-improving-your-overall-health-P69053" TargetMode="External"/><Relationship Id="rId45" Type="http://schemas.openxmlformats.org/officeDocument/2006/relationships/hyperlink" Target="https://codetorank.com/best-social-media-tips-for-healthcare-organizations-in-2019/" TargetMode="External"/><Relationship Id="rId46" Type="http://schemas.openxmlformats.org/officeDocument/2006/relationships/hyperlink" Target="https://www.tgdaily.com/web/in-2019-you-need-to-make-sure-your-site-is-ada-compliant-here-are-4-reasons-why" TargetMode="External"/><Relationship Id="rId47" Type="http://schemas.openxmlformats.org/officeDocument/2006/relationships/hyperlink" Target="https://www.itsguru.com/five-reasons-why-business-should-build-an-alexa-skill-in-2019/" TargetMode="External"/><Relationship Id="rId48" Type="http://schemas.openxmlformats.org/officeDocument/2006/relationships/hyperlink" Target="https://inkhive.com/2019/01/10/6-local-seo-strategies-try-2019/" TargetMode="External"/><Relationship Id="rId49" Type="http://schemas.openxmlformats.org/officeDocument/2006/relationships/hyperlink" Target="http://www.wo1cy.com/five-cool-gifts-to-give-this-winter/" TargetMode="External"/><Relationship Id="rId533" Type="http://schemas.openxmlformats.org/officeDocument/2006/relationships/hyperlink" Target="http://ecofriend.org/" TargetMode="External"/><Relationship Id="rId534" Type="http://schemas.openxmlformats.org/officeDocument/2006/relationships/hyperlink" Target="https://ecofriend.org/how-to-market-your-eco-friendly-startup-for-free-in-2019/" TargetMode="External"/><Relationship Id="rId1" Type="http://schemas.openxmlformats.org/officeDocument/2006/relationships/hyperlink" Target="http://www.dietoflife.com/5-natural-ingredients-that-can-help-with-weight-loss/" TargetMode="External"/><Relationship Id="rId2" Type="http://schemas.openxmlformats.org/officeDocument/2006/relationships/hyperlink" Target="http://curiousmindmagazine.com" TargetMode="External"/><Relationship Id="rId3" Type="http://schemas.openxmlformats.org/officeDocument/2006/relationships/hyperlink" Target="https://curiousmindmagazine.com/what-you-should-intake-to-help-support-cognitive-health/" TargetMode="External"/><Relationship Id="rId4" Type="http://schemas.openxmlformats.org/officeDocument/2006/relationships/hyperlink" Target="http://www.bitrebels.com/business/fintech-marketers-marketing-roi-3-steps/" TargetMode="External"/><Relationship Id="rId5" Type="http://schemas.openxmlformats.org/officeDocument/2006/relationships/hyperlink" Target="http://centricity.com" TargetMode="External"/><Relationship Id="rId6" Type="http://schemas.openxmlformats.org/officeDocument/2006/relationships/hyperlink" Target="https://www.centrinity.com/are-you-prepared-to-market-your-financial-product-in-2019/" TargetMode="External"/><Relationship Id="rId7" Type="http://schemas.openxmlformats.org/officeDocument/2006/relationships/hyperlink" Target="http://myventurepad.com" TargetMode="External"/><Relationship Id="rId8" Type="http://schemas.openxmlformats.org/officeDocument/2006/relationships/hyperlink" Target="https://myventurepad.com/four-effective-financial-services-marketing-techniques-for-2019/" TargetMode="External"/><Relationship Id="rId9" Type="http://schemas.openxmlformats.org/officeDocument/2006/relationships/hyperlink" Target="https://www.storeboard.com/united-states/" TargetMode="External"/><Relationship Id="rId190" Type="http://schemas.openxmlformats.org/officeDocument/2006/relationships/hyperlink" Target="https://www.theedgesearch.com/2019/02/just-pack-it-8-items-to-keep-in-your-gym-bag.html" TargetMode="External"/><Relationship Id="rId191" Type="http://schemas.openxmlformats.org/officeDocument/2006/relationships/hyperlink" Target="http://theedgesearch.com" TargetMode="External"/><Relationship Id="rId192" Type="http://schemas.openxmlformats.org/officeDocument/2006/relationships/hyperlink" Target="https://www.theedgesearch.com/2019/02/how-exercise-and-lack-thereof-impacts-your-heart-health.html" TargetMode="External"/><Relationship Id="rId193" Type="http://schemas.openxmlformats.org/officeDocument/2006/relationships/hyperlink" Target="https://trendytattle.com/how-astaxanthin-is-good-for-your-skincare/" TargetMode="External"/><Relationship Id="rId194" Type="http://schemas.openxmlformats.org/officeDocument/2006/relationships/hyperlink" Target="https://trendytattle.com/weary-worn-and-worthy-8-survival-items-every-teacher-needs-in-their-classroom/" TargetMode="External"/><Relationship Id="rId195" Type="http://schemas.openxmlformats.org/officeDocument/2006/relationships/hyperlink" Target="http://blog.smarthealthshop.com/2019/02/16/9-items-to-make-your-beach-day-perfect/" TargetMode="External"/><Relationship Id="rId196" Type="http://schemas.openxmlformats.org/officeDocument/2006/relationships/hyperlink" Target="https://www.heandshefitness.com/2019/02/16/10-simple-steps-to-healthier-habits/" TargetMode="External"/><Relationship Id="rId197" Type="http://schemas.openxmlformats.org/officeDocument/2006/relationships/hyperlink" Target="https://www.tech-wonders.com/2019/02/how-to-build-a-health-app-like-a-pro.html" TargetMode="External"/><Relationship Id="rId198" Type="http://schemas.openxmlformats.org/officeDocument/2006/relationships/hyperlink" Target="https://www.tgdaily.com/health-opinion/5-health-benefits-of-drinking-more-water" TargetMode="External"/><Relationship Id="rId199" Type="http://schemas.openxmlformats.org/officeDocument/2006/relationships/hyperlink" Target="https://dcresource.biz/5-telemedicine-apps-you-should-know-about-in-2019/" TargetMode="External"/><Relationship Id="rId535" Type="http://schemas.openxmlformats.org/officeDocument/2006/relationships/hyperlink" Target="https://instablogs.com/" TargetMode="External"/><Relationship Id="rId250" Type="http://schemas.openxmlformats.org/officeDocument/2006/relationships/hyperlink" Target="https://www.freepresent.org/how-to-get-your-app-noticed-with-the-help-of-an-agency-3-tips-from-mobile-marketing-pros/" TargetMode="External"/><Relationship Id="rId251" Type="http://schemas.openxmlformats.org/officeDocument/2006/relationships/hyperlink" Target="http://www.homehealthcaresos.com/amazing-achievements-in-healthcare-this-year/" TargetMode="External"/><Relationship Id="rId252" Type="http://schemas.openxmlformats.org/officeDocument/2006/relationships/hyperlink" Target="http://uni5download.com/7-tactics-to-hire-top-marketing-experts-for-your-it-business/" TargetMode="External"/><Relationship Id="rId253" Type="http://schemas.openxmlformats.org/officeDocument/2006/relationships/hyperlink" Target="http://kingwanatranslation.com/it-marketing-secrets-to-attracting-top-talent/" TargetMode="External"/><Relationship Id="rId254" Type="http://schemas.openxmlformats.org/officeDocument/2006/relationships/hyperlink" Target="http://albarkka.com/why-website-ada-compliance-is-beneficial-for-any-business-out-there/" TargetMode="External"/><Relationship Id="rId255" Type="http://schemas.openxmlformats.org/officeDocument/2006/relationships/hyperlink" Target="https://www.theglimpse.com/5-content-marketing-strategies-it-marketers-should-use-in-2019" TargetMode="External"/><Relationship Id="rId256" Type="http://schemas.openxmlformats.org/officeDocument/2006/relationships/hyperlink" Target="https://projectdiaspora.org/telemedicine-trends-that-show-how-promising-this-technology-is/" TargetMode="External"/><Relationship Id="rId257" Type="http://schemas.openxmlformats.org/officeDocument/2006/relationships/hyperlink" Target="https://www.articlerich.com/telemedicine-malpractice-risks-and-how-to-avoid-them/" TargetMode="External"/><Relationship Id="rId258" Type="http://schemas.openxmlformats.org/officeDocument/2006/relationships/hyperlink" Target="https://www.meetrv.com/benefits-of-astaxanthin-for-skin-care/" TargetMode="External"/><Relationship Id="rId259" Type="http://schemas.openxmlformats.org/officeDocument/2006/relationships/hyperlink" Target="http://www.forumgrad.com/5-tips-to-check-whether-your-site-is-ada-compliant-in-2019/" TargetMode="External"/><Relationship Id="rId536" Type="http://schemas.openxmlformats.org/officeDocument/2006/relationships/hyperlink" Target="https://instablogs.com/how-ada-website-compliance-can-help-your-online-medical-reputation.html" TargetMode="External"/><Relationship Id="rId537" Type="http://schemas.openxmlformats.org/officeDocument/2006/relationships/hyperlink" Target="https://instablogs.com/" TargetMode="External"/><Relationship Id="rId538" Type="http://schemas.openxmlformats.org/officeDocument/2006/relationships/hyperlink" Target="https://instablogs.com/easy-peasy-gift-ideas-for-fathers-day.html" TargetMode="External"/><Relationship Id="rId539" Type="http://schemas.openxmlformats.org/officeDocument/2006/relationships/hyperlink" Target="https://designbuzz.com/" TargetMode="External"/><Relationship Id="rId310" Type="http://schemas.openxmlformats.org/officeDocument/2006/relationships/hyperlink" Target="http://www.theglobaldispatch.com/7-benefits-of-drinking-more-water-48846/" TargetMode="External"/><Relationship Id="rId311" Type="http://schemas.openxmlformats.org/officeDocument/2006/relationships/hyperlink" Target="http://ohmyheartsiegirl.com/cool-pedometers-buying-2019/" TargetMode="External"/><Relationship Id="rId312" Type="http://schemas.openxmlformats.org/officeDocument/2006/relationships/hyperlink" Target="https://makeupandbeautyblog.in/2019/03/9-last-minute-gift-ideas.html" TargetMode="External"/><Relationship Id="rId313" Type="http://schemas.openxmlformats.org/officeDocument/2006/relationships/hyperlink" Target="https://socialnomics.net/2019/03/30/ada-website-compliance-how-to-avoid-a-web-accessibility-lawsuit/" TargetMode="External"/><Relationship Id="rId314" Type="http://schemas.openxmlformats.org/officeDocument/2006/relationships/hyperlink" Target="http://www.pitchengine.com/hiwebsolutions/2019/03/27/why-online-reputation-management-for-doctors/002518485930729863932" TargetMode="External"/><Relationship Id="rId315" Type="http://schemas.openxmlformats.org/officeDocument/2006/relationships/hyperlink" Target="http://creatives.world.edu/2019/03/28/best-marketing-concepts-to-master-in-2019/" TargetMode="External"/><Relationship Id="rId316" Type="http://schemas.openxmlformats.org/officeDocument/2006/relationships/hyperlink" Target="https://articles.format.com/blog/ten-marketing-terms-every-creative-executive-should-know-in-2019" TargetMode="External"/><Relationship Id="rId317" Type="http://schemas.openxmlformats.org/officeDocument/2006/relationships/hyperlink" Target="https://www.munplanet.com/articles/telehealth-technologies/the-rise-of-telehealth-technologies" TargetMode="External"/><Relationship Id="rId318" Type="http://schemas.openxmlformats.org/officeDocument/2006/relationships/hyperlink" Target="http://rohitthinks.com" TargetMode="External"/><Relationship Id="rId319" Type="http://schemas.openxmlformats.org/officeDocument/2006/relationships/hyperlink" Target="https://rohitink.com/2019/03/27/encourage-employees-drink-water/" TargetMode="External"/><Relationship Id="rId480" Type="http://schemas.openxmlformats.org/officeDocument/2006/relationships/hyperlink" Target="http://theendoclub.com/best-gear-for-hiking-in-2019/" TargetMode="External"/><Relationship Id="rId481" Type="http://schemas.openxmlformats.org/officeDocument/2006/relationships/hyperlink" Target="https://www.pommietravels.com/5-things-meant-for-travel-that-you-can-use-every-day/" TargetMode="External"/><Relationship Id="rId482" Type="http://schemas.openxmlformats.org/officeDocument/2006/relationships/hyperlink" Target="https://southafricatoday.net/lifestyle/5-great-gift-ideas-for-colleagues/" TargetMode="External"/><Relationship Id="rId483" Type="http://schemas.openxmlformats.org/officeDocument/2006/relationships/hyperlink" Target="https://southafricatoday.net/internet/internet-marketing/marketing-tips-to-improve-your-apps-visibility-in-2019/" TargetMode="External"/><Relationship Id="rId484" Type="http://schemas.openxmlformats.org/officeDocument/2006/relationships/hyperlink" Target="http://www.saasgenius.com/blog/best-b2b-it-marketing-strategies-2019" TargetMode="External"/><Relationship Id="rId485" Type="http://schemas.openxmlformats.org/officeDocument/2006/relationships/hyperlink" Target="http://www.getthebigpicture.net/3-tips-on-how-to-optimize-your-mobile-app/" TargetMode="External"/><Relationship Id="rId486" Type="http://schemas.openxmlformats.org/officeDocument/2006/relationships/hyperlink" Target="https://www.expert-market.com/winning-marketing-strategies-for-every-b2b-business/" TargetMode="External"/><Relationship Id="rId487" Type="http://schemas.openxmlformats.org/officeDocument/2006/relationships/hyperlink" Target="https://southfloridareporter.com/kool8-water-bottle-why-this-is-my-new-favorite-bo" TargetMode="External"/><Relationship Id="rId488" Type="http://schemas.openxmlformats.org/officeDocument/2006/relationships/hyperlink" Target="https://technocodex.com/6-strategies-to-get-customers-for-your-tech-business-in-2019/" TargetMode="External"/><Relationship Id="rId489" Type="http://schemas.openxmlformats.org/officeDocument/2006/relationships/hyperlink" Target="http://citizeneffect.org/three-amazing-digital-marketing-strategies-every-hotel-owner-should-try-out-in-2019/" TargetMode="External"/><Relationship Id="rId540" Type="http://schemas.openxmlformats.org/officeDocument/2006/relationships/hyperlink" Target="https://designbuzz.com/10-unique-gifts-for-your-clients/" TargetMode="External"/><Relationship Id="rId541" Type="http://schemas.openxmlformats.org/officeDocument/2006/relationships/hyperlink" Target="https://designbuzz.com/" TargetMode="External"/><Relationship Id="rId542" Type="http://schemas.openxmlformats.org/officeDocument/2006/relationships/hyperlink" Target="https://designbuzz.com/8-things-that-amazing-mobile-apps-have-in-common/" TargetMode="External"/><Relationship Id="rId50" Type="http://schemas.openxmlformats.org/officeDocument/2006/relationships/hyperlink" Target="http://livinginthisseason.com/top-5-affordable-gifts-to-buy-in-january/" TargetMode="External"/><Relationship Id="rId51" Type="http://schemas.openxmlformats.org/officeDocument/2006/relationships/hyperlink" Target="https://www.rocketnews.com/2019/01/cardiology-in-the-tech-generation/" TargetMode="External"/><Relationship Id="rId52" Type="http://schemas.openxmlformats.org/officeDocument/2006/relationships/hyperlink" Target="http://thebroodle.com" TargetMode="External"/><Relationship Id="rId53" Type="http://schemas.openxmlformats.org/officeDocument/2006/relationships/hyperlink" Target="https://thebroodle.com/internet/what-your-business-should-know-about-website-ada-compliance/" TargetMode="External"/><Relationship Id="rId54" Type="http://schemas.openxmlformats.org/officeDocument/2006/relationships/hyperlink" Target="https://www.asiaradiosales.com/" TargetMode="External"/><Relationship Id="rId55" Type="http://schemas.openxmlformats.org/officeDocument/2006/relationships/hyperlink" Target="https://www.asiaradiosales.com/5-reasons-why-every-hospital-should-offer-telemedicine-solutions-to-their-patients%EF%BB%BF/" TargetMode="External"/><Relationship Id="rId56" Type="http://schemas.openxmlformats.org/officeDocument/2006/relationships/hyperlink" Target="https://t2conline.com/recovery-after-a-heart-attack-what-you-need-to-know/" TargetMode="External"/><Relationship Id="rId57" Type="http://schemas.openxmlformats.org/officeDocument/2006/relationships/hyperlink" Target="http://www.becomegorgeous.com/blogs/naim/the-connection-between-sleep-and-heart-health-P70018?fbclid=IwAR1LMGhaWCqWteUt843bhEJRtqrLglGRfVjjS437Z2zBosVb2E2KmXCtIAo" TargetMode="External"/><Relationship Id="rId58" Type="http://schemas.openxmlformats.org/officeDocument/2006/relationships/hyperlink" Target="https://www.selfgrowth.com/articles/how-to-design-custom-apparel-that-is-anything-but-ordinary" TargetMode="External"/><Relationship Id="rId59" Type="http://schemas.openxmlformats.org/officeDocument/2006/relationships/hyperlink" Target="https://www.bloglovin.com/@jnnaim/biotechnology-cardiac-care-what-to-look-for?fbclid=IwAR0ZqJ_jEc7J7EgutpbIo7-m0odms8MfVZW0ZOrWcQdQXaU1cn2bmN2Hfw8" TargetMode="External"/><Relationship Id="rId543" Type="http://schemas.openxmlformats.org/officeDocument/2006/relationships/hyperlink" Target="https://greendiary.com/" TargetMode="External"/><Relationship Id="rId544" Type="http://schemas.openxmlformats.org/officeDocument/2006/relationships/hyperlink" Target="https://greendiary.com/ai-tackling-treatment-of-rare-difficult-and-expensive-disorders.html" TargetMode="External"/><Relationship Id="rId545" Type="http://schemas.openxmlformats.org/officeDocument/2006/relationships/hyperlink" Target="https://ecofriend.com/" TargetMode="External"/><Relationship Id="rId546" Type="http://schemas.openxmlformats.org/officeDocument/2006/relationships/hyperlink" Target="https://ecofriend.com/famous-companies-sued-over-website-ada-compliance.html" TargetMode="External"/><Relationship Id="rId547" Type="http://schemas.openxmlformats.org/officeDocument/2006/relationships/hyperlink" Target="https://hometone.com/" TargetMode="External"/><Relationship Id="rId548" Type="http://schemas.openxmlformats.org/officeDocument/2006/relationships/hyperlink" Target="https://hometone.com/10-perfect-gifts-for-space-nerds.html" TargetMode="External"/><Relationship Id="rId549" Type="http://schemas.openxmlformats.org/officeDocument/2006/relationships/hyperlink" Target="https://drprem.com/" TargetMode="External"/><Relationship Id="rId600" Type="http://schemas.openxmlformats.org/officeDocument/2006/relationships/hyperlink" Target="https://www.roboearth.org/" TargetMode="External"/><Relationship Id="rId601" Type="http://schemas.openxmlformats.org/officeDocument/2006/relationships/hyperlink" Target="https://www.roboearth.org/6-technologies-helping-people-live-a-better-life/" TargetMode="External"/><Relationship Id="rId602" Type="http://schemas.openxmlformats.org/officeDocument/2006/relationships/hyperlink" Target="https://www.emphas.is/" TargetMode="External"/><Relationship Id="rId603" Type="http://schemas.openxmlformats.org/officeDocument/2006/relationships/hyperlink" Target="https://www.emphas.is/is-your-website-ada-compliant-find-out-today/" TargetMode="External"/><Relationship Id="rId604" Type="http://schemas.openxmlformats.org/officeDocument/2006/relationships/hyperlink" Target="https://www.emphas.is/" TargetMode="External"/><Relationship Id="rId605" Type="http://schemas.openxmlformats.org/officeDocument/2006/relationships/hyperlink" Target="https://www.emphas.is/skip-the-lame-go-for-the-cool-5-gifts-that-will-wow-and-delight/" TargetMode="External"/><Relationship Id="rId606" Type="http://schemas.openxmlformats.org/officeDocument/2006/relationships/hyperlink" Target="http://womensconference.org" TargetMode="External"/><Relationship Id="rId607" Type="http://schemas.openxmlformats.org/officeDocument/2006/relationships/hyperlink" Target="https://www.womensconference.org/5-reasons-why-every-business-should-use-alexa-for-business/" TargetMode="External"/><Relationship Id="rId608" Type="http://schemas.openxmlformats.org/officeDocument/2006/relationships/hyperlink" Target="https://axcessnews.com/" TargetMode="External"/><Relationship Id="rId609" Type="http://schemas.openxmlformats.org/officeDocument/2006/relationships/hyperlink" Target="https://axcessnews.com/national/environment/amazing-gifts-for-those-who-have-everything_11334/" TargetMode="External"/><Relationship Id="rId260" Type="http://schemas.openxmlformats.org/officeDocument/2006/relationships/hyperlink" Target="http://www.elearning-tour.com/how-to-make-your-website-accessible-to-everyone/" TargetMode="External"/><Relationship Id="rId261" Type="http://schemas.openxmlformats.org/officeDocument/2006/relationships/hyperlink" Target="http://miosuperhealth.com/a-skeptics-guide-to-telehealth/" TargetMode="External"/><Relationship Id="rId262" Type="http://schemas.openxmlformats.org/officeDocument/2006/relationships/hyperlink" Target="http://www.thebaynet.com/community/uncategorised/could-blockchain-revolutionize-the-healthcare-industry.html" TargetMode="External"/><Relationship Id="rId263" Type="http://schemas.openxmlformats.org/officeDocument/2006/relationships/hyperlink" Target="http://www.bobcassidy.net/8-small-changes-to-live-a-more-environmentally-friendly-lifestyle/" TargetMode="External"/><Relationship Id="rId264" Type="http://schemas.openxmlformats.org/officeDocument/2006/relationships/hyperlink" Target="http://www.memetics.com/5-things-you-didnt-know-about-blockchain-in-healthcare/" TargetMode="External"/><Relationship Id="rId265" Type="http://schemas.openxmlformats.org/officeDocument/2006/relationships/hyperlink" Target="https://albanianjournalism.com/from-patient-portals-to-wearable-monitoring-devices-and-5g-networks/" TargetMode="External"/><Relationship Id="rId266" Type="http://schemas.openxmlformats.org/officeDocument/2006/relationships/hyperlink" Target="http://www.beatsmonsterfrance.com/how-can-blockchain-help-the-healthcare-industry/" TargetMode="External"/><Relationship Id="rId267" Type="http://schemas.openxmlformats.org/officeDocument/2006/relationships/hyperlink" Target="https://koraplatform.com/what-is-ada-compliance-and-what-does-it-mean-for-your-business-website.html" TargetMode="External"/><Relationship Id="rId268" Type="http://schemas.openxmlformats.org/officeDocument/2006/relationships/hyperlink" Target="http://healthchanging.com/4-blockchain-applications-healthcare-know-2019/" TargetMode="External"/><Relationship Id="rId269" Type="http://schemas.openxmlformats.org/officeDocument/2006/relationships/hyperlink" Target="https://dcresource.biz/how-to-use-analytics-to-improve-your-companys-web-experience/" TargetMode="External"/><Relationship Id="rId320" Type="http://schemas.openxmlformats.org/officeDocument/2006/relationships/hyperlink" Target="https://www.aspirantsg.com/rooftop-bars-in-the-world/" TargetMode="External"/><Relationship Id="rId321" Type="http://schemas.openxmlformats.org/officeDocument/2006/relationships/hyperlink" Target="https://www.techmediaguide.com/what-is-hitrust-and-what-does-it-mean-for-development-companies/" TargetMode="External"/><Relationship Id="rId322" Type="http://schemas.openxmlformats.org/officeDocument/2006/relationships/hyperlink" Target="https://techsightings.com/why-should-your-it-company-become-hitrust-certified/" TargetMode="External"/><Relationship Id="rId323" Type="http://schemas.openxmlformats.org/officeDocument/2006/relationships/hyperlink" Target="https://www.digitalconnectmag.com/why-having-an-non-ada-compliant-website-isnt-cost-effective/" TargetMode="External"/><Relationship Id="rId324" Type="http://schemas.openxmlformats.org/officeDocument/2006/relationships/hyperlink" Target="https://www.technected.com/6-tips-for-developing-an-it-marketing-strategy" TargetMode="External"/><Relationship Id="rId325" Type="http://schemas.openxmlformats.org/officeDocument/2006/relationships/hyperlink" Target="https://www.finextra.com/blogposting/16915/9-technology-changes-impacting-the-consumer-experience-in-finance-today" TargetMode="External"/><Relationship Id="rId326" Type="http://schemas.openxmlformats.org/officeDocument/2006/relationships/hyperlink" Target="https://www.articlerich.com/how-i-stay-hydrated-on-every-flight/" TargetMode="External"/><Relationship Id="rId327" Type="http://schemas.openxmlformats.org/officeDocument/2006/relationships/hyperlink" Target="https://sourcefed.com/best-travel-gear-of-2019/" TargetMode="External"/><Relationship Id="rId328" Type="http://schemas.openxmlformats.org/officeDocument/2006/relationships/hyperlink" Target="https://www.teethgrinder.co.uk/what-do-stay-at-home-moms-do-all-day/" TargetMode="External"/><Relationship Id="rId329" Type="http://schemas.openxmlformats.org/officeDocument/2006/relationships/hyperlink" Target="https://thenextscoop.com/leverage-social-media-get-visibility-health-mobile-app/" TargetMode="External"/><Relationship Id="rId490" Type="http://schemas.openxmlformats.org/officeDocument/2006/relationships/hyperlink" Target="http://citizeneffect.org/benefits-of-telemedicine-for-small-businesses/" TargetMode="External"/><Relationship Id="rId491" Type="http://schemas.openxmlformats.org/officeDocument/2006/relationships/hyperlink" Target="http://citizeneffect.org/gift-guide-for-the-stay-at-home-mom/" TargetMode="External"/><Relationship Id="rId492" Type="http://schemas.openxmlformats.org/officeDocument/2006/relationships/hyperlink" Target="https://www.thetrentonline.com/everything-you-need-to-know-about-choosing-your-first-pedometer/" TargetMode="External"/><Relationship Id="rId493" Type="http://schemas.openxmlformats.org/officeDocument/2006/relationships/hyperlink" Target="https://www.thetrentonline.com/7-things-you-should-buy-for-your-grandmother/" TargetMode="External"/><Relationship Id="rId494" Type="http://schemas.openxmlformats.org/officeDocument/2006/relationships/hyperlink" Target="https://www.technationnews.com/news/buisness/why-every-ai-company-in-healthcare-should-become-hitrust-certified/" TargetMode="External"/><Relationship Id="rId495" Type="http://schemas.openxmlformats.org/officeDocument/2006/relationships/hyperlink" Target="http://advertiser24.rebelmouse.com/why-every-hotel-should-invest-in-content-marketing-this-year-2638686854.html" TargetMode="External"/><Relationship Id="rId496" Type="http://schemas.openxmlformats.org/officeDocument/2006/relationships/hyperlink" Target="https://www.evernote.com/shard/s662/client/snv?noteGuid=0d1829f6-32ae-41a5-aad6-33cb0a90a31e&amp;noteKey=a99f975e749abb287b779eb2e35c8d39&amp;sn=https%3A%2F%2Fwww.evernote.com%2Fshard%2Fs662%2Fsh%2F0d1829f6-32ae-41a5-aad6-33cb0a90a31e%2Fa99f975e749abb287b779eb2e35c8d39&amp;title=How%2BTo%2BUse%2BAnalytics%2BTo%2BImprove%2BYour%2BWeb%2BExperience" TargetMode="External"/><Relationship Id="rId497" Type="http://schemas.openxmlformats.org/officeDocument/2006/relationships/hyperlink" Target="https://www.minds.com/bewallmart/blog/5-strategies-to-improve-traffic-to-your-small-business-websi-982752937947537408" TargetMode="External"/><Relationship Id="rId498" Type="http://schemas.openxmlformats.org/officeDocument/2006/relationships/hyperlink" Target="https://blog.ideafit.com/blogs/sabrina-ramon/ai-s-impact-on-clinical-data" TargetMode="External"/><Relationship Id="rId499" Type="http://schemas.openxmlformats.org/officeDocument/2006/relationships/hyperlink" Target="http://widetoworld.blog.fc2.com/blog-entry-578.html" TargetMode="External"/><Relationship Id="rId100" Type="http://schemas.openxmlformats.org/officeDocument/2006/relationships/hyperlink" Target="http://fooyoh.com/" TargetMode="External"/><Relationship Id="rId101" Type="http://schemas.openxmlformats.org/officeDocument/2006/relationships/hyperlink" Target="http://fooyoh.com/geekapolis_gadgets_wishlist/15344920/artificial-intelligence-in-the-pharma-industry-5-examples" TargetMode="External"/><Relationship Id="rId102" Type="http://schemas.openxmlformats.org/officeDocument/2006/relationships/hyperlink" Target="http://fooyoh.com/menknowpause_lifestyle_living/15344931/top-5-affordable-gifts-to-buy-in-january" TargetMode="External"/><Relationship Id="rId103" Type="http://schemas.openxmlformats.org/officeDocument/2006/relationships/hyperlink" Target="http://fooyoh.com/" TargetMode="External"/><Relationship Id="rId104" Type="http://schemas.openxmlformats.org/officeDocument/2006/relationships/hyperlink" Target="http://fooyoh.com/fitness_health/15344926/how-astaxanthin-helps-people-with-alzheimers-disease" TargetMode="External"/><Relationship Id="rId105" Type="http://schemas.openxmlformats.org/officeDocument/2006/relationships/hyperlink" Target="http://blog.clicksor.com/5-tips-healthcare-marketers-need-to-know-about-social-media-in-2019/" TargetMode="External"/><Relationship Id="rId106" Type="http://schemas.openxmlformats.org/officeDocument/2006/relationships/hyperlink" Target="http://nictcampus.com/" TargetMode="External"/><Relationship Id="rId107" Type="http://schemas.openxmlformats.org/officeDocument/2006/relationships/hyperlink" Target="http://nictcampus.com/top-natural-ingredients-that-keep-teachers-alert-during-class/" TargetMode="External"/><Relationship Id="rId108" Type="http://schemas.openxmlformats.org/officeDocument/2006/relationships/hyperlink" Target="http://blogfolders.com/" TargetMode="External"/><Relationship Id="rId109" Type="http://schemas.openxmlformats.org/officeDocument/2006/relationships/hyperlink" Target="http://blogfolders.com/biggest-healthcare-news-in-canada-in-2018/" TargetMode="External"/><Relationship Id="rId60" Type="http://schemas.openxmlformats.org/officeDocument/2006/relationships/hyperlink" Target="https://www.bloglovin.com/@jnnaim/5-enterprise-analytics-software-platforms?fbclid=IwAR1WtXBxZESP6P1SZ7OoqzK5-Iac5SSA8SRcpHZHYEPe74HG8o6AkQz70x0" TargetMode="External"/><Relationship Id="rId61" Type="http://schemas.openxmlformats.org/officeDocument/2006/relationships/hyperlink" Target="https://socialnomics.net/" TargetMode="External"/><Relationship Id="rId62" Type="http://schemas.openxmlformats.org/officeDocument/2006/relationships/hyperlink" Target="https://socialnomics.net/2019/01/22/5-innovation-technologies-that-will-define-banking-in-2019/" TargetMode="External"/><Relationship Id="rId63" Type="http://schemas.openxmlformats.org/officeDocument/2006/relationships/hyperlink" Target="http://techpatio.com/2019/guides-how-to/4-tips-optimize-health-website-2019" TargetMode="External"/><Relationship Id="rId64" Type="http://schemas.openxmlformats.org/officeDocument/2006/relationships/hyperlink" Target="http://www.thesilverbird.com" TargetMode="External"/><Relationship Id="rId65" Type="http://schemas.openxmlformats.org/officeDocument/2006/relationships/hyperlink" Target="https://www.thesilverbird.com/people-working-out-should-consume-astaxanthin/" TargetMode="External"/><Relationship Id="rId66" Type="http://schemas.openxmlformats.org/officeDocument/2006/relationships/hyperlink" Target="http://dezzain.com" TargetMode="External"/><Relationship Id="rId67" Type="http://schemas.openxmlformats.org/officeDocument/2006/relationships/hyperlink" Target="http://www.dezzain.com/business/why-business-should-invest-employee-custom-apparel/" TargetMode="External"/><Relationship Id="rId68" Type="http://schemas.openxmlformats.org/officeDocument/2006/relationships/hyperlink" Target="http://dezzain.com" TargetMode="External"/><Relationship Id="rId69" Type="http://schemas.openxmlformats.org/officeDocument/2006/relationships/hyperlink" Target="http://www.dezzain.com/technology/how-technology-enable-patients-live-better-lives/" TargetMode="External"/><Relationship Id="rId550" Type="http://schemas.openxmlformats.org/officeDocument/2006/relationships/hyperlink" Target="https://drprem.com/business/why-should-big-pharma-invest-in-artificial-intelligence-in-2019" TargetMode="External"/><Relationship Id="rId551" Type="http://schemas.openxmlformats.org/officeDocument/2006/relationships/hyperlink" Target="https://diyhealth.com/" TargetMode="External"/><Relationship Id="rId552" Type="http://schemas.openxmlformats.org/officeDocument/2006/relationships/hyperlink" Target="https://diyhealth.com/6-vr-innovations-revolutionizing-healthcare-in-2019.html" TargetMode="External"/><Relationship Id="rId553" Type="http://schemas.openxmlformats.org/officeDocument/2006/relationships/hyperlink" Target="https://www.businessfirstonline.co.uk/advice/7-amazing-b2b-marketing-examples-that-work/" TargetMode="External"/><Relationship Id="rId554" Type="http://schemas.openxmlformats.org/officeDocument/2006/relationships/hyperlink" Target="https://consciouslifenews.com/byod-in-healthcare-a-new-trend/11170387/" TargetMode="External"/><Relationship Id="rId555" Type="http://schemas.openxmlformats.org/officeDocument/2006/relationships/hyperlink" Target="https://consciouslifenews.com/5-cbd-oil-side-effects-you-should-know-about/11170397/" TargetMode="External"/><Relationship Id="rId556" Type="http://schemas.openxmlformats.org/officeDocument/2006/relationships/hyperlink" Target="https://docs.google.com/document/d/15vbVs1Hu_bjAECWb7kjwYSL9Iqvi6IzBRUEeI8lnJY4/edit" TargetMode="External"/><Relationship Id="rId557" Type="http://schemas.openxmlformats.org/officeDocument/2006/relationships/hyperlink" Target="https://consciouslifenews.com/stylish-thermoses-to-buy-this-year/11170402/" TargetMode="External"/><Relationship Id="rId558" Type="http://schemas.openxmlformats.org/officeDocument/2006/relationships/hyperlink" Target="https://www.dailynewsen.com/breaking/6-reasons-why-bluetooth-powered-medical-devices-have-become-so-popular-h11825.html" TargetMode="External"/><Relationship Id="rId559" Type="http://schemas.openxmlformats.org/officeDocument/2006/relationships/hyperlink" Target="https://www.techiestate.com/differences-between-seo-and-content-strategy/" TargetMode="External"/><Relationship Id="rId610" Type="http://schemas.openxmlformats.org/officeDocument/2006/relationships/hyperlink" Target="https://www.marketdominationmedia.com/blog/" TargetMode="External"/><Relationship Id="rId611" Type="http://schemas.openxmlformats.org/officeDocument/2006/relationships/hyperlink" Target="https://www.marketdominationmedia.com/5-tips-for-information-technology-marketing-professionals/" TargetMode="External"/><Relationship Id="rId612" Type="http://schemas.openxmlformats.org/officeDocument/2006/relationships/hyperlink" Target="https://pspl.com/" TargetMode="External"/><Relationship Id="rId613" Type="http://schemas.openxmlformats.org/officeDocument/2006/relationships/hyperlink" Target="https://pspl.com/5-things-that-make-a-mobile-app-amazing/" TargetMode="External"/><Relationship Id="rId614" Type="http://schemas.openxmlformats.org/officeDocument/2006/relationships/hyperlink" Target="http://www.epubzone.org" TargetMode="External"/><Relationship Id="rId615" Type="http://schemas.openxmlformats.org/officeDocument/2006/relationships/hyperlink" Target="https://www.epubzone.org/benefits-of-cbd-in-baked-goods/" TargetMode="External"/><Relationship Id="rId616" Type="http://schemas.openxmlformats.org/officeDocument/2006/relationships/hyperlink" Target="http://www.epubzone.org" TargetMode="External"/><Relationship Id="rId617" Type="http://schemas.openxmlformats.org/officeDocument/2006/relationships/hyperlink" Target="https://www.epubzone.org/a-travelers-guide-to-every-spring-destination/" TargetMode="External"/><Relationship Id="rId270" Type="http://schemas.openxmlformats.org/officeDocument/2006/relationships/hyperlink" Target="https://www.topteny.com/major-health-benefits-astaxanthin-know-about/" TargetMode="External"/><Relationship Id="rId271" Type="http://schemas.openxmlformats.org/officeDocument/2006/relationships/hyperlink" Target="https://www.topteny.com/10-items-every-real-estate-agent-should-have-on-the-job/" TargetMode="External"/><Relationship Id="rId272" Type="http://schemas.openxmlformats.org/officeDocument/2006/relationships/hyperlink" Target="http://pouted.com/" TargetMode="External"/><Relationship Id="rId273" Type="http://schemas.openxmlformats.org/officeDocument/2006/relationships/hyperlink" Target="https://www.pouted.com/seven-gifts-for-new-mom/" TargetMode="External"/><Relationship Id="rId274" Type="http://schemas.openxmlformats.org/officeDocument/2006/relationships/hyperlink" Target="https://www.topteny.com/" TargetMode="External"/><Relationship Id="rId275" Type="http://schemas.openxmlformats.org/officeDocument/2006/relationships/hyperlink" Target="https://www.pouted.com/have-accessible-website-to-online-users/" TargetMode="External"/><Relationship Id="rId276" Type="http://schemas.openxmlformats.org/officeDocument/2006/relationships/hyperlink" Target="https://dev.to/yaongdap/how-to-live-a-productive-and-efficient-life-as-a-developer-43a1" TargetMode="External"/><Relationship Id="rId277" Type="http://schemas.openxmlformats.org/officeDocument/2006/relationships/hyperlink" Target="http://valbonneyoga.com/4-reasons-why-every-us-state-should-legalize-marijuana/" TargetMode="External"/><Relationship Id="rId278" Type="http://schemas.openxmlformats.org/officeDocument/2006/relationships/hyperlink" Target="https://vwbblog.com/9-marketing-techniques-that-your-it-company-is-missing-out-on/" TargetMode="External"/><Relationship Id="rId279" Type="http://schemas.openxmlformats.org/officeDocument/2006/relationships/hyperlink" Target="https://www.qatarday.com/blog/health/best-telemedicine-companies-and-what-you-can-learn-from-them/66653" TargetMode="External"/><Relationship Id="rId618" Type="http://schemas.openxmlformats.org/officeDocument/2006/relationships/hyperlink" Target="http://rogueimc.org" TargetMode="External"/><Relationship Id="rId619" Type="http://schemas.openxmlformats.org/officeDocument/2006/relationships/hyperlink" Target="https://rogueimc.org/cbd-arrests-in-the-us/" TargetMode="External"/><Relationship Id="rId330" Type="http://schemas.openxmlformats.org/officeDocument/2006/relationships/hyperlink" Target="https://busy.org/@stephenrichard/how-to-deal-with-healthcare-pr-in-the-wake-of-the-opioid-crisis" TargetMode="External"/><Relationship Id="rId331" Type="http://schemas.openxmlformats.org/officeDocument/2006/relationships/hyperlink" Target="https://www.friendhood.net/7-perfect-gifts-to-keep-your-student-motivated-through-until-summer/" TargetMode="External"/><Relationship Id="rId332" Type="http://schemas.openxmlformats.org/officeDocument/2006/relationships/hyperlink" Target="https://www.onebyfourstudio.com/news/2019/celebrating-earth-day-in-style-this-year/" TargetMode="External"/><Relationship Id="rId333" Type="http://schemas.openxmlformats.org/officeDocument/2006/relationships/hyperlink" Target="https://luxedb.com/10-ways-to-get-ready-for-summer/" TargetMode="External"/><Relationship Id="rId334" Type="http://schemas.openxmlformats.org/officeDocument/2006/relationships/hyperlink" Target="https://mytrendingstories.com/article/how-astaxanthin-helps-with-weight-loss/" TargetMode="External"/><Relationship Id="rId335" Type="http://schemas.openxmlformats.org/officeDocument/2006/relationships/hyperlink" Target="https://brandfuge.com/eight-cool-gifts-for-girls-you-can-buy-today/" TargetMode="External"/><Relationship Id="rId336" Type="http://schemas.openxmlformats.org/officeDocument/2006/relationships/hyperlink" Target="http://vermontrepublic.org/10-unique-gifts-for-spring/" TargetMode="External"/><Relationship Id="rId337" Type="http://schemas.openxmlformats.org/officeDocument/2006/relationships/hyperlink" Target="https://butterflylabs.com/9-cool-gifts-for-boys/" TargetMode="External"/><Relationship Id="rId338" Type="http://schemas.openxmlformats.org/officeDocument/2006/relationships/hyperlink" Target="https://www.ultimate-tech-news.com/hitrust-security-framework-all-you-need-to-know/" TargetMode="External"/><Relationship Id="rId339" Type="http://schemas.openxmlformats.org/officeDocument/2006/relationships/hyperlink" Target="https://www.xavixstore.com/differences-between-hipaa-and-hitrust-certifications-all-you-need-to-know/" TargetMode="External"/><Relationship Id="rId110" Type="http://schemas.openxmlformats.org/officeDocument/2006/relationships/hyperlink" Target="http://incredit.me/" TargetMode="External"/><Relationship Id="rId111" Type="http://schemas.openxmlformats.org/officeDocument/2006/relationships/hyperlink" Target="http://incredit.me/5-reasons-why-universities-should-use-data-analytics/" TargetMode="External"/><Relationship Id="rId112" Type="http://schemas.openxmlformats.org/officeDocument/2006/relationships/hyperlink" Target="https://www.awe.sm/2019/02/01/5-great-gifts-for-the-exhausted-entrepreneur/" TargetMode="External"/><Relationship Id="rId113" Type="http://schemas.openxmlformats.org/officeDocument/2006/relationships/hyperlink" Target="https://newsblaze.com/usnews/national/9-coolest-water-bottles-you-can-buy-on-the-cheap_147756/" TargetMode="External"/><Relationship Id="rId114" Type="http://schemas.openxmlformats.org/officeDocument/2006/relationships/hyperlink" Target="http://blog.clicksor.com/10-necessities-to-make-a-marketers-life-easier/" TargetMode="External"/><Relationship Id="rId115" Type="http://schemas.openxmlformats.org/officeDocument/2006/relationships/hyperlink" Target="http://www.becomegorgeous.com/blogs/naim/10-awesome-products-to-help-you-hit-your-running-goals-in-2019-P71322" TargetMode="External"/><Relationship Id="rId70" Type="http://schemas.openxmlformats.org/officeDocument/2006/relationships/hyperlink" Target="http://axcessnews.com" TargetMode="External"/><Relationship Id="rId71" Type="http://schemas.openxmlformats.org/officeDocument/2006/relationships/hyperlink" Target="https://axcessnews.com/business/breaking-business/6-reasons-why-you-need-to-invest-in-custom-t-shirts-for-your-employees_8668/" TargetMode="External"/><Relationship Id="rId72" Type="http://schemas.openxmlformats.org/officeDocument/2006/relationships/hyperlink" Target="http://www.epubzone.org/" TargetMode="External"/><Relationship Id="rId73" Type="http://schemas.openxmlformats.org/officeDocument/2006/relationships/hyperlink" Target="https://www.epubzone.org/how-to-prevent-heart-disease-and-protect-your-heart/" TargetMode="External"/><Relationship Id="rId74" Type="http://schemas.openxmlformats.org/officeDocument/2006/relationships/hyperlink" Target="http://scienceprog.com" TargetMode="External"/><Relationship Id="rId75" Type="http://schemas.openxmlformats.org/officeDocument/2006/relationships/hyperlink" Target="https://scienceprog.com/4-innovations-revolutionizing-the-cardiovascular-disease-treatment-in-the-us/" TargetMode="External"/><Relationship Id="rId76" Type="http://schemas.openxmlformats.org/officeDocument/2006/relationships/hyperlink" Target="https://embedds.com/5-telemedicine-solutions-helping-patients-live-longer/" TargetMode="External"/><Relationship Id="rId77" Type="http://schemas.openxmlformats.org/officeDocument/2006/relationships/hyperlink" Target="http://elenaonlineshop.net" TargetMode="External"/><Relationship Id="rId78" Type="http://schemas.openxmlformats.org/officeDocument/2006/relationships/hyperlink" Target="http://elenaonlineshop.net/the-impact-of-genetics-on-cardiology.html" TargetMode="External"/><Relationship Id="rId79" Type="http://schemas.openxmlformats.org/officeDocument/2006/relationships/hyperlink" Target="https://blog.businesscasestudies.co.uk/4042/why-every-healthcare-business-should-consider-building-an-alexa-skill-in-2019/" TargetMode="External"/><Relationship Id="rId116" Type="http://schemas.openxmlformats.org/officeDocument/2006/relationships/hyperlink" Target="https://foreignpolicyi.org/8-things-every-runner-should-own-today/" TargetMode="External"/><Relationship Id="rId117" Type="http://schemas.openxmlformats.org/officeDocument/2006/relationships/hyperlink" Target="https://www.ukuncut.org.uk/what-is-b2b-marketing-and-how-does-it-work/" TargetMode="External"/><Relationship Id="rId118" Type="http://schemas.openxmlformats.org/officeDocument/2006/relationships/hyperlink" Target="https://sourcefed.com/8-tips-to-market-your-mobile-app-on-a-budget/" TargetMode="External"/><Relationship Id="rId119" Type="http://schemas.openxmlformats.org/officeDocument/2006/relationships/hyperlink" Target="https://www.opptrends.com/4-ai-innovations-in-the-pharma-space-you-didnt-know-existed-in-2019/" TargetMode="External"/><Relationship Id="rId560" Type="http://schemas.openxmlformats.org/officeDocument/2006/relationships/hyperlink" Target="https://www.worldoffemale.com/my-experience-with-the-kool8-bottle/" TargetMode="External"/><Relationship Id="rId561" Type="http://schemas.openxmlformats.org/officeDocument/2006/relationships/hyperlink" Target="https://southfloridareporter.com/myths-about-digital-health/" TargetMode="External"/><Relationship Id="rId562" Type="http://schemas.openxmlformats.org/officeDocument/2006/relationships/hyperlink" Target="http://mynewpinkbutton.com/7-gift-ideas-for-your-spouse/" TargetMode="External"/><Relationship Id="rId563" Type="http://schemas.openxmlformats.org/officeDocument/2006/relationships/hyperlink" Target="https://www.moneymagpie.com/save-money/kool8-review" TargetMode="External"/><Relationship Id="rId564" Type="http://schemas.openxmlformats.org/officeDocument/2006/relationships/hyperlink" Target="http://newsblaze.com" TargetMode="External"/><Relationship Id="rId565" Type="http://schemas.openxmlformats.org/officeDocument/2006/relationships/hyperlink" Target="https://newsblaze.com/usnews/health/can-cbd-oil-help-you-quit-smoking_155833/" TargetMode="External"/><Relationship Id="rId566" Type="http://schemas.openxmlformats.org/officeDocument/2006/relationships/hyperlink" Target="https://www.ukuncut.org.uk/" TargetMode="External"/><Relationship Id="rId567" Type="http://schemas.openxmlformats.org/officeDocument/2006/relationships/hyperlink" Target="https://www.ukuncut.org.uk/cbd-for-kids-everything-you-need-to-know/" TargetMode="External"/><Relationship Id="rId568" Type="http://schemas.openxmlformats.org/officeDocument/2006/relationships/hyperlink" Target="http://baltimorepostexaminer.com" TargetMode="External"/><Relationship Id="rId569" Type="http://schemas.openxmlformats.org/officeDocument/2006/relationships/hyperlink" Target="https://baltimorepostexaminer.com/why-89-of-seniors-recommend-cbd-oil-to-a-friend/2019/06/14" TargetMode="External"/><Relationship Id="rId620" Type="http://schemas.openxmlformats.org/officeDocument/2006/relationships/hyperlink" Target="http://rogueimc.org" TargetMode="External"/><Relationship Id="rId621" Type="http://schemas.openxmlformats.org/officeDocument/2006/relationships/hyperlink" Target="https://rogueimc.org/5-steps-to-make-sure-your-site-is-ada-compliant/" TargetMode="External"/><Relationship Id="rId622" Type="http://schemas.openxmlformats.org/officeDocument/2006/relationships/hyperlink" Target="https://www.cleanweb.co/" TargetMode="External"/><Relationship Id="rId623" Type="http://schemas.openxmlformats.org/officeDocument/2006/relationships/hyperlink" Target="https://www.cleanweb.co/2019/06/14/packing-guide-for-an-amazing-trip-to-africa/" TargetMode="External"/><Relationship Id="rId624" Type="http://schemas.openxmlformats.org/officeDocument/2006/relationships/hyperlink" Target="http://friendhood.net" TargetMode="External"/><Relationship Id="rId625" Type="http://schemas.openxmlformats.org/officeDocument/2006/relationships/hyperlink" Target="https://www.friendhood.net/7-ways-amazons-alexa-is-redefining-healthcare-as-we-know-it/" TargetMode="External"/><Relationship Id="rId626" Type="http://schemas.openxmlformats.org/officeDocument/2006/relationships/hyperlink" Target="https://www.theglimpse.com/" TargetMode="External"/><Relationship Id="rId627" Type="http://schemas.openxmlformats.org/officeDocument/2006/relationships/hyperlink" Target="https://www.theglimpse.com/5-gorgeous-modern-gifts-for-the-perfect-girlfriend/" TargetMode="External"/><Relationship Id="rId280" Type="http://schemas.openxmlformats.org/officeDocument/2006/relationships/hyperlink" Target="http://mybeautifuladventures.com/" TargetMode="External"/><Relationship Id="rId281" Type="http://schemas.openxmlformats.org/officeDocument/2006/relationships/hyperlink" Target="http://mybeautifuladventures.com/2019/03/20/seven-unique-gift-ideas-to-surprise-your-girlfriend-this-spring/" TargetMode="External"/><Relationship Id="rId282" Type="http://schemas.openxmlformats.org/officeDocument/2006/relationships/hyperlink" Target="https://www.nowg.net/how-to-drink-more-water-in-2019/" TargetMode="External"/><Relationship Id="rId283" Type="http://schemas.openxmlformats.org/officeDocument/2006/relationships/hyperlink" Target="https://www.mobileappdaily.com/important-healthcare-startup-app-development-tips" TargetMode="External"/><Relationship Id="rId284" Type="http://schemas.openxmlformats.org/officeDocument/2006/relationships/hyperlink" Target="https://techmoran.com/2019/03/19/7-artificial-intelligence-pharma-applications-you-should-be-aware-of-in-2019/" TargetMode="External"/><Relationship Id="rId285" Type="http://schemas.openxmlformats.org/officeDocument/2006/relationships/hyperlink" Target="https://www.startupopinions.com/non-ada-compliant-website-makes-you-miss-out-on-customers/" TargetMode="External"/><Relationship Id="rId286" Type="http://schemas.openxmlformats.org/officeDocument/2006/relationships/hyperlink" Target="http://fiz-x.com" TargetMode="External"/><Relationship Id="rId287" Type="http://schemas.openxmlformats.org/officeDocument/2006/relationships/hyperlink" Target="https://www.fiz-x.com/6-essentials-for-every-entrepreneur/" TargetMode="External"/><Relationship Id="rId288" Type="http://schemas.openxmlformats.org/officeDocument/2006/relationships/hyperlink" Target="https://codetorank.com/actionable-tips-for-it-companies-to-market-themselves-better-in-2019/" TargetMode="External"/><Relationship Id="rId289" Type="http://schemas.openxmlformats.org/officeDocument/2006/relationships/hyperlink" Target="https://www.centrinity.com/8-unique-gifts-for-marketing-people/" TargetMode="External"/><Relationship Id="rId628" Type="http://schemas.openxmlformats.org/officeDocument/2006/relationships/hyperlink" Target="https://homebusinessmag.com/businesses/app-development/outsourcing-mobile-app-development-ideal-startups/" TargetMode="External"/><Relationship Id="rId629" Type="http://schemas.openxmlformats.org/officeDocument/2006/relationships/hyperlink" Target="https://www.independent.mk/5-cbd-oil-side-effects-you-should-know-about/" TargetMode="External"/><Relationship Id="rId340" Type="http://schemas.openxmlformats.org/officeDocument/2006/relationships/hyperlink" Target="https://www.blogprocess.com/data-driven-marketing-what-it-is-and-how-does-it-work/" TargetMode="External"/><Relationship Id="rId341" Type="http://schemas.openxmlformats.org/officeDocument/2006/relationships/hyperlink" Target="https://www.reliablecounter.com/blog/connected-health-and-the-patient-experience-is-the-future-of-healthcare/" TargetMode="External"/><Relationship Id="rId342" Type="http://schemas.openxmlformats.org/officeDocument/2006/relationships/hyperlink" Target="https://www.inthow.com/tips-to-develop-an-amazing-medical-app/" TargetMode="External"/><Relationship Id="rId343" Type="http://schemas.openxmlformats.org/officeDocument/2006/relationships/hyperlink" Target="http://teethgrinder.co.uk/" TargetMode="External"/><Relationship Id="rId344" Type="http://schemas.openxmlformats.org/officeDocument/2006/relationships/hyperlink" Target="https://www.teethgrinder.co.uk/most-effective-online-marketing-strategies-in-2019/" TargetMode="External"/><Relationship Id="rId345" Type="http://schemas.openxmlformats.org/officeDocument/2006/relationships/hyperlink" Target="http://sli.mg" TargetMode="External"/><Relationship Id="rId346" Type="http://schemas.openxmlformats.org/officeDocument/2006/relationships/hyperlink" Target="https://sli.mg/how-to-market-a-medical-device-like-a-pro/" TargetMode="External"/><Relationship Id="rId347" Type="http://schemas.openxmlformats.org/officeDocument/2006/relationships/hyperlink" Target="https://small-bizsense.com/" TargetMode="External"/><Relationship Id="rId348" Type="http://schemas.openxmlformats.org/officeDocument/2006/relationships/hyperlink" Target="https://small-bizsense.com/5-tips-to-measure-the-roi-of-your-marketing-effort/" TargetMode="External"/><Relationship Id="rId349" Type="http://schemas.openxmlformats.org/officeDocument/2006/relationships/hyperlink" Target="https://axcessnews.com/" TargetMode="External"/><Relationship Id="rId400" Type="http://schemas.openxmlformats.org/officeDocument/2006/relationships/hyperlink" Target="http://www.divjot.co/5-things-every-hospital-ceo-should-know-about-cybersecurity/" TargetMode="External"/><Relationship Id="rId401" Type="http://schemas.openxmlformats.org/officeDocument/2006/relationships/hyperlink" Target="http://www.divjot.co/how-brands-make-people-care/" TargetMode="External"/><Relationship Id="rId402" Type="http://schemas.openxmlformats.org/officeDocument/2006/relationships/hyperlink" Target="https://alltes.com/great-gifts-for-a-girlfriend-who-doesnt-want-anything/" TargetMode="External"/><Relationship Id="rId403" Type="http://schemas.openxmlformats.org/officeDocument/2006/relationships/hyperlink" Target="https://codetorank.com/5-things-every-geek-should-own/" TargetMode="External"/><Relationship Id="rId404" Type="http://schemas.openxmlformats.org/officeDocument/2006/relationships/hyperlink" Target="https://www.tribunebyte.com/6-b2b-marketing-mistakes-every-company-has-made/" TargetMode="External"/><Relationship Id="rId405" Type="http://schemas.openxmlformats.org/officeDocument/2006/relationships/hyperlink" Target="https://www.northindiadaily.com/more-seniors-are-warming-up-to-telemedicine/" TargetMode="External"/><Relationship Id="rId406" Type="http://schemas.openxmlformats.org/officeDocument/2006/relationships/hyperlink" Target="https://chandigarhofficial.com/telemedicine-the-fastest-way-to-grow-your-health-business/" TargetMode="External"/><Relationship Id="rId407" Type="http://schemas.openxmlformats.org/officeDocument/2006/relationships/hyperlink" Target="https://soakmind.com/lifestyle/8-fabulous-gifts-for-the-tea-lover/" TargetMode="External"/><Relationship Id="rId408" Type="http://schemas.openxmlformats.org/officeDocument/2006/relationships/hyperlink" Target="https://chandigarhofficial.com/why-we-need-to-streamline-it-marketing/" TargetMode="External"/><Relationship Id="rId409" Type="http://schemas.openxmlformats.org/officeDocument/2006/relationships/hyperlink" Target="http://chandigarhofficial.com/my-packing-guide-for-an-awesome-trip-to-africa/" TargetMode="External"/><Relationship Id="rId120" Type="http://schemas.openxmlformats.org/officeDocument/2006/relationships/hyperlink" Target="https://www.whiteoutpress.com/4-embarrassing-pieces-of-news-in-pharma-in-2018/" TargetMode="External"/><Relationship Id="rId121" Type="http://schemas.openxmlformats.org/officeDocument/2006/relationships/hyperlink" Target="https://www.blinkbits.com/4-trends-in-b2b-marketing-you-should-know-about-this-year/" TargetMode="External"/><Relationship Id="rId122" Type="http://schemas.openxmlformats.org/officeDocument/2006/relationships/hyperlink" Target="https://www.meldium.com/4-strategies-to-jumpstart-your-b2b-marketing-strategy-in-2019/" TargetMode="External"/><Relationship Id="rId123" Type="http://schemas.openxmlformats.org/officeDocument/2006/relationships/hyperlink" Target="https://falconhive.com/b2b-marketing-trends-to-consider-for-2019/" TargetMode="External"/><Relationship Id="rId124" Type="http://schemas.openxmlformats.org/officeDocument/2006/relationships/hyperlink" Target="http://selfgrowth.com" TargetMode="External"/><Relationship Id="rId125" Type="http://schemas.openxmlformats.org/officeDocument/2006/relationships/hyperlink" Target="https://www.selfgrowth.com/articles/9-retail-companies-that-do-good-in-the-world" TargetMode="External"/><Relationship Id="rId80" Type="http://schemas.openxmlformats.org/officeDocument/2006/relationships/hyperlink" Target="https://lincolnlabs.com/" TargetMode="External"/><Relationship Id="rId81" Type="http://schemas.openxmlformats.org/officeDocument/2006/relationships/hyperlink" Target="https://lincolnlabs.com/5-cool-tech-canadian-innovations-in-healthcare/" TargetMode="External"/><Relationship Id="rId82" Type="http://schemas.openxmlformats.org/officeDocument/2006/relationships/hyperlink" Target="http://baltimorepostexaminer.com/" TargetMode="External"/><Relationship Id="rId83" Type="http://schemas.openxmlformats.org/officeDocument/2006/relationships/hyperlink" Target="http://baltimorepostexaminer.com/9-best-tech-devices-for-heart-health/2019/01/19" TargetMode="External"/><Relationship Id="rId84" Type="http://schemas.openxmlformats.org/officeDocument/2006/relationships/hyperlink" Target="https://blog.ideafit.com/blogs/works/4-things-doctors-should-know-about-reputation-management" TargetMode="External"/><Relationship Id="rId85" Type="http://schemas.openxmlformats.org/officeDocument/2006/relationships/hyperlink" Target="http://wwonline.net/4-social-media-practices-healthcare-marketers-should-implement-in-2019/" TargetMode="External"/><Relationship Id="rId86" Type="http://schemas.openxmlformats.org/officeDocument/2006/relationships/hyperlink" Target="http://www.atlphp.org/8-questions-to-ask-healthcare-consulting-firms-before-hiring-them/" TargetMode="External"/><Relationship Id="rId87" Type="http://schemas.openxmlformats.org/officeDocument/2006/relationships/hyperlink" Target="https://rumyittips.com/" TargetMode="External"/><Relationship Id="rId88" Type="http://schemas.openxmlformats.org/officeDocument/2006/relationships/hyperlink" Target="https://rumyittips.com/why-your-business-should-build-an-alexa-skil/" TargetMode="External"/><Relationship Id="rId89" Type="http://schemas.openxmlformats.org/officeDocument/2006/relationships/hyperlink" Target="http://technicalustad.com/" TargetMode="External"/><Relationship Id="rId126" Type="http://schemas.openxmlformats.org/officeDocument/2006/relationships/hyperlink" Target="http://techwebspace.com" TargetMode="External"/><Relationship Id="rId127" Type="http://schemas.openxmlformats.org/officeDocument/2006/relationships/hyperlink" Target="https://www.techwebspace.com/10-healthtech-trends-executives-should-embrace-today/" TargetMode="External"/><Relationship Id="rId128" Type="http://schemas.openxmlformats.org/officeDocument/2006/relationships/hyperlink" Target="https://www.toptut.com/2019/02/04/a-beginners-guide-to-website-ada-compliance/" TargetMode="External"/><Relationship Id="rId129" Type="http://schemas.openxmlformats.org/officeDocument/2006/relationships/hyperlink" Target="https://www.webdesign.org/5-tips-on-how-to-create-an-amazing-healthcare-website.23096.html" TargetMode="External"/><Relationship Id="rId570" Type="http://schemas.openxmlformats.org/officeDocument/2006/relationships/hyperlink" Target="http://sourcefed.com" TargetMode="External"/><Relationship Id="rId571" Type="http://schemas.openxmlformats.org/officeDocument/2006/relationships/hyperlink" Target="https://sourcefed.com/6-surprising-uses-for-cbd-oil-you-never-knew-about/" TargetMode="External"/><Relationship Id="rId572" Type="http://schemas.openxmlformats.org/officeDocument/2006/relationships/hyperlink" Target="https://luxedb.com/" TargetMode="External"/><Relationship Id="rId573" Type="http://schemas.openxmlformats.org/officeDocument/2006/relationships/hyperlink" Target="https://luxedb.com/do-cbd-oil-gummies-work/" TargetMode="External"/><Relationship Id="rId574" Type="http://schemas.openxmlformats.org/officeDocument/2006/relationships/hyperlink" Target="https://www.emphas.is/" TargetMode="External"/><Relationship Id="rId575" Type="http://schemas.openxmlformats.org/officeDocument/2006/relationships/hyperlink" Target="https://www.emphas.is/cbd-oil-for-migraines-risks-and-benefits/" TargetMode="External"/><Relationship Id="rId576" Type="http://schemas.openxmlformats.org/officeDocument/2006/relationships/hyperlink" Target="https://axcessnews.com/" TargetMode="External"/><Relationship Id="rId577" Type="http://schemas.openxmlformats.org/officeDocument/2006/relationships/hyperlink" Target="https://axcessnews.com/national/health/whats-the-difference-between-thc-and-cbd_11331/" TargetMode="External"/><Relationship Id="rId578" Type="http://schemas.openxmlformats.org/officeDocument/2006/relationships/hyperlink" Target="https://www.independent.mk/" TargetMode="External"/><Relationship Id="rId579" Type="http://schemas.openxmlformats.org/officeDocument/2006/relationships/hyperlink" Target="https://www.independent.mk/5-cbd-oil-side-effects-you-should-know-about/" TargetMode="External"/><Relationship Id="rId630" Type="http://schemas.openxmlformats.org/officeDocument/2006/relationships/hyperlink" Target="http://scallywagandvagabond.com" TargetMode="External"/><Relationship Id="rId631" Type="http://schemas.openxmlformats.org/officeDocument/2006/relationships/hyperlink" Target="https://scallywagandvagabond.com/2019/06/testing-kool8-water-bottle-comprehensive-review/" TargetMode="External"/><Relationship Id="rId632" Type="http://schemas.openxmlformats.org/officeDocument/2006/relationships/hyperlink" Target="https://baltimorepostexaminer.com/why-kool8-is-my-favorite-water-bottle/2019/06/15" TargetMode="External"/><Relationship Id="rId633" Type="http://schemas.openxmlformats.org/officeDocument/2006/relationships/hyperlink" Target="http://harcourthealth.com" TargetMode="External"/><Relationship Id="rId634" Type="http://schemas.openxmlformats.org/officeDocument/2006/relationships/hyperlink" Target="https://harcourthealth.com/is-protein-coffee-good-for-you/" TargetMode="External"/><Relationship Id="rId635" Type="http://schemas.openxmlformats.org/officeDocument/2006/relationships/hyperlink" Target="https://pspl.com/" TargetMode="External"/><Relationship Id="rId636" Type="http://schemas.openxmlformats.org/officeDocument/2006/relationships/hyperlink" Target="https://pspl.com/7-ways-smartphones-are-becoming-vital-to-healthcare/" TargetMode="External"/><Relationship Id="rId637" Type="http://schemas.openxmlformats.org/officeDocument/2006/relationships/hyperlink" Target="https://small-bizsense.com/blog" TargetMode="External"/><Relationship Id="rId290" Type="http://schemas.openxmlformats.org/officeDocument/2006/relationships/hyperlink" Target="http://bloggerspath.com/what-an-ada-compliant-website-can-do-for-your-business/" TargetMode="External"/><Relationship Id="rId291" Type="http://schemas.openxmlformats.org/officeDocument/2006/relationships/hyperlink" Target="http://tlists.com/top-9-unique-gifts-for-everyone/" TargetMode="External"/><Relationship Id="rId292" Type="http://schemas.openxmlformats.org/officeDocument/2006/relationships/hyperlink" Target="http://www.theglobaldispatch.com/insurance-and-telemedicine-what-is-being-covered-and-by-whom-60111/" TargetMode="External"/><Relationship Id="rId293" Type="http://schemas.openxmlformats.org/officeDocument/2006/relationships/hyperlink" Target="https://www.namasteui.com/alexa-use-cases-every-healthcare-executive-should-know-about-in-2019/" TargetMode="External"/><Relationship Id="rId294" Type="http://schemas.openxmlformats.org/officeDocument/2006/relationships/hyperlink" Target="https://www.namasteui.com/it-marketing-tip-for-2019/" TargetMode="External"/><Relationship Id="rId295" Type="http://schemas.openxmlformats.org/officeDocument/2006/relationships/hyperlink" Target="https://www.namasteui.com/unique-gift-ideas-to-buy-in-march/" TargetMode="External"/><Relationship Id="rId296" Type="http://schemas.openxmlformats.org/officeDocument/2006/relationships/hyperlink" Target="http://ohmyheartsiegirl.com" TargetMode="External"/><Relationship Id="rId297" Type="http://schemas.openxmlformats.org/officeDocument/2006/relationships/hyperlink" Target="http://ohmyheartsiegirl.com/hydrate-run/" TargetMode="External"/><Relationship Id="rId298" Type="http://schemas.openxmlformats.org/officeDocument/2006/relationships/hyperlink" Target="https://savedelete.com/health-fitness/seven-tips-to-save-water/202869/" TargetMode="External"/><Relationship Id="rId299" Type="http://schemas.openxmlformats.org/officeDocument/2006/relationships/hyperlink" Target="http://webseasoning.com/others/how-to-build-healthcare-apps-that-users-will-love/10482/" TargetMode="External"/><Relationship Id="rId638" Type="http://schemas.openxmlformats.org/officeDocument/2006/relationships/hyperlink" Target="https://small-bizsense.com/5-medical-wearables-that-can-improve-the-health-of-patients-with-complex-care-needs/" TargetMode="External"/><Relationship Id="rId639" Type="http://schemas.openxmlformats.org/officeDocument/2006/relationships/hyperlink" Target="https://www.roboearth.org/" TargetMode="External"/><Relationship Id="rId350" Type="http://schemas.openxmlformats.org/officeDocument/2006/relationships/hyperlink" Target="https://axcessnews.com/business/breaking-business/how-to-leverage-social-media-to-get-visibility-online_10825/" TargetMode="External"/><Relationship Id="rId351" Type="http://schemas.openxmlformats.org/officeDocument/2006/relationships/hyperlink" Target="https://socialmediaexplorer.com/" TargetMode="External"/><Relationship Id="rId352" Type="http://schemas.openxmlformats.org/officeDocument/2006/relationships/hyperlink" Target="https://socialmediaexplorer.com/content-sections/news-and-noise/9-social-media-marketing-techniques-that-your-it-company-is-missing-out-on/" TargetMode="External"/><Relationship Id="rId353" Type="http://schemas.openxmlformats.org/officeDocument/2006/relationships/hyperlink" Target="http://teethgrinder.co.uk/" TargetMode="External"/><Relationship Id="rId354" Type="http://schemas.openxmlformats.org/officeDocument/2006/relationships/hyperlink" Target="https://www.teethgrinder.co.uk/what-do-stay-at-home-moms-do-all-day-2/" TargetMode="External"/><Relationship Id="rId355" Type="http://schemas.openxmlformats.org/officeDocument/2006/relationships/hyperlink" Target="http://sli.mg" TargetMode="External"/><Relationship Id="rId356" Type="http://schemas.openxmlformats.org/officeDocument/2006/relationships/hyperlink" Target="https://sli.mg/5-insulated-water-bottles-you-should-know-about-in-2019/" TargetMode="External"/><Relationship Id="rId357" Type="http://schemas.openxmlformats.org/officeDocument/2006/relationships/hyperlink" Target="http://www.independent.mk/" TargetMode="External"/><Relationship Id="rId358" Type="http://schemas.openxmlformats.org/officeDocument/2006/relationships/hyperlink" Target="https://www.independent.mk/5-things-i-never-go-to-the-gym-without/" TargetMode="External"/><Relationship Id="rId359" Type="http://schemas.openxmlformats.org/officeDocument/2006/relationships/hyperlink" Target="https://small-bizsense.com/" TargetMode="External"/><Relationship Id="rId410" Type="http://schemas.openxmlformats.org/officeDocument/2006/relationships/hyperlink" Target="http://www.dezzain.com/technology/wearables-a-new-tool-to-fight-chronic-diseases/" TargetMode="External"/><Relationship Id="rId411" Type="http://schemas.openxmlformats.org/officeDocument/2006/relationships/hyperlink" Target="https://newsblaze.com/usnews/health/9-ways-patients-demands-are-fueling-the-digital-revolution-in-healthcare_154137/" TargetMode="External"/><Relationship Id="rId412" Type="http://schemas.openxmlformats.org/officeDocument/2006/relationships/hyperlink" Target="https://inkhive.com/2019/05/16/5-things-every-executive-know-data-driven-marketing/" TargetMode="External"/><Relationship Id="rId413" Type="http://schemas.openxmlformats.org/officeDocument/2006/relationships/hyperlink" Target="https://soakmind.com/tech/digital-trends-healthcare-pr-experts-should-know-about-in-2019/" TargetMode="External"/><Relationship Id="rId414" Type="http://schemas.openxmlformats.org/officeDocument/2006/relationships/hyperlink" Target="https://naturalhealthvillage.com/2019/05/17/5-awesome-gifts-for-the-gym-enthusiast/" TargetMode="External"/><Relationship Id="rId415" Type="http://schemas.openxmlformats.org/officeDocument/2006/relationships/hyperlink" Target="https://www.tastefulspace.com/blog/2019/05/17/innovative-treatments-for-heart-patients/" TargetMode="External"/><Relationship Id="rId416" Type="http://schemas.openxmlformats.org/officeDocument/2006/relationships/hyperlink" Target="https://legendvalley.net/2019/05/17/6-things-you-need-if-you-love-coffee/" TargetMode="External"/><Relationship Id="rId417" Type="http://schemas.openxmlformats.org/officeDocument/2006/relationships/hyperlink" Target="https://docs.google.com/document/d/15vbVs1Hu_bjAECWb7kjwYSL9Iqvi6IzBRUEeI8lnJY4/edit" TargetMode="External"/><Relationship Id="rId418" Type="http://schemas.openxmlformats.org/officeDocument/2006/relationships/hyperlink" Target="https://legendvalley.net/2019/05/17/fitbit-trackers-which-one-is-the-best/" TargetMode="External"/><Relationship Id="rId419" Type="http://schemas.openxmlformats.org/officeDocument/2006/relationships/hyperlink" Target="https://techlogitic.net/5-things-you-should-know-about-healthcare-marketing-in-2019/" TargetMode="External"/><Relationship Id="rId130" Type="http://schemas.openxmlformats.org/officeDocument/2006/relationships/hyperlink" Target="https://5bestthings.com/social-media-fails-to-avoid/" TargetMode="External"/><Relationship Id="rId131" Type="http://schemas.openxmlformats.org/officeDocument/2006/relationships/hyperlink" Target="https://www.techwebspace.com/5-affordable-strategies-to-market-your-app-effectively-in-2019/" TargetMode="External"/><Relationship Id="rId132" Type="http://schemas.openxmlformats.org/officeDocument/2006/relationships/hyperlink" Target="https://www.briefmobile.com/" TargetMode="External"/><Relationship Id="rId133" Type="http://schemas.openxmlformats.org/officeDocument/2006/relationships/hyperlink" Target="https://www.briefmobile.com/5-reasons-every-app-owner-needs-to-have-a-website-to-promote-their-app/" TargetMode="External"/><Relationship Id="rId134" Type="http://schemas.openxmlformats.org/officeDocument/2006/relationships/hyperlink" Target="https://www.websitemagazine.com/blog/4-digital-strategies-every-digital-marketer-should-master-in-2019" TargetMode="External"/><Relationship Id="rId135" Type="http://schemas.openxmlformats.org/officeDocument/2006/relationships/hyperlink" Target="http://www.business-opportunities.biz/2019/02/05/create-website-patients-clinic/" TargetMode="External"/><Relationship Id="rId90" Type="http://schemas.openxmlformats.org/officeDocument/2006/relationships/hyperlink" Target="https://technicalustad.com/healthtech-innovations-accenture-are-implementing/" TargetMode="External"/><Relationship Id="rId91" Type="http://schemas.openxmlformats.org/officeDocument/2006/relationships/hyperlink" Target="https://www.safeandhealthylife.com/why-astaxanthin-is-good-for-health/" TargetMode="External"/><Relationship Id="rId92" Type="http://schemas.openxmlformats.org/officeDocument/2006/relationships/hyperlink" Target="http://www.diet2x.com/the-connection-between-sleep-and-heart-health/" TargetMode="External"/><Relationship Id="rId93" Type="http://schemas.openxmlformats.org/officeDocument/2006/relationships/hyperlink" Target="http://www.diet2x.com/the-connection-between-sleep-and-heart-health/" TargetMode="External"/><Relationship Id="rId94" Type="http://schemas.openxmlformats.org/officeDocument/2006/relationships/hyperlink" Target="https://www.websitemagazine.com/" TargetMode="External"/><Relationship Id="rId95" Type="http://schemas.openxmlformats.org/officeDocument/2006/relationships/hyperlink" Target="https://www.websitemagazine.com/blog/what-digital-executives-should-know-about-web-ada-compliance" TargetMode="External"/><Relationship Id="rId96" Type="http://schemas.openxmlformats.org/officeDocument/2006/relationships/hyperlink" Target="https://wideinfo.org/7-reasons-why-your-business-should-build-an-alexa-skill-in-2019/" TargetMode="External"/><Relationship Id="rId97" Type="http://schemas.openxmlformats.org/officeDocument/2006/relationships/hyperlink" Target="http://infobeat.com" TargetMode="External"/><Relationship Id="rId98" Type="http://schemas.openxmlformats.org/officeDocument/2006/relationships/hyperlink" Target="https://infobeat.com/7-strategies-to-effectively-market-your-financial-products-on-linkedin/" TargetMode="External"/><Relationship Id="rId99" Type="http://schemas.openxmlformats.org/officeDocument/2006/relationships/hyperlink" Target="https://pureresiduals.com/5-crucial-steps-to-nail-your-local-seo/" TargetMode="External"/><Relationship Id="rId136" Type="http://schemas.openxmlformats.org/officeDocument/2006/relationships/hyperlink" Target="https://uberant.com/article/484156-impacts-of-aging-on-cardiac-health/" TargetMode="External"/><Relationship Id="rId137" Type="http://schemas.openxmlformats.org/officeDocument/2006/relationships/hyperlink" Target="https://www.newsforpublic.com/health-technologies-aware/" TargetMode="External"/><Relationship Id="rId138" Type="http://schemas.openxmlformats.org/officeDocument/2006/relationships/hyperlink" Target="http://www.theallmag.com/blog/5-cool-canadian-healthcare-inventions/" TargetMode="External"/><Relationship Id="rId139" Type="http://schemas.openxmlformats.org/officeDocument/2006/relationships/hyperlink" Target="https://www.toptut.com/2019/02/05/9-for-2019-9-items-to-help-to-hit-her-running-goals-in-2019/" TargetMode="External"/><Relationship Id="rId580" Type="http://schemas.openxmlformats.org/officeDocument/2006/relationships/hyperlink" Target="http://thedishh.com" TargetMode="External"/><Relationship Id="rId581" Type="http://schemas.openxmlformats.org/officeDocument/2006/relationships/hyperlink" Target="https://thedishh.com/2019/06/14/how-to-use-cbd-for-arthritis/" TargetMode="External"/><Relationship Id="rId582" Type="http://schemas.openxmlformats.org/officeDocument/2006/relationships/hyperlink" Target="http://rushprnews.com" TargetMode="External"/><Relationship Id="rId583" Type="http://schemas.openxmlformats.org/officeDocument/2006/relationships/hyperlink" Target="https://www.rushprnews.com/2019/06/14/why-we-need-a-new-thc-police-field-test/" TargetMode="External"/><Relationship Id="rId584" Type="http://schemas.openxmlformats.org/officeDocument/2006/relationships/hyperlink" Target="http://harcourthealth.com/" TargetMode="External"/><Relationship Id="rId585" Type="http://schemas.openxmlformats.org/officeDocument/2006/relationships/hyperlink" Target="https://harcourthealth.com/the-promising-potential-of-cbd-oil/" TargetMode="External"/><Relationship Id="rId586" Type="http://schemas.openxmlformats.org/officeDocument/2006/relationships/hyperlink" Target="http://teethgrinder.co.uk" TargetMode="External"/><Relationship Id="rId587" Type="http://schemas.openxmlformats.org/officeDocument/2006/relationships/hyperlink" Target="https://www.teethgrinder.co.uk/how-cbd-helps-with-acne-treatment/" TargetMode="External"/><Relationship Id="rId588" Type="http://schemas.openxmlformats.org/officeDocument/2006/relationships/hyperlink" Target="http://articlerich.com" TargetMode="External"/><Relationship Id="rId589" Type="http://schemas.openxmlformats.org/officeDocument/2006/relationships/hyperlink" Target="https://www.articlerich.com/cbd-inflammation-it-actually-works/" TargetMode="External"/><Relationship Id="rId640" Type="http://schemas.openxmlformats.org/officeDocument/2006/relationships/hyperlink" Target="https://www.roboearth.org/5-medical-specialties-improved-by-smart-sensors/" TargetMode="External"/><Relationship Id="rId641" Type="http://schemas.openxmlformats.org/officeDocument/2006/relationships/hyperlink" Target="https://www.emphas.is/" TargetMode="External"/><Relationship Id="rId642" Type="http://schemas.openxmlformats.org/officeDocument/2006/relationships/hyperlink" Target="https://www.emphas.is/5-treatments-remote-patient-monitoring-rpm-is-revolutionizing-in-2019/" TargetMode="External"/><Relationship Id="rId643" Type="http://schemas.openxmlformats.org/officeDocument/2006/relationships/hyperlink" Target="https://www.briefmobile.com/" TargetMode="External"/><Relationship Id="rId644" Type="http://schemas.openxmlformats.org/officeDocument/2006/relationships/hyperlink" Target="https://www.briefmobile.com/5-medical-technologies-including-mobile-apps-to-pay-attention-to-in-2019/" TargetMode="External"/><Relationship Id="rId645" Type="http://schemas.openxmlformats.org/officeDocument/2006/relationships/hyperlink" Target="http://rushprnews.com" TargetMode="External"/><Relationship Id="rId646" Type="http://schemas.openxmlformats.org/officeDocument/2006/relationships/hyperlink" Target="https://www.rushprnews.com/2019/06/15/5-up-and-coming-medtech-startups-of-2019/" TargetMode="External"/><Relationship Id="rId647" Type="http://schemas.openxmlformats.org/officeDocument/2006/relationships/hyperlink" Target="http://rushprnews.com" TargetMode="External"/><Relationship Id="rId648" Type="http://schemas.openxmlformats.org/officeDocument/2006/relationships/hyperlink" Target="https://www.rushprnews.com/2019/06/15/5-gifts-every-morning-person-will-simply-love/" TargetMode="External"/><Relationship Id="rId649" Type="http://schemas.openxmlformats.org/officeDocument/2006/relationships/hyperlink" Target="http://rushprnews.com" TargetMode="External"/><Relationship Id="rId360" Type="http://schemas.openxmlformats.org/officeDocument/2006/relationships/hyperlink" Target="https://small-bizsense.com/rare-conditions-can-be-managed-using-telehealth-solutions/" TargetMode="External"/><Relationship Id="rId361" Type="http://schemas.openxmlformats.org/officeDocument/2006/relationships/hyperlink" Target="http://baltimorepostexaminer.com/" TargetMode="External"/><Relationship Id="rId362" Type="http://schemas.openxmlformats.org/officeDocument/2006/relationships/hyperlink" Target="https://baltimorepostexaminer.com/6-health-reasons-why-you-should-eat-more-salmon/2019/04/26" TargetMode="External"/><Relationship Id="rId363" Type="http://schemas.openxmlformats.org/officeDocument/2006/relationships/hyperlink" Target="https://www.cleanweb.co/2019/04/26/what-exactly-is-data-driven-marketing/" TargetMode="External"/><Relationship Id="rId364" Type="http://schemas.openxmlformats.org/officeDocument/2006/relationships/hyperlink" Target="https://www.serversfree.com/5-actionable-tips-to-a-data-driven-content-marketing-strategy/" TargetMode="External"/><Relationship Id="rId365" Type="http://schemas.openxmlformats.org/officeDocument/2006/relationships/hyperlink" Target="https://www.newszii.com/Articles/eco-friendly-a-better-person" TargetMode="External"/><Relationship Id="rId366" Type="http://schemas.openxmlformats.org/officeDocument/2006/relationships/hyperlink" Target="https://loreleiweb.com/" TargetMode="External"/><Relationship Id="rId367" Type="http://schemas.openxmlformats.org/officeDocument/2006/relationships/hyperlink" Target="https://loreleiweb.com/the-evolution-of-ada-compliance-and-what-it-means-in-the-digital-age/" TargetMode="External"/><Relationship Id="rId368" Type="http://schemas.openxmlformats.org/officeDocument/2006/relationships/hyperlink" Target="http://loreleiwebdesign.com" TargetMode="External"/><Relationship Id="rId369" Type="http://schemas.openxmlformats.org/officeDocument/2006/relationships/hyperlink" Target="https://loreleiwebdesign.com/2019/04/29/6-things-you-didnt-know-about-mobile-app-marketing-in-2019/" TargetMode="External"/><Relationship Id="rId420" Type="http://schemas.openxmlformats.org/officeDocument/2006/relationships/hyperlink" Target="https://www.tastefulspace.com/blog/2019/05/19/five-things-to-do-to-become-more-eco-friendly/" TargetMode="External"/><Relationship Id="rId421" Type="http://schemas.openxmlformats.org/officeDocument/2006/relationships/hyperlink" Target="https://docs.google.com/document/d/15vbVs1Hu_bjAECWb7kjwYSL9Iqvi6IzBRUEeI8lnJY4/edit" TargetMode="External"/><Relationship Id="rId422" Type="http://schemas.openxmlformats.org/officeDocument/2006/relationships/hyperlink" Target="https://entreb.com/top-modern-home-products-this-year/" TargetMode="External"/><Relationship Id="rId423" Type="http://schemas.openxmlformats.org/officeDocument/2006/relationships/hyperlink" Target="https://www.easyworknet.com/technology/hitrust-quick-overview-healthcares-top-security-framework/" TargetMode="External"/><Relationship Id="rId424" Type="http://schemas.openxmlformats.org/officeDocument/2006/relationships/hyperlink" Target="https://healthyvoyager.com/my-favorite-camping-gear-for-2019/" TargetMode="External"/><Relationship Id="rId425" Type="http://schemas.openxmlformats.org/officeDocument/2006/relationships/hyperlink" Target="https://www.oneworldherald.com/2019/05/20/scientists-recommend-these-7-ways-to-increase-your-daily-water-intake-capacity/" TargetMode="External"/><Relationship Id="rId426" Type="http://schemas.openxmlformats.org/officeDocument/2006/relationships/hyperlink" Target="https://oneworldherald.com/2019/05/20/global-research-reveals-8-reasons-to-take-astaxanthin-everyday/" TargetMode="External"/><Relationship Id="rId427" Type="http://schemas.openxmlformats.org/officeDocument/2006/relationships/hyperlink" Target="https://www.bigtimedaily.com/report-shows-disney-dethrones-apple-as-the-most-intimate-brand-in-the-world/" TargetMode="External"/><Relationship Id="rId428" Type="http://schemas.openxmlformats.org/officeDocument/2006/relationships/hyperlink" Target="https://www.seekerstime.com/report-shows-what-type-of-gifts-mothers-want-for-mothers-day/" TargetMode="External"/><Relationship Id="rId429" Type="http://schemas.openxmlformats.org/officeDocument/2006/relationships/hyperlink" Target="https://thedishh.com/2019/05/20/8-amazing-graduation-gifts/" TargetMode="External"/><Relationship Id="rId140" Type="http://schemas.openxmlformats.org/officeDocument/2006/relationships/hyperlink" Target="https://thealmostdone.com/2019/02/06/6-alexa-skills-you-should-know-about-in-2019/" TargetMode="External"/><Relationship Id="rId141" Type="http://schemas.openxmlformats.org/officeDocument/2006/relationships/hyperlink" Target="http://newswire.net" TargetMode="External"/><Relationship Id="rId142" Type="http://schemas.openxmlformats.org/officeDocument/2006/relationships/hyperlink" Target="https://newswire.net/newsroom/blog-post/00107532-10-000-businesses-get-sued-over-website-ada-compliance-every-year.html" TargetMode="External"/><Relationship Id="rId143" Type="http://schemas.openxmlformats.org/officeDocument/2006/relationships/hyperlink" Target="http://techmoran.com" TargetMode="External"/><Relationship Id="rId144" Type="http://schemas.openxmlformats.org/officeDocument/2006/relationships/hyperlink" Target="https://techmoran.com/2019/02/06/5-eco-friendly-water-bottles-to-help-you-do-more-and-be-better/" TargetMode="External"/><Relationship Id="rId145" Type="http://schemas.openxmlformats.org/officeDocument/2006/relationships/hyperlink" Target="http://thenextscoop.com" TargetMode="External"/><Relationship Id="rId146" Type="http://schemas.openxmlformats.org/officeDocument/2006/relationships/hyperlink" Target="https://thenextscoop.com/social-media-practices-startups/" TargetMode="External"/><Relationship Id="rId147" Type="http://schemas.openxmlformats.org/officeDocument/2006/relationships/hyperlink" Target="https://docs.google.com/document/d/1t47Od3T2zvPTvwI6e83iEYCX2Li4tc8h9x9LgXGzB4E/edit" TargetMode="External"/><Relationship Id="rId148" Type="http://schemas.openxmlformats.org/officeDocument/2006/relationships/hyperlink" Target="https://technicalustad.com/health-app-development-trends-to-watch-out/" TargetMode="External"/><Relationship Id="rId149" Type="http://schemas.openxmlformats.org/officeDocument/2006/relationships/hyperlink" Target="https://t2conline.com/10-valentines-day-gift-ideas-for-teachers/" TargetMode="External"/><Relationship Id="rId590" Type="http://schemas.openxmlformats.org/officeDocument/2006/relationships/hyperlink" Target="http://ribbon.co" TargetMode="External"/><Relationship Id="rId591" Type="http://schemas.openxmlformats.org/officeDocument/2006/relationships/hyperlink" Target="https://ribbon.co/5-cbd-oil-adverse-risks-you-should-know-about/" TargetMode="External"/><Relationship Id="rId592" Type="http://schemas.openxmlformats.org/officeDocument/2006/relationships/hyperlink" Target="http://lincolnlabs.com" TargetMode="External"/><Relationship Id="rId593" Type="http://schemas.openxmlformats.org/officeDocument/2006/relationships/hyperlink" Target="https://lincolnlabs.com/can-cbd-help-with-pain-reduction/" TargetMode="External"/><Relationship Id="rId200" Type="http://schemas.openxmlformats.org/officeDocument/2006/relationships/hyperlink" Target="https://skopemag.com/" TargetMode="External"/><Relationship Id="rId201" Type="http://schemas.openxmlformats.org/officeDocument/2006/relationships/hyperlink" Target="https://skopemag.com/2019/02/18/7-ways-music-can-serve-as-medicine" TargetMode="External"/><Relationship Id="rId202" Type="http://schemas.openxmlformats.org/officeDocument/2006/relationships/hyperlink" Target="https://www.smartdatacollective.com" TargetMode="External"/><Relationship Id="rId203" Type="http://schemas.openxmlformats.org/officeDocument/2006/relationships/hyperlink" Target="https://www.smartdatacollective.com/how-artificial-intelligence-is-revolutionizing-healthcare-sector-in-2019/" TargetMode="External"/><Relationship Id="rId204" Type="http://schemas.openxmlformats.org/officeDocument/2006/relationships/hyperlink" Target="http://socialmediaimpact.com/" TargetMode="External"/><Relationship Id="rId205" Type="http://schemas.openxmlformats.org/officeDocument/2006/relationships/hyperlink" Target="http://www.socialmediaimpact.com/how-to-use-social-media-to-get-downloads-for-your-app/" TargetMode="External"/><Relationship Id="rId206" Type="http://schemas.openxmlformats.org/officeDocument/2006/relationships/hyperlink" Target="http://uschnews.com/what-organizations-in-us-and-china-should-do-now-to-prevent-further-hacker-attacks/" TargetMode="External"/><Relationship Id="rId207" Type="http://schemas.openxmlformats.org/officeDocument/2006/relationships/hyperlink" Target="https://wellbeing-support.com/astaxanthin-natures-most-powerful-antioxidant/" TargetMode="External"/><Relationship Id="rId208" Type="http://schemas.openxmlformats.org/officeDocument/2006/relationships/hyperlink" Target="http://good-after.com/why-every-development-company-in-the-healthcare-field-should-become-hitrust-certified/" TargetMode="External"/><Relationship Id="rId209" Type="http://schemas.openxmlformats.org/officeDocument/2006/relationships/hyperlink" Target="http://www.kenyear.com/the-most-popular-telemedicine-apps-in-the-world-today/" TargetMode="External"/><Relationship Id="rId594" Type="http://schemas.openxmlformats.org/officeDocument/2006/relationships/hyperlink" Target="http://womensconference.org" TargetMode="External"/><Relationship Id="rId595" Type="http://schemas.openxmlformats.org/officeDocument/2006/relationships/hyperlink" Target="https://www.womensconference.org/cbd-and-cancer-patients-does-it-work/" TargetMode="External"/><Relationship Id="rId596" Type="http://schemas.openxmlformats.org/officeDocument/2006/relationships/hyperlink" Target="https://www.onebyfourstudio.com/" TargetMode="External"/><Relationship Id="rId597" Type="http://schemas.openxmlformats.org/officeDocument/2006/relationships/hyperlink" Target="https://www.onebyfourstudio.com/2019/06/cbd-and-dogs-how-to-do-it-safely/" TargetMode="External"/><Relationship Id="rId598" Type="http://schemas.openxmlformats.org/officeDocument/2006/relationships/hyperlink" Target="http://sli.mg" TargetMode="External"/><Relationship Id="rId599" Type="http://schemas.openxmlformats.org/officeDocument/2006/relationships/hyperlink" Target="https://sli.mg/10-industries-disrupted-by-cbd-oil/" TargetMode="External"/><Relationship Id="rId650" Type="http://schemas.openxmlformats.org/officeDocument/2006/relationships/hyperlink" Target="https://www.rushprnews.com/2019/06/15/5-alexa-skills-every-business-should-invest-in/" TargetMode="External"/><Relationship Id="rId651" Type="http://schemas.openxmlformats.org/officeDocument/2006/relationships/hyperlink" Target="http://lmcordoba.com.ar" TargetMode="External"/><Relationship Id="rId652" Type="http://schemas.openxmlformats.org/officeDocument/2006/relationships/hyperlink" Target="https://www.lmcordoba.com.ar/blog/gift-ideas-for-the-newly-engaged/" TargetMode="External"/><Relationship Id="rId653" Type="http://schemas.openxmlformats.org/officeDocument/2006/relationships/hyperlink" Target="http://lmcordoba.com.ar" TargetMode="External"/><Relationship Id="rId654" Type="http://schemas.openxmlformats.org/officeDocument/2006/relationships/hyperlink" Target="https://www.lmcordoba.com.ar/news/10-uses-for-artificial-intelligence-in-pharma-beyond-drug-discovery/" TargetMode="External"/><Relationship Id="rId655" Type="http://schemas.openxmlformats.org/officeDocument/2006/relationships/hyperlink" Target="http://cocoandcreme.com/7-coffee-brands-i-really-love/" TargetMode="External"/><Relationship Id="rId656" Type="http://schemas.openxmlformats.org/officeDocument/2006/relationships/hyperlink" Target="https://hapakenya.com/info/10-tips-to-live-a-healthier-lifestyle-that-are-actually-doable/" TargetMode="External"/><Relationship Id="rId657" Type="http://schemas.openxmlformats.org/officeDocument/2006/relationships/hyperlink" Target="http://80millionmoviesfree.com/5-romantic-gifts-for-women/" TargetMode="External"/><Relationship Id="rId658" Type="http://schemas.openxmlformats.org/officeDocument/2006/relationships/hyperlink" Target="http://cocoandcreme.com/9-bike-accessories-on-a-budget/" TargetMode="External"/><Relationship Id="rId659" Type="http://schemas.openxmlformats.org/officeDocument/2006/relationships/hyperlink" Target="http://tgdaily.com" TargetMode="External"/><Relationship Id="rId370" Type="http://schemas.openxmlformats.org/officeDocument/2006/relationships/hyperlink" Target="http://loreleiweb.com" TargetMode="External"/><Relationship Id="rId371" Type="http://schemas.openxmlformats.org/officeDocument/2006/relationships/hyperlink" Target="https://www.toptut.com/2019/04/29/amazing-marketing-strategies-to-grow-your-b2b-businesses-in-2019/" TargetMode="External"/><Relationship Id="rId372" Type="http://schemas.openxmlformats.org/officeDocument/2006/relationships/hyperlink" Target="https://www.topdreamer.com/5-ways-i-stay-in-shape-while-working-out-at-home/" TargetMode="External"/><Relationship Id="rId373" Type="http://schemas.openxmlformats.org/officeDocument/2006/relationships/hyperlink" Target="http://ultimate-tech-news.com" TargetMode="External"/><Relationship Id="rId374" Type="http://schemas.openxmlformats.org/officeDocument/2006/relationships/hyperlink" Target="https://www.ultimate-tech-news.com/9-new-medical-technologies-doctors-should-be-aware-of-in-2019/" TargetMode="External"/><Relationship Id="rId375" Type="http://schemas.openxmlformats.org/officeDocument/2006/relationships/hyperlink" Target="http://ultimate-tech-news.com" TargetMode="External"/><Relationship Id="rId376" Type="http://schemas.openxmlformats.org/officeDocument/2006/relationships/hyperlink" Target="https://www.ultimate-tech-news.com/6-strategies-to-market-your-mobile-app-after-launch/" TargetMode="External"/><Relationship Id="rId377" Type="http://schemas.openxmlformats.org/officeDocument/2006/relationships/hyperlink" Target="https://www.xavixstore.com/youve-built-a-mobile-app-then-what/" TargetMode="External"/><Relationship Id="rId378" Type="http://schemas.openxmlformats.org/officeDocument/2006/relationships/hyperlink" Target="https://www.techgyd.com/medical-device-software-future-of-healthcare/40461/" TargetMode="External"/><Relationship Id="rId379" Type="http://schemas.openxmlformats.org/officeDocument/2006/relationships/hyperlink" Target="https://spacecoastdaily.com/" TargetMode="External"/><Relationship Id="rId430" Type="http://schemas.openxmlformats.org/officeDocument/2006/relationships/hyperlink" Target="https://www.awe.sm/" TargetMode="External"/><Relationship Id="rId431" Type="http://schemas.openxmlformats.org/officeDocument/2006/relationships/hyperlink" Target="https://www.awe.sm/2019/05/20/15-statistics-that-prove-connected-health-is-the-next-big-thing-in-healthcare/" TargetMode="External"/><Relationship Id="rId432" Type="http://schemas.openxmlformats.org/officeDocument/2006/relationships/hyperlink" Target="https://axcessnews.com/" TargetMode="External"/><Relationship Id="rId433" Type="http://schemas.openxmlformats.org/officeDocument/2006/relationships/hyperlink" Target="https://axcessnews.com/national/health/5-new-applications-of-telemedicine-you-need-to-know-about_11152/" TargetMode="External"/><Relationship Id="rId434" Type="http://schemas.openxmlformats.org/officeDocument/2006/relationships/hyperlink" Target="https://www.techsite.io/p/1090734/t/when-working-super-hard-leads-to-success" TargetMode="External"/><Relationship Id="rId435" Type="http://schemas.openxmlformats.org/officeDocument/2006/relationships/hyperlink" Target="http://cascadebusnews.com/6-marketing-strategies-every-b2b-business-experiment-year/" TargetMode="External"/><Relationship Id="rId436" Type="http://schemas.openxmlformats.org/officeDocument/2006/relationships/hyperlink" Target="http://www.cascadeae.com/what-restaurant-owners-should-know-about-ada-compliance/" TargetMode="External"/><Relationship Id="rId437" Type="http://schemas.openxmlformats.org/officeDocument/2006/relationships/hyperlink" Target="http://cascadebusnews.com/5-ways-help-environment/" TargetMode="External"/><Relationship Id="rId438" Type="http://schemas.openxmlformats.org/officeDocument/2006/relationships/hyperlink" Target="http://www.cascadeae.com/5-things-to-take-to-the-gym-with-you/" TargetMode="External"/><Relationship Id="rId439" Type="http://schemas.openxmlformats.org/officeDocument/2006/relationships/hyperlink" Target="https://expressdigest.com/how-to-use-social-media-to-market-your-hotel/" TargetMode="External"/><Relationship Id="rId150" Type="http://schemas.openxmlformats.org/officeDocument/2006/relationships/hyperlink" Target="https://www.techinexpert.com/2019/02/07/what-is-digital-transformation-in-healthcare/" TargetMode="External"/><Relationship Id="rId151" Type="http://schemas.openxmlformats.org/officeDocument/2006/relationships/hyperlink" Target="https://augustafreepress.com/5-heart-monitors-every-person-over-50-should-consider-buying/" TargetMode="External"/><Relationship Id="rId152" Type="http://schemas.openxmlformats.org/officeDocument/2006/relationships/hyperlink" Target="https://augustafreepress.com/6-cool-things-every-lawyer-should-buy-for-their-office/" TargetMode="External"/><Relationship Id="rId153" Type="http://schemas.openxmlformats.org/officeDocument/2006/relationships/hyperlink" Target="https://augustafreepress.com/4-awesome-partnerships-abbvie-forged-last-year/" TargetMode="External"/><Relationship Id="rId154" Type="http://schemas.openxmlformats.org/officeDocument/2006/relationships/hyperlink" Target="https://augustafreepress.com/how-can-hospitals-deal-with-a-pr-crisis/" TargetMode="External"/><Relationship Id="rId155" Type="http://schemas.openxmlformats.org/officeDocument/2006/relationships/hyperlink" Target="https://augustafreepress.com/ten-awesome-companies-you-didnt-know-were-sued-for-ada-website-compliance/" TargetMode="External"/><Relationship Id="rId156" Type="http://schemas.openxmlformats.org/officeDocument/2006/relationships/hyperlink" Target="http://www.reliablecounter.com/blog/10-companies-that-give-just-as-much-as-they-sell/" TargetMode="External"/><Relationship Id="rId157" Type="http://schemas.openxmlformats.org/officeDocument/2006/relationships/hyperlink" Target="https://www.meetrv.com/how-to-camp-like-pro/" TargetMode="External"/><Relationship Id="rId158" Type="http://schemas.openxmlformats.org/officeDocument/2006/relationships/hyperlink" Target="https://ribbon.co/how-can-artificial-intelligence-help-pharma-in-2019/" TargetMode="External"/><Relationship Id="rId159" Type="http://schemas.openxmlformats.org/officeDocument/2006/relationships/hyperlink" Target="https://businesstimes.co.tz/four-free-strategies-to-market-your-app-in-2019/" TargetMode="External"/><Relationship Id="rId210" Type="http://schemas.openxmlformats.org/officeDocument/2006/relationships/hyperlink" Target="http://www.thenewsfix.com/10-benefits-of-telemedicine-for-both-healthcare-providers-and-their-patients/" TargetMode="External"/><Relationship Id="rId211" Type="http://schemas.openxmlformats.org/officeDocument/2006/relationships/hyperlink" Target="http://www.wearecontributors.com/5-steps-to-make-your-website-ada-compliant/" TargetMode="External"/><Relationship Id="rId212" Type="http://schemas.openxmlformats.org/officeDocument/2006/relationships/hyperlink" Target="http://www.whatsyourtagblog.com/healthcare-trends-that-will-change-the-healthcare-industry-in-2019/" TargetMode="External"/><Relationship Id="rId213" Type="http://schemas.openxmlformats.org/officeDocument/2006/relationships/hyperlink" Target="http://livinginthisseason.com/5-hipaa-compliance-questions-every-it-vendor-must-answer/" TargetMode="External"/><Relationship Id="rId214" Type="http://schemas.openxmlformats.org/officeDocument/2006/relationships/hyperlink" Target="http://beaudermaskincare.com/10-reasons-to-take-astaxanthin/" TargetMode="External"/><Relationship Id="rId215" Type="http://schemas.openxmlformats.org/officeDocument/2006/relationships/hyperlink" Target="http://directlendingonline.com/4-social-media-tips-for-software-companies/" TargetMode="External"/><Relationship Id="rId216" Type="http://schemas.openxmlformats.org/officeDocument/2006/relationships/hyperlink" Target="http://3rdworldentrepreneur.com/2019/02/23/why-america-should-legalize-pot/" TargetMode="External"/><Relationship Id="rId217" Type="http://schemas.openxmlformats.org/officeDocument/2006/relationships/hyperlink" Target="http://buyonlineregular.com/how-hitrust-helps-healthcare-orgs-prevent-cyber-attacks/" TargetMode="External"/><Relationship Id="rId218" Type="http://schemas.openxmlformats.org/officeDocument/2006/relationships/hyperlink" Target="http://incredit.me/american-congress-holds-hearing-on-access-to-banking-services-by-marijuana-companies/" TargetMode="External"/><Relationship Id="rId219" Type="http://schemas.openxmlformats.org/officeDocument/2006/relationships/hyperlink" Target="http://www.rocktownyouth.org/five-us-states-likely-to-legalize-marijuana-in-2019/" TargetMode="External"/><Relationship Id="rId660" Type="http://schemas.openxmlformats.org/officeDocument/2006/relationships/hyperlink" Target="https://www.tgdaily.com/technology/reviews/kool8-review/" TargetMode="External"/><Relationship Id="rId661" Type="http://schemas.openxmlformats.org/officeDocument/2006/relationships/hyperlink" Target="https://www.techmaish.com/8-b2b-marketing-techniques-to-experiment-with-this-year/" TargetMode="External"/><Relationship Id="rId380" Type="http://schemas.openxmlformats.org/officeDocument/2006/relationships/hyperlink" Target="http://spacecoastdaily.com/2019/04/tech-watch-six-things-to-do-after-you-launch-a-new-app/" TargetMode="External"/><Relationship Id="rId381" Type="http://schemas.openxmlformats.org/officeDocument/2006/relationships/hyperlink" Target="http://spacecoastdaily.com/2019/04/8-amazing-software-medical-devices-reshaping-the-healthcare-industry-in-2019/" TargetMode="External"/><Relationship Id="rId382" Type="http://schemas.openxmlformats.org/officeDocument/2006/relationships/hyperlink" Target="https://spacecoastdaily.com/2019/04/how-to-become-a-green-gym-enthusiast-in-five-simple-steps/" TargetMode="External"/><Relationship Id="rId383" Type="http://schemas.openxmlformats.org/officeDocument/2006/relationships/hyperlink" Target="http://feelitcool.com/9-gift-ideas-for-travelers/" TargetMode="External"/><Relationship Id="rId384" Type="http://schemas.openxmlformats.org/officeDocument/2006/relationships/hyperlink" Target="http://www.fantasticviewpoint.com/stainless-steel-bottles-to-keep-your-coffee-hot/" TargetMode="External"/><Relationship Id="rId385" Type="http://schemas.openxmlformats.org/officeDocument/2006/relationships/hyperlink" Target="https://virily.com/lifestyle/5-awesome-gifts-for-your-girlfriend-this-spring/" TargetMode="External"/><Relationship Id="rId386" Type="http://schemas.openxmlformats.org/officeDocument/2006/relationships/hyperlink" Target="https://techmoran.com/2019/05/04/11-most-innovative-health-apps-in-2019/" TargetMode="External"/><Relationship Id="rId387" Type="http://schemas.openxmlformats.org/officeDocument/2006/relationships/hyperlink" Target="https://www.bmmagazine.co.uk/business/7-groundbreaking-medical-devices-from-ces-2019/" TargetMode="External"/><Relationship Id="rId388" Type="http://schemas.openxmlformats.org/officeDocument/2006/relationships/hyperlink" Target="https://www.teethgrinder.co.uk/11-examples-of-how-voice-technology-is-taking-over-healthcare/" TargetMode="External"/><Relationship Id="rId389" Type="http://schemas.openxmlformats.org/officeDocument/2006/relationships/hyperlink" Target="https://www.awe.sm/2019/05/05/5-marketing-trends-that-help-with-brand-awareness/" TargetMode="External"/><Relationship Id="rId440" Type="http://schemas.openxmlformats.org/officeDocument/2006/relationships/hyperlink" Target="https://expressdigest.com/7-tips-to-skip-meals-while-traveling-in-europe/" TargetMode="External"/><Relationship Id="rId441" Type="http://schemas.openxmlformats.org/officeDocument/2006/relationships/hyperlink" Target="https://blogwritr.com/seven-things-i-carry-with-me-in-my-pilates-bag/" TargetMode="External"/><Relationship Id="rId442" Type="http://schemas.openxmlformats.org/officeDocument/2006/relationships/hyperlink" Target="https://blogwritr.com/how-hard-is-it-to-build-a-mobile-app/" TargetMode="External"/><Relationship Id="rId443" Type="http://schemas.openxmlformats.org/officeDocument/2006/relationships/hyperlink" Target="https://t2conline.com/great-hotel-rooftops-in-the-us-with-a-view/" TargetMode="External"/><Relationship Id="rId444" Type="http://schemas.openxmlformats.org/officeDocument/2006/relationships/hyperlink" Target="https://www.mindstick.com/Blog/53517/why-every-development-company-should-become-hitrust-certified-today" TargetMode="External"/><Relationship Id="rId445" Type="http://schemas.openxmlformats.org/officeDocument/2006/relationships/hyperlink" Target="https://www.healthcareinsides.com/bpa-free-water-bottles/" TargetMode="External"/><Relationship Id="rId446" Type="http://schemas.openxmlformats.org/officeDocument/2006/relationships/hyperlink" Target="https://bestoftheyear.in/10-things-you-need-for-a-fabulous-bollywood-movie-marathon-night/" TargetMode="External"/><Relationship Id="rId447" Type="http://schemas.openxmlformats.org/officeDocument/2006/relationships/hyperlink" Target="https://www.atebits.com/what-to-bring-with-you-to-the-beach/" TargetMode="External"/><Relationship Id="rId448" Type="http://schemas.openxmlformats.org/officeDocument/2006/relationships/hyperlink" Target="https://www.insidecatholic.com/2019/05/26/five-things-to-do-to-become-more-eco-friendly/" TargetMode="External"/><Relationship Id="rId449" Type="http://schemas.openxmlformats.org/officeDocument/2006/relationships/hyperlink" Target="https://www.xomba.com/best-water-bottle/" TargetMode="External"/><Relationship Id="rId500" Type="http://schemas.openxmlformats.org/officeDocument/2006/relationships/hyperlink" Target="http://www.whatispsychology.biz/5-healthy-foods-you-should-eat-if-you-have-depression-117" TargetMode="External"/><Relationship Id="rId501" Type="http://schemas.openxmlformats.org/officeDocument/2006/relationships/hyperlink" Target="http://www.flurl.com/lifestyle/5-really-cool-gifts-for-women-you-should-consider-buying-this-summer/" TargetMode="External"/><Relationship Id="rId502" Type="http://schemas.openxmlformats.org/officeDocument/2006/relationships/hyperlink" Target="https://smthemes.com/blog/5-design-tips-for-healthcare-organizations/" TargetMode="External"/><Relationship Id="rId10" Type="http://schemas.openxmlformats.org/officeDocument/2006/relationships/hyperlink" Target="http://amolife.com/" TargetMode="External"/><Relationship Id="rId11" Type="http://schemas.openxmlformats.org/officeDocument/2006/relationships/hyperlink" Target="http://amolife.com/healthy-life/telemedicine-all-you-should-know-about-this-new-exciting-techn.html" TargetMode="External"/><Relationship Id="rId12" Type="http://schemas.openxmlformats.org/officeDocument/2006/relationships/hyperlink" Target="http://globallearning.world.edu/2018/12/23/healthcare-startups-israeli-startup-debuts-astaxanthin-from-yeast" TargetMode="External"/><Relationship Id="rId13" Type="http://schemas.openxmlformats.org/officeDocument/2006/relationships/hyperlink" Target="https://www.worthview.com/category/business/" TargetMode="External"/><Relationship Id="rId14" Type="http://schemas.openxmlformats.org/officeDocument/2006/relationships/hyperlink" Target="https://www.worthview.com/5-things-doctors-know-importance-online-reputation/" TargetMode="External"/><Relationship Id="rId15" Type="http://schemas.openxmlformats.org/officeDocument/2006/relationships/hyperlink" Target="http://timesofstartups.com" TargetMode="External"/><Relationship Id="rId16" Type="http://schemas.openxmlformats.org/officeDocument/2006/relationships/hyperlink" Target="https://timesofstartups.com/interview/codrin-arsene-digital-authority-healthcare-weekly-founder-interview/" TargetMode="External"/><Relationship Id="rId17" Type="http://schemas.openxmlformats.org/officeDocument/2006/relationships/hyperlink" Target="https://d-addicts.com/why-every-hospital-should-be-excited-about-telemedicine-technologies/2018/" TargetMode="External"/><Relationship Id="rId18" Type="http://schemas.openxmlformats.org/officeDocument/2006/relationships/hyperlink" Target="https://topgoldforum.com/articles/seo/9-seo-tips-for-banks-financial-institutions-r71/" TargetMode="External"/><Relationship Id="rId19" Type="http://schemas.openxmlformats.org/officeDocument/2006/relationships/hyperlink" Target="http://e-papyrus.com/astaxanthin-natural-ingredient-gives-hope-to-alzheimers-patients/" TargetMode="External"/><Relationship Id="rId503" Type="http://schemas.openxmlformats.org/officeDocument/2006/relationships/hyperlink" Target="https://www.dailynewsen.com/breaking/american-coffee-shop-closes-after-3rd-ada-lawsuit-h11811.html" TargetMode="External"/><Relationship Id="rId504" Type="http://schemas.openxmlformats.org/officeDocument/2006/relationships/hyperlink" Target="https://www.dailynewsen.com/life-style/15-fun-and-unique-gift-ideas-for-boys-h11812.html" TargetMode="External"/><Relationship Id="rId505" Type="http://schemas.openxmlformats.org/officeDocument/2006/relationships/hyperlink" Target="https://www.dailynewsen.com/health/why-do-adults-take-multivitamins-h11813.html" TargetMode="External"/><Relationship Id="rId506" Type="http://schemas.openxmlformats.org/officeDocument/2006/relationships/hyperlink" Target="http://tiendagourmet.co/6-sleek-presents-for-your-birthday" TargetMode="External"/><Relationship Id="rId507" Type="http://schemas.openxmlformats.org/officeDocument/2006/relationships/hyperlink" Target="http://tiendagourmet.co/10-reasons-why-multivitamins-are-great-for-your-child" TargetMode="External"/><Relationship Id="rId508" Type="http://schemas.openxmlformats.org/officeDocument/2006/relationships/hyperlink" Target="http://tiendagourmet.co/every-hotel-owner-needs-to-make-their-website-ada-compliant-heres-why" TargetMode="External"/><Relationship Id="rId509" Type="http://schemas.openxmlformats.org/officeDocument/2006/relationships/hyperlink" Target="https://www.fxtribune.com/travel/5-eco-friendly-and-affordable-things-i-always-carry-with-me-while-travelling-h603754.html" TargetMode="External"/><Relationship Id="rId160" Type="http://schemas.openxmlformats.org/officeDocument/2006/relationships/hyperlink" Target="https://realwealthbusiness.com/how-ecommerce-companies-use-analytics-to-convert-customers-online/" TargetMode="External"/><Relationship Id="rId161" Type="http://schemas.openxmlformats.org/officeDocument/2006/relationships/hyperlink" Target="http://vermontrepublic.org/" TargetMode="External"/><Relationship Id="rId162" Type="http://schemas.openxmlformats.org/officeDocument/2006/relationships/hyperlink" Target="http://vermontrepublic.org/website-ada-compliance-a-beginners-guide/" TargetMode="External"/><Relationship Id="rId163" Type="http://schemas.openxmlformats.org/officeDocument/2006/relationships/hyperlink" Target="http://icharts.net" TargetMode="External"/><Relationship Id="rId164" Type="http://schemas.openxmlformats.org/officeDocument/2006/relationships/hyperlink" Target="https://icharts.net/ada-compliance/" TargetMode="External"/><Relationship Id="rId165" Type="http://schemas.openxmlformats.org/officeDocument/2006/relationships/hyperlink" Target="https://socialnomics.net/2019/02/10/10-health-tech-companies-to-watch-in-2019/" TargetMode="External"/><Relationship Id="rId166" Type="http://schemas.openxmlformats.org/officeDocument/2006/relationships/hyperlink" Target="https://brandfuge.com/" TargetMode="External"/><Relationship Id="rId167" Type="http://schemas.openxmlformats.org/officeDocument/2006/relationships/hyperlink" Target="https://brandfuge.com/4-reasons-why-executives-should-pay-attention-to-web-analytics/" TargetMode="External"/><Relationship Id="rId168" Type="http://schemas.openxmlformats.org/officeDocument/2006/relationships/hyperlink" Target="http://tellmehow.co" TargetMode="External"/><Relationship Id="rId169" Type="http://schemas.openxmlformats.org/officeDocument/2006/relationships/hyperlink" Target="https://butterflylabs.com/6-important-advances-in-stem-cell-research/" TargetMode="External"/><Relationship Id="rId220" Type="http://schemas.openxmlformats.org/officeDocument/2006/relationships/hyperlink" Target="http://www.doffitt.com" TargetMode="External"/><Relationship Id="rId221" Type="http://schemas.openxmlformats.org/officeDocument/2006/relationships/hyperlink" Target="https://www.doffitt.com/five-types-patients-need-telemedicine-services/" TargetMode="External"/><Relationship Id="rId222" Type="http://schemas.openxmlformats.org/officeDocument/2006/relationships/hyperlink" Target="https://sguru.org/reasons-why-healthcare-executives-should-pay-attention-to-web-analytics/" TargetMode="External"/><Relationship Id="rId223" Type="http://schemas.openxmlformats.org/officeDocument/2006/relationships/hyperlink" Target="https://negosentro.com/what-you-must-watch-out-for-before-launching-your-medical-start-up/" TargetMode="External"/><Relationship Id="rId224" Type="http://schemas.openxmlformats.org/officeDocument/2006/relationships/hyperlink" Target="https://negosentro.com/how-to-improve-your-mobile-app-with-analytics/" TargetMode="External"/><Relationship Id="rId225" Type="http://schemas.openxmlformats.org/officeDocument/2006/relationships/hyperlink" Target="https://www.foodfindsasia.com/5-amazing-telemedicine-apps-on-the-market-today/" TargetMode="External"/><Relationship Id="rId226" Type="http://schemas.openxmlformats.org/officeDocument/2006/relationships/hyperlink" Target="https://www.executivechronicles.com/heart-disease-factors-contributing-rise-combat-factors/" TargetMode="External"/><Relationship Id="rId227" Type="http://schemas.openxmlformats.org/officeDocument/2006/relationships/hyperlink" Target="https://www.healthylifecentar.com/effects-of-anxiety-on-heart-disease/" TargetMode="External"/><Relationship Id="rId228" Type="http://schemas.openxmlformats.org/officeDocument/2006/relationships/hyperlink" Target="https://cupertinotimes.com/4-use-cases-blockchain-healthcare/" TargetMode="External"/><Relationship Id="rId229" Type="http://schemas.openxmlformats.org/officeDocument/2006/relationships/hyperlink" Target="https://www.unigamesity.com/virtual-reality-and-the-future-of-gaming/" TargetMode="External"/><Relationship Id="rId390" Type="http://schemas.openxmlformats.org/officeDocument/2006/relationships/hyperlink" Target="https://sourcefed.com/tips-for-a-perfectly-optimized-landing-page/" TargetMode="External"/><Relationship Id="rId391" Type="http://schemas.openxmlformats.org/officeDocument/2006/relationships/hyperlink" Target="https://www.womenfitnessmag.com/a-simple-workout-schedule-for-stay-at-home-moms/" TargetMode="External"/><Relationship Id="rId392" Type="http://schemas.openxmlformats.org/officeDocument/2006/relationships/hyperlink" Target="http://fashionsy.com/modern-gifts-for-every-budget/" TargetMode="External"/><Relationship Id="rId393" Type="http://schemas.openxmlformats.org/officeDocument/2006/relationships/hyperlink" Target="http://redcupagency.com" TargetMode="External"/><Relationship Id="rId394" Type="http://schemas.openxmlformats.org/officeDocument/2006/relationships/hyperlink" Target="https://redcupagency.com/5-reasons-why-i-started-a-business-podcast/" TargetMode="External"/><Relationship Id="rId395" Type="http://schemas.openxmlformats.org/officeDocument/2006/relationships/hyperlink" Target="https://www.igeekphone.com/a-look-at-fitbit-selecting-the-best-and-brightest-wearable-device/" TargetMode="External"/><Relationship Id="rId396" Type="http://schemas.openxmlformats.org/officeDocument/2006/relationships/hyperlink" Target="https://metrosaga.com/why-telehealth-technologies-continue-to-become-more-and-more-popular/" TargetMode="External"/><Relationship Id="rId397" Type="http://schemas.openxmlformats.org/officeDocument/2006/relationships/hyperlink" Target="https://www.besttechie.com/why-alexa-for-business-is-the-future-of-workplace-productivity/" TargetMode="External"/><Relationship Id="rId398" Type="http://schemas.openxmlformats.org/officeDocument/2006/relationships/hyperlink" Target="http://www.fashiondivadesign.com/ten-unique-gifts-for-friends-this-spring/" TargetMode="External"/><Relationship Id="rId399" Type="http://schemas.openxmlformats.org/officeDocument/2006/relationships/hyperlink" Target="http://www.divjot.co/five-things-i-have-in-my-work-from-home-office/" TargetMode="External"/><Relationship Id="rId450" Type="http://schemas.openxmlformats.org/officeDocument/2006/relationships/hyperlink" Target="https://www.xomba.com/5-vitamins-to-take-to-live-a-longer-life/" TargetMode="External"/><Relationship Id="rId451" Type="http://schemas.openxmlformats.org/officeDocument/2006/relationships/hyperlink" Target="https://stopie.com/big-data-in-healthcare-how-it-works/" TargetMode="External"/><Relationship Id="rId452" Type="http://schemas.openxmlformats.org/officeDocument/2006/relationships/hyperlink" Target="http://www.isurfwebster.com/3-famous-companies-sued-over-website-ada-compliance/" TargetMode="External"/><Relationship Id="rId453" Type="http://schemas.openxmlformats.org/officeDocument/2006/relationships/hyperlink" Target="http://www.isurfwebster.com/should-parents-give-multivitamins-to-their-kids/" TargetMode="External"/><Relationship Id="rId454" Type="http://schemas.openxmlformats.org/officeDocument/2006/relationships/hyperlink" Target="https://openminds.swissre.com/stories/1542/" TargetMode="External"/><Relationship Id="rId455" Type="http://schemas.openxmlformats.org/officeDocument/2006/relationships/hyperlink" Target="https://www.explosion.com/130474/amazing-kids-gear-for-2019/" TargetMode="External"/><Relationship Id="rId456" Type="http://schemas.openxmlformats.org/officeDocument/2006/relationships/hyperlink" Target="https://www.explosion.com/130477/everything-you-need-to-know-about-multivitamins/" TargetMode="External"/><Relationship Id="rId457" Type="http://schemas.openxmlformats.org/officeDocument/2006/relationships/hyperlink" Target="http://girlsmagpk.com/2019/05/five-things-pack-concert-season/" TargetMode="External"/><Relationship Id="rId458" Type="http://schemas.openxmlformats.org/officeDocument/2006/relationships/hyperlink" Target="https://www.shiftfrequency.com/how-to-prepare-for-college/" TargetMode="External"/></Relationships>
</file>

<file path=xl/worksheets/_rels/sheet8.xml.rels><?xml version="1.0" encoding="UTF-8" standalone="yes"?>
<Relationships xmlns="http://schemas.openxmlformats.org/package/2006/relationships"><Relationship Id="rId10" Type="http://schemas.openxmlformats.org/officeDocument/2006/relationships/hyperlink" Target="http://www.business-opportunities.biz/" TargetMode="External"/><Relationship Id="rId11" Type="http://schemas.openxmlformats.org/officeDocument/2006/relationships/hyperlink" Target="http://t2conline.com" TargetMode="External"/><Relationship Id="rId12" Type="http://schemas.openxmlformats.org/officeDocument/2006/relationships/hyperlink" Target="https://icharts.net/" TargetMode="External"/><Relationship Id="rId13" Type="http://schemas.openxmlformats.org/officeDocument/2006/relationships/hyperlink" Target="https://www.jcount.com/" TargetMode="External"/><Relationship Id="rId14" Type="http://schemas.openxmlformats.org/officeDocument/2006/relationships/hyperlink" Target="http://blinkbits.com" TargetMode="External"/><Relationship Id="rId15" Type="http://schemas.openxmlformats.org/officeDocument/2006/relationships/hyperlink" Target="http://www.meldium.com" TargetMode="External"/><Relationship Id="rId16" Type="http://schemas.openxmlformats.org/officeDocument/2006/relationships/hyperlink" Target="http://designbeep.com" TargetMode="External"/><Relationship Id="rId17" Type="http://schemas.openxmlformats.org/officeDocument/2006/relationships/hyperlink" Target="http://baltimorepostexaminer.com/" TargetMode="External"/><Relationship Id="rId18" Type="http://schemas.openxmlformats.org/officeDocument/2006/relationships/hyperlink" Target="http://harcourthealth.com" TargetMode="External"/><Relationship Id="rId19" Type="http://schemas.openxmlformats.org/officeDocument/2006/relationships/hyperlink" Target="http://world.edu" TargetMode="External"/><Relationship Id="rId60" Type="http://schemas.openxmlformats.org/officeDocument/2006/relationships/hyperlink" Target="http://insidecatholic.com" TargetMode="External"/><Relationship Id="rId61" Type="http://schemas.openxmlformats.org/officeDocument/2006/relationships/hyperlink" Target="http://infobeat.com/" TargetMode="External"/><Relationship Id="rId62" Type="http://schemas.openxmlformats.org/officeDocument/2006/relationships/hyperlink" Target="https://www.independent.mk/" TargetMode="External"/><Relationship Id="rId63" Type="http://schemas.openxmlformats.org/officeDocument/2006/relationships/hyperlink" Target="https://revenuesandprofits.com/" TargetMode="External"/><Relationship Id="rId64" Type="http://schemas.openxmlformats.org/officeDocument/2006/relationships/hyperlink" Target="https://thestuffofsuccess.com/" TargetMode="External"/><Relationship Id="rId65" Type="http://schemas.openxmlformats.org/officeDocument/2006/relationships/hyperlink" Target="http://opptrends.com" TargetMode="External"/><Relationship Id="rId66" Type="http://schemas.openxmlformats.org/officeDocument/2006/relationships/hyperlink" Target="https://ribbon.co/" TargetMode="External"/><Relationship Id="rId67" Type="http://schemas.openxmlformats.org/officeDocument/2006/relationships/hyperlink" Target="http://embedds.com" TargetMode="External"/><Relationship Id="rId68" Type="http://schemas.openxmlformats.org/officeDocument/2006/relationships/hyperlink" Target="http://techmasai.com" TargetMode="External"/><Relationship Id="rId69" Type="http://schemas.openxmlformats.org/officeDocument/2006/relationships/hyperlink" Target="http://realwealthbusiness.com" TargetMode="External"/><Relationship Id="rId120" Type="http://schemas.openxmlformats.org/officeDocument/2006/relationships/hyperlink" Target="http://speedliting.com" TargetMode="External"/><Relationship Id="rId121" Type="http://schemas.openxmlformats.org/officeDocument/2006/relationships/hyperlink" Target="https://rumyittips.com/" TargetMode="External"/><Relationship Id="rId122" Type="http://schemas.openxmlformats.org/officeDocument/2006/relationships/hyperlink" Target="http://www.insectuniverse.com/" TargetMode="External"/><Relationship Id="rId123" Type="http://schemas.openxmlformats.org/officeDocument/2006/relationships/hyperlink" Target="http://homehealthcaresos.com" TargetMode="External"/><Relationship Id="rId124" Type="http://schemas.openxmlformats.org/officeDocument/2006/relationships/hyperlink" Target="http://good-after.com" TargetMode="External"/><Relationship Id="rId125" Type="http://schemas.openxmlformats.org/officeDocument/2006/relationships/hyperlink" Target="http://asksotiris.com" TargetMode="External"/><Relationship Id="rId126" Type="http://schemas.openxmlformats.org/officeDocument/2006/relationships/hyperlink" Target="http://international-issues.org" TargetMode="External"/><Relationship Id="rId127" Type="http://schemas.openxmlformats.org/officeDocument/2006/relationships/hyperlink" Target="http://bang-real.com/" TargetMode="External"/><Relationship Id="rId128" Type="http://schemas.openxmlformats.org/officeDocument/2006/relationships/hyperlink" Target="http://albanianjournalism.com" TargetMode="External"/><Relationship Id="rId129" Type="http://schemas.openxmlformats.org/officeDocument/2006/relationships/hyperlink" Target="http://www.thesilverbird.com" TargetMode="External"/><Relationship Id="rId40" Type="http://schemas.openxmlformats.org/officeDocument/2006/relationships/hyperlink" Target="https://uberant.com/" TargetMode="External"/><Relationship Id="rId41" Type="http://schemas.openxmlformats.org/officeDocument/2006/relationships/hyperlink" Target="https://www.tastefulspace.com/" TargetMode="External"/><Relationship Id="rId42" Type="http://schemas.openxmlformats.org/officeDocument/2006/relationships/hyperlink" Target="https://www.mobileappdaily.com/" TargetMode="External"/><Relationship Id="rId90" Type="http://schemas.openxmlformats.org/officeDocument/2006/relationships/hyperlink" Target="http://www.bakenstein.com/" TargetMode="External"/><Relationship Id="rId91" Type="http://schemas.openxmlformats.org/officeDocument/2006/relationships/hyperlink" Target="http://elenaonlineshop.net" TargetMode="External"/><Relationship Id="rId92" Type="http://schemas.openxmlformats.org/officeDocument/2006/relationships/hyperlink" Target="http://bloggerspath.com" TargetMode="External"/><Relationship Id="rId93" Type="http://schemas.openxmlformats.org/officeDocument/2006/relationships/hyperlink" Target="http://unigamesity.com" TargetMode="External"/><Relationship Id="rId94" Type="http://schemas.openxmlformats.org/officeDocument/2006/relationships/hyperlink" Target="http://safeandhealthylife.com" TargetMode="External"/><Relationship Id="rId95" Type="http://schemas.openxmlformats.org/officeDocument/2006/relationships/hyperlink" Target="http://mynewsfit.com" TargetMode="External"/><Relationship Id="rId96" Type="http://schemas.openxmlformats.org/officeDocument/2006/relationships/hyperlink" Target="http://hoangthangit.com/" TargetMode="External"/><Relationship Id="rId101" Type="http://schemas.openxmlformats.org/officeDocument/2006/relationships/hyperlink" Target="http://blogprocess.com/" TargetMode="External"/><Relationship Id="rId102" Type="http://schemas.openxmlformats.org/officeDocument/2006/relationships/hyperlink" Target="http://www.thenewsfix.com" TargetMode="External"/><Relationship Id="rId103" Type="http://schemas.openxmlformats.org/officeDocument/2006/relationships/hyperlink" Target="http://webseasoning.com" TargetMode="External"/><Relationship Id="rId104" Type="http://schemas.openxmlformats.org/officeDocument/2006/relationships/hyperlink" Target="http://mostinside.com" TargetMode="External"/><Relationship Id="rId105" Type="http://schemas.openxmlformats.org/officeDocument/2006/relationships/hyperlink" Target="http://managerbiz.com" TargetMode="External"/><Relationship Id="rId106" Type="http://schemas.openxmlformats.org/officeDocument/2006/relationships/hyperlink" Target="http://innewsweekly.com" TargetMode="External"/><Relationship Id="rId107" Type="http://schemas.openxmlformats.org/officeDocument/2006/relationships/hyperlink" Target="https://businesstimes.co.tz/" TargetMode="External"/><Relationship Id="rId108" Type="http://schemas.openxmlformats.org/officeDocument/2006/relationships/hyperlink" Target="https://beautyiswithin.net/" TargetMode="External"/><Relationship Id="rId109" Type="http://schemas.openxmlformats.org/officeDocument/2006/relationships/hyperlink" Target="http://vermontrepublic.org/" TargetMode="External"/><Relationship Id="rId97" Type="http://schemas.openxmlformats.org/officeDocument/2006/relationships/hyperlink" Target="http://techfeast.co" TargetMode="External"/><Relationship Id="rId98" Type="http://schemas.openxmlformats.org/officeDocument/2006/relationships/hyperlink" Target="http://livinginthisseason.com" TargetMode="External"/><Relationship Id="rId99" Type="http://schemas.openxmlformats.org/officeDocument/2006/relationships/hyperlink" Target="http://hoangthangit.com" TargetMode="External"/><Relationship Id="rId43" Type="http://schemas.openxmlformats.org/officeDocument/2006/relationships/hyperlink" Target="https://small-bizsense.com/" TargetMode="External"/><Relationship Id="rId44" Type="http://schemas.openxmlformats.org/officeDocument/2006/relationships/hyperlink" Target="http://www.worthview.com" TargetMode="External"/><Relationship Id="rId45" Type="http://schemas.openxmlformats.org/officeDocument/2006/relationships/hyperlink" Target="http://pureresiduals.com" TargetMode="External"/><Relationship Id="rId46" Type="http://schemas.openxmlformats.org/officeDocument/2006/relationships/hyperlink" Target="http://moneyforlunch.com" TargetMode="External"/><Relationship Id="rId47" Type="http://schemas.openxmlformats.org/officeDocument/2006/relationships/hyperlink" Target="http://dietoflife.com" TargetMode="External"/><Relationship Id="rId48" Type="http://schemas.openxmlformats.org/officeDocument/2006/relationships/hyperlink" Target="http://www.munplanet.com" TargetMode="External"/><Relationship Id="rId49" Type="http://schemas.openxmlformats.org/officeDocument/2006/relationships/hyperlink" Target="http://scienceprog.com" TargetMode="External"/><Relationship Id="rId100" Type="http://schemas.openxmlformats.org/officeDocument/2006/relationships/hyperlink" Target="http://bodyprojex.com" TargetMode="External"/><Relationship Id="rId20" Type="http://schemas.openxmlformats.org/officeDocument/2006/relationships/hyperlink" Target="http://format.com" TargetMode="External"/><Relationship Id="rId21" Type="http://schemas.openxmlformats.org/officeDocument/2006/relationships/hyperlink" Target="http://www.tapscape.com" TargetMode="External"/><Relationship Id="rId22" Type="http://schemas.openxmlformats.org/officeDocument/2006/relationships/hyperlink" Target="http://www.lapshock.com" TargetMode="External"/><Relationship Id="rId70" Type="http://schemas.openxmlformats.org/officeDocument/2006/relationships/hyperlink" Target="http://zipmeme.com" TargetMode="External"/><Relationship Id="rId71" Type="http://schemas.openxmlformats.org/officeDocument/2006/relationships/hyperlink" Target="http://whiteoutpress.com" TargetMode="External"/><Relationship Id="rId72" Type="http://schemas.openxmlformats.org/officeDocument/2006/relationships/hyperlink" Target="http://menaentrepreneur.org" TargetMode="External"/><Relationship Id="rId73" Type="http://schemas.openxmlformats.org/officeDocument/2006/relationships/hyperlink" Target="http://healthcarereformmagazine.com" TargetMode="External"/><Relationship Id="rId74" Type="http://schemas.openxmlformats.org/officeDocument/2006/relationships/hyperlink" Target="http://embedds.com" TargetMode="External"/><Relationship Id="rId75" Type="http://schemas.openxmlformats.org/officeDocument/2006/relationships/hyperlink" Target="http://www.wearecontributors.com" TargetMode="External"/><Relationship Id="rId76" Type="http://schemas.openxmlformats.org/officeDocument/2006/relationships/hyperlink" Target="http://topgoldforum.com" TargetMode="External"/><Relationship Id="rId77" Type="http://schemas.openxmlformats.org/officeDocument/2006/relationships/hyperlink" Target="http://technicalustad.com" TargetMode="External"/><Relationship Id="rId78" Type="http://schemas.openxmlformats.org/officeDocument/2006/relationships/hyperlink" Target="mailto:3dartistrawat@gmail.com" TargetMode="External"/><Relationship Id="rId79" Type="http://schemas.openxmlformats.org/officeDocument/2006/relationships/hyperlink" Target="http://soft2share.com/" TargetMode="External"/><Relationship Id="rId23" Type="http://schemas.openxmlformats.org/officeDocument/2006/relationships/hyperlink" Target="https://www.askthetrainer.com/" TargetMode="External"/><Relationship Id="rId24" Type="http://schemas.openxmlformats.org/officeDocument/2006/relationships/hyperlink" Target="https://brandfuge.com/" TargetMode="External"/><Relationship Id="rId25" Type="http://schemas.openxmlformats.org/officeDocument/2006/relationships/hyperlink" Target="http://blog.businesscasestudies.co.uk" TargetMode="External"/><Relationship Id="rId26" Type="http://schemas.openxmlformats.org/officeDocument/2006/relationships/hyperlink" Target="http://wellbeing-support.com" TargetMode="External"/><Relationship Id="rId27" Type="http://schemas.openxmlformats.org/officeDocument/2006/relationships/hyperlink" Target="https://myventurepad.com/" TargetMode="External"/><Relationship Id="rId28" Type="http://schemas.openxmlformats.org/officeDocument/2006/relationships/hyperlink" Target="http://falconhive.com" TargetMode="External"/><Relationship Id="rId29" Type="http://schemas.openxmlformats.org/officeDocument/2006/relationships/hyperlink" Target="http://axcessnews.com" TargetMode="External"/><Relationship Id="rId130" Type="http://schemas.openxmlformats.org/officeDocument/2006/relationships/hyperlink" Target="http://marketingwithmiles.com/" TargetMode="External"/><Relationship Id="rId131" Type="http://schemas.openxmlformats.org/officeDocument/2006/relationships/hyperlink" Target="http://industriat.com" TargetMode="External"/><Relationship Id="rId132" Type="http://schemas.openxmlformats.org/officeDocument/2006/relationships/hyperlink" Target="https://www.theglimpse.com/" TargetMode="External"/><Relationship Id="rId133" Type="http://schemas.openxmlformats.org/officeDocument/2006/relationships/hyperlink" Target="http://www.humanboundary.com/" TargetMode="External"/><Relationship Id="rId134" Type="http://schemas.openxmlformats.org/officeDocument/2006/relationships/hyperlink" Target="http://nictcampus.com/" TargetMode="External"/><Relationship Id="rId135" Type="http://schemas.openxmlformats.org/officeDocument/2006/relationships/hyperlink" Target="http://marketingspot.com" TargetMode="External"/><Relationship Id="rId136" Type="http://schemas.openxmlformats.org/officeDocument/2006/relationships/hyperlink" Target="http://marketingspot.com" TargetMode="External"/><Relationship Id="rId137" Type="http://schemas.openxmlformats.org/officeDocument/2006/relationships/hyperlink" Target="http://blogfolders.com/" TargetMode="External"/><Relationship Id="rId138" Type="http://schemas.openxmlformats.org/officeDocument/2006/relationships/hyperlink" Target="http://beatsmonsterfrance.com" TargetMode="External"/><Relationship Id="rId139" Type="http://schemas.openxmlformats.org/officeDocument/2006/relationships/hyperlink" Target="http://whatsyourtagblog.com" TargetMode="External"/><Relationship Id="rId1" Type="http://schemas.openxmlformats.org/officeDocument/2006/relationships/hyperlink" Target="http://www.theodysseyonline.com/" TargetMode="External"/><Relationship Id="rId2" Type="http://schemas.openxmlformats.org/officeDocument/2006/relationships/hyperlink" Target="http://webdesign.org" TargetMode="External"/><Relationship Id="rId3" Type="http://schemas.openxmlformats.org/officeDocument/2006/relationships/hyperlink" Target="http://sguru.org" TargetMode="External"/><Relationship Id="rId4" Type="http://schemas.openxmlformats.org/officeDocument/2006/relationships/hyperlink" Target="http://blog.ideafit.com/" TargetMode="External"/><Relationship Id="rId5" Type="http://schemas.openxmlformats.org/officeDocument/2006/relationships/hyperlink" Target="http://www.dezzain.com/" TargetMode="External"/><Relationship Id="rId6" Type="http://schemas.openxmlformats.org/officeDocument/2006/relationships/hyperlink" Target="https://socialmediaexplorer.com/" TargetMode="External"/><Relationship Id="rId7" Type="http://schemas.openxmlformats.org/officeDocument/2006/relationships/hyperlink" Target="https://pitchengine.com/" TargetMode="External"/><Relationship Id="rId8" Type="http://schemas.openxmlformats.org/officeDocument/2006/relationships/hyperlink" Target="http://www.equities.com" TargetMode="External"/><Relationship Id="rId9" Type="http://schemas.openxmlformats.org/officeDocument/2006/relationships/hyperlink" Target="http://bmmagazine.co.uk" TargetMode="External"/><Relationship Id="rId50" Type="http://schemas.openxmlformats.org/officeDocument/2006/relationships/hyperlink" Target="http://negosentro.com" TargetMode="External"/><Relationship Id="rId51" Type="http://schemas.openxmlformats.org/officeDocument/2006/relationships/hyperlink" Target="https://sli.mg/" TargetMode="External"/><Relationship Id="rId52" Type="http://schemas.openxmlformats.org/officeDocument/2006/relationships/hyperlink" Target="https://deliciouslysavvy.com/" TargetMode="External"/><Relationship Id="rId53" Type="http://schemas.openxmlformats.org/officeDocument/2006/relationships/hyperlink" Target="http://techpatio.com" TargetMode="External"/><Relationship Id="rId54" Type="http://schemas.openxmlformats.org/officeDocument/2006/relationships/hyperlink" Target="http://techicy.com" TargetMode="External"/><Relationship Id="rId55" Type="http://schemas.openxmlformats.org/officeDocument/2006/relationships/hyperlink" Target="https://thealmostdone.com/" TargetMode="External"/><Relationship Id="rId56" Type="http://schemas.openxmlformats.org/officeDocument/2006/relationships/hyperlink" Target="http://amolife.com/" TargetMode="External"/><Relationship Id="rId57" Type="http://schemas.openxmlformats.org/officeDocument/2006/relationships/hyperlink" Target="http://bestfatburner.biz/" TargetMode="External"/><Relationship Id="rId58" Type="http://schemas.openxmlformats.org/officeDocument/2006/relationships/hyperlink" Target="http://olaladirectory.com.au" TargetMode="External"/><Relationship Id="rId59" Type="http://schemas.openxmlformats.org/officeDocument/2006/relationships/hyperlink" Target="mailto:contributeic@gmail.com" TargetMode="External"/><Relationship Id="rId110" Type="http://schemas.openxmlformats.org/officeDocument/2006/relationships/hyperlink" Target="http://doffitt.com" TargetMode="External"/><Relationship Id="rId111" Type="http://schemas.openxmlformats.org/officeDocument/2006/relationships/hyperlink" Target="http://mediredvital.com" TargetMode="External"/><Relationship Id="rId112" Type="http://schemas.openxmlformats.org/officeDocument/2006/relationships/hyperlink" Target="http://kenyear.com" TargetMode="External"/><Relationship Id="rId113" Type="http://schemas.openxmlformats.org/officeDocument/2006/relationships/hyperlink" Target="http://www.diet2x.com/" TargetMode="External"/><Relationship Id="rId114" Type="http://schemas.openxmlformats.org/officeDocument/2006/relationships/hyperlink" Target="http://healthylifecentar.com" TargetMode="External"/><Relationship Id="rId115" Type="http://schemas.openxmlformats.org/officeDocument/2006/relationships/hyperlink" Target="http://memetics.com" TargetMode="External"/><Relationship Id="rId116" Type="http://schemas.openxmlformats.org/officeDocument/2006/relationships/hyperlink" Target="https://projectdiaspora.org/" TargetMode="External"/><Relationship Id="rId117" Type="http://schemas.openxmlformats.org/officeDocument/2006/relationships/hyperlink" Target="https://lincolnlabs.com/" TargetMode="External"/><Relationship Id="rId118" Type="http://schemas.openxmlformats.org/officeDocument/2006/relationships/hyperlink" Target="http://wwonline.net/" TargetMode="External"/><Relationship Id="rId119" Type="http://schemas.openxmlformats.org/officeDocument/2006/relationships/hyperlink" Target="http://dcresource.biz" TargetMode="External"/><Relationship Id="rId30" Type="http://schemas.openxmlformats.org/officeDocument/2006/relationships/hyperlink" Target="http://www.epubzone.org/" TargetMode="External"/><Relationship Id="rId31" Type="http://schemas.openxmlformats.org/officeDocument/2006/relationships/hyperlink" Target="http://itsguru.com" TargetMode="External"/><Relationship Id="rId32" Type="http://schemas.openxmlformats.org/officeDocument/2006/relationships/hyperlink" Target="https://www.womendailymagazine.com" TargetMode="External"/><Relationship Id="rId33" Type="http://schemas.openxmlformats.org/officeDocument/2006/relationships/hyperlink" Target="https://butterflylabs.com/" TargetMode="External"/><Relationship Id="rId34" Type="http://schemas.openxmlformats.org/officeDocument/2006/relationships/hyperlink" Target="http://medicalmingle.com/" TargetMode="External"/><Relationship Id="rId35" Type="http://schemas.openxmlformats.org/officeDocument/2006/relationships/hyperlink" Target="http://www.techgyd.com" TargetMode="External"/><Relationship Id="rId36" Type="http://schemas.openxmlformats.org/officeDocument/2006/relationships/hyperlink" Target="http://floridaindependent.com" TargetMode="External"/><Relationship Id="rId37" Type="http://schemas.openxmlformats.org/officeDocument/2006/relationships/hyperlink" Target="https://curiousmindmagazine.com/" TargetMode="External"/><Relationship Id="rId38" Type="http://schemas.openxmlformats.org/officeDocument/2006/relationships/hyperlink" Target="http://www.ukuncut.org.uk/" TargetMode="External"/><Relationship Id="rId39" Type="http://schemas.openxmlformats.org/officeDocument/2006/relationships/hyperlink" Target="http://justwebworld.com/" TargetMode="External"/><Relationship Id="rId80" Type="http://schemas.openxmlformats.org/officeDocument/2006/relationships/hyperlink" Target="http://techinexpert.com" TargetMode="External"/><Relationship Id="rId81" Type="http://schemas.openxmlformats.org/officeDocument/2006/relationships/hyperlink" Target="https://timesofstartups.com/" TargetMode="External"/><Relationship Id="rId82" Type="http://schemas.openxmlformats.org/officeDocument/2006/relationships/hyperlink" Target="https://shabbychicboho.com/" TargetMode="External"/><Relationship Id="rId83" Type="http://schemas.openxmlformats.org/officeDocument/2006/relationships/hyperlink" Target="https://5bestthings.com/" TargetMode="External"/><Relationship Id="rId84" Type="http://schemas.openxmlformats.org/officeDocument/2006/relationships/hyperlink" Target="http://e-papyrus.com" TargetMode="External"/><Relationship Id="rId85" Type="http://schemas.openxmlformats.org/officeDocument/2006/relationships/hyperlink" Target="https://www.newsforpublic.com/" TargetMode="External"/><Relationship Id="rId86" Type="http://schemas.openxmlformats.org/officeDocument/2006/relationships/hyperlink" Target="mailto:3dartistrawat@gmail.com" TargetMode="External"/><Relationship Id="rId87" Type="http://schemas.openxmlformats.org/officeDocument/2006/relationships/hyperlink" Target="http://tricksmode.com/" TargetMode="External"/><Relationship Id="rId88" Type="http://schemas.openxmlformats.org/officeDocument/2006/relationships/hyperlink" Target="https://onlinenewsbuzz.com/" TargetMode="External"/><Relationship Id="rId89" Type="http://schemas.openxmlformats.org/officeDocument/2006/relationships/hyperlink" Target="mailto:3dartistrawat@gmail.com" TargetMode="External"/><Relationship Id="rId140" Type="http://schemas.openxmlformats.org/officeDocument/2006/relationships/hyperlink" Target="https://www.asiaradiosales.com/" TargetMode="External"/><Relationship Id="rId141" Type="http://schemas.openxmlformats.org/officeDocument/2006/relationships/hyperlink" Target="http://foodfindsasia.com" TargetMode="External"/><Relationship Id="rId142" Type="http://schemas.openxmlformats.org/officeDocument/2006/relationships/hyperlink" Target="http://albarkka.com" TargetMode="External"/><Relationship Id="rId143" Type="http://schemas.openxmlformats.org/officeDocument/2006/relationships/hyperlink" Target="http://executivechronicles.com" TargetMode="External"/><Relationship Id="rId144" Type="http://schemas.openxmlformats.org/officeDocument/2006/relationships/hyperlink" Target="http://3rdworldentrepreneur.com" TargetMode="External"/><Relationship Id="rId145" Type="http://schemas.openxmlformats.org/officeDocument/2006/relationships/hyperlink" Target="http://uni5download.com" TargetMode="External"/><Relationship Id="rId146" Type="http://schemas.openxmlformats.org/officeDocument/2006/relationships/hyperlink" Target="http://kingwanatranslation.com" TargetMode="External"/><Relationship Id="rId147" Type="http://schemas.openxmlformats.org/officeDocument/2006/relationships/hyperlink" Target="http://incredit.me/" TargetMode="External"/><Relationship Id="rId148" Type="http://schemas.openxmlformats.org/officeDocument/2006/relationships/hyperlink" Target="http://directlendingonline.com" TargetMode="External"/><Relationship Id="rId149" Type="http://schemas.openxmlformats.org/officeDocument/2006/relationships/hyperlink" Target="http://theallmag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rketingspot.com/2019/03/the-one-it-marketing-strategy-you-should-be-focusing-on-in-2019/" TargetMode="External"/><Relationship Id="rId4" Type="http://schemas.openxmlformats.org/officeDocument/2006/relationships/hyperlink" Target="http://www.theglobaldispatch.com/insurance-and-telemedicine-what-is-being-covered-and-by-whom-60111/" TargetMode="External"/><Relationship Id="rId5" Type="http://schemas.openxmlformats.org/officeDocument/2006/relationships/hyperlink" Target="https://makingbrandshappen.com/2019/03/25/what-is-the-astaxanthin-natural-supplement-good-for/" TargetMode="External"/><Relationship Id="rId1" Type="http://schemas.openxmlformats.org/officeDocument/2006/relationships/hyperlink" Target="https://thriveglobal.com/stories/avoid-website-compliance-mistakes-industry-giants-like-amazon-and-netflix-are-making/" TargetMode="External"/><Relationship Id="rId2" Type="http://schemas.openxmlformats.org/officeDocument/2006/relationships/hyperlink" Target="https://www.techgyd.com/organization-should-commit-to-website-ada-compliance/39630/" TargetMode="Externa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hyperlink" Target="https://openminds.swissre.com" TargetMode="External"/><Relationship Id="rId12" Type="http://schemas.openxmlformats.org/officeDocument/2006/relationships/hyperlink" Target="http://ruhanirabin.com" TargetMode="External"/><Relationship Id="rId1" Type="http://schemas.openxmlformats.org/officeDocument/2006/relationships/hyperlink" Target="http://socialnomics.net" TargetMode="External"/><Relationship Id="rId2" Type="http://schemas.openxmlformats.org/officeDocument/2006/relationships/hyperlink" Target="http://thenextscoop.com" TargetMode="External"/><Relationship Id="rId3" Type="http://schemas.openxmlformats.org/officeDocument/2006/relationships/hyperlink" Target="http://websitemagazine.com" TargetMode="External"/><Relationship Id="rId4" Type="http://schemas.openxmlformats.org/officeDocument/2006/relationships/hyperlink" Target="http://www.socialmediaimpact.com/" TargetMode="External"/><Relationship Id="rId5" Type="http://schemas.openxmlformats.org/officeDocument/2006/relationships/hyperlink" Target="http://www.finextra.com" TargetMode="External"/><Relationship Id="rId6" Type="http://schemas.openxmlformats.org/officeDocument/2006/relationships/hyperlink" Target="https://cupertinotimes.com/" TargetMode="External"/><Relationship Id="rId7" Type="http://schemas.openxmlformats.org/officeDocument/2006/relationships/hyperlink" Target="http://tweakyourbiz.com" TargetMode="External"/><Relationship Id="rId8" Type="http://schemas.openxmlformats.org/officeDocument/2006/relationships/hyperlink" Target="http://www.dev.to" TargetMode="External"/><Relationship Id="rId9" Type="http://schemas.openxmlformats.org/officeDocument/2006/relationships/hyperlink" Target="http://finextra.com" TargetMode="External"/><Relationship Id="rId10" Type="http://schemas.openxmlformats.org/officeDocument/2006/relationships/hyperlink" Target="https://www.techsite.io/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roboearth.org/6-technologies-helping-people-live-a-better-life/" TargetMode="External"/><Relationship Id="rId14" Type="http://schemas.openxmlformats.org/officeDocument/2006/relationships/hyperlink" Target="https://www.friendhood.net/7-ways-amazons-alexa-is-redefining-healthcare-as-we-know-it/" TargetMode="External"/><Relationship Id="rId15" Type="http://schemas.openxmlformats.org/officeDocument/2006/relationships/hyperlink" Target="https://www.rushprnews.com/2019/06/15/5-alexa-skills-every-business-should-invest-in/" TargetMode="External"/><Relationship Id="rId16" Type="http://schemas.openxmlformats.org/officeDocument/2006/relationships/hyperlink" Target="https://drprem.com/business/why-should-big-pharma-invest-in-artificial-intelligence-in-2019" TargetMode="External"/><Relationship Id="rId17" Type="http://schemas.openxmlformats.org/officeDocument/2006/relationships/hyperlink" Target="https://greendiary.com/ai-tackling-treatment-of-rare-difficult-and-expensive-disorders.html" TargetMode="External"/><Relationship Id="rId18" Type="http://schemas.openxmlformats.org/officeDocument/2006/relationships/hyperlink" Target="https://www.lmcordoba.com.ar/news/10-uses-for-artificial-intelligence-in-pharma-beyond-drug-discovery/" TargetMode="External"/><Relationship Id="rId19" Type="http://schemas.openxmlformats.org/officeDocument/2006/relationships/hyperlink" Target="https://consciouslifenews.com/5-pillars-of-content-marketing/11170293/" TargetMode="External"/><Relationship Id="rId50" Type="http://schemas.openxmlformats.org/officeDocument/2006/relationships/hyperlink" Target="https://www.digitalauthority.me/web-design-chicago" TargetMode="External"/><Relationship Id="rId51" Type="http://schemas.openxmlformats.org/officeDocument/2006/relationships/hyperlink" Target="https://www.moneymagpie.com/save-money/kool8-review" TargetMode="External"/><Relationship Id="rId52" Type="http://schemas.openxmlformats.org/officeDocument/2006/relationships/hyperlink" Target="https://www.worldoffemale.com/my-experience-with-the-kool8-bottle/" TargetMode="External"/><Relationship Id="rId53" Type="http://schemas.openxmlformats.org/officeDocument/2006/relationships/hyperlink" Target="https://southfloridareporter.com/kool8-water-bottle-why-this-is-my-new-favorite-bottle-ever/" TargetMode="External"/><Relationship Id="rId54" Type="http://schemas.openxmlformats.org/officeDocument/2006/relationships/hyperlink" Target="https://scallywagandvagabond.com/2019/06/testing-kool8-water-bottle-comprehensive-review/" TargetMode="External"/><Relationship Id="rId55" Type="http://schemas.openxmlformats.org/officeDocument/2006/relationships/hyperlink" Target="https://baltimorepostexaminer.com/why-kool8-is-my-favorite-water-bottle/2019/06/15" TargetMode="External"/><Relationship Id="rId40" Type="http://schemas.openxmlformats.org/officeDocument/2006/relationships/hyperlink" Target="https://www.digitalauthority.me/resources/hitrust-certification-guideline/" TargetMode="External"/><Relationship Id="rId41" Type="http://schemas.openxmlformats.org/officeDocument/2006/relationships/hyperlink" Target="https://www.digitalauthority.me/resources/hotel-digital-marketing-tips/" TargetMode="External"/><Relationship Id="rId42" Type="http://schemas.openxmlformats.org/officeDocument/2006/relationships/hyperlink" Target="https://www.marketdominationmedia.com/5-tips-for-information-technology-marketing-professionals/" TargetMode="External"/><Relationship Id="rId43" Type="http://schemas.openxmlformats.org/officeDocument/2006/relationships/hyperlink" Target="http://www.digitalauthority.me" TargetMode="External"/><Relationship Id="rId44" Type="http://schemas.openxmlformats.org/officeDocument/2006/relationships/hyperlink" Target="https://designbuzz.com/8-things-that-amazing-mobile-apps-have-in-common/" TargetMode="External"/><Relationship Id="rId45" Type="http://schemas.openxmlformats.org/officeDocument/2006/relationships/hyperlink" Target="https://pspl.com/5-things-that-make-a-mobile-app-amazing/" TargetMode="External"/><Relationship Id="rId46" Type="http://schemas.openxmlformats.org/officeDocument/2006/relationships/hyperlink" Target="https://healthcareweekly.com/multivitamins/" TargetMode="External"/><Relationship Id="rId47" Type="http://schemas.openxmlformats.org/officeDocument/2006/relationships/hyperlink" Target="https://consciouslifenews.com/why-multivitamins-are-useless/11170295/" TargetMode="External"/><Relationship Id="rId48" Type="http://schemas.openxmlformats.org/officeDocument/2006/relationships/hyperlink" Target="https://harcourthealth.com/is-protein-coffee-good-for-you/" TargetMode="External"/><Relationship Id="rId49" Type="http://schemas.openxmlformats.org/officeDocument/2006/relationships/hyperlink" Target="https://www.digitalauthority.me/resources/pharma-marketing-guide/" TargetMode="External"/><Relationship Id="rId1" Type="http://schemas.openxmlformats.org/officeDocument/2006/relationships/hyperlink" Target="https://instablogs.com/how-ada-website-compliance-can-help-your-online-medical-reputation.html" TargetMode="External"/><Relationship Id="rId2" Type="http://schemas.openxmlformats.org/officeDocument/2006/relationships/hyperlink" Target="https://www.tripatlas.com/hotels-are-struggling-with-ada-compliance/" TargetMode="External"/><Relationship Id="rId3" Type="http://schemas.openxmlformats.org/officeDocument/2006/relationships/hyperlink" Target="https://ecofriend.com/famous-companies-sued-over-website-ada-compliance.html" TargetMode="External"/><Relationship Id="rId4" Type="http://schemas.openxmlformats.org/officeDocument/2006/relationships/hyperlink" Target="https://www.emphas.is/is-your-website-ada-compliant-find-out-today/" TargetMode="External"/><Relationship Id="rId5" Type="http://schemas.openxmlformats.org/officeDocument/2006/relationships/hyperlink" Target="https://rogueimc.org/5-steps-to-make-sure-your-site-is-ada-compliant/" TargetMode="External"/><Relationship Id="rId6" Type="http://schemas.openxmlformats.org/officeDocument/2006/relationships/hyperlink" Target="https://www.digitalauthority.me/resources/alexa-for-business-skills/" TargetMode="External"/><Relationship Id="rId7" Type="http://schemas.openxmlformats.org/officeDocument/2006/relationships/hyperlink" Target="https://www.womensconference.org/5-reasons-why-every-business-should-use-alexa-for-business/" TargetMode="External"/><Relationship Id="rId8" Type="http://schemas.openxmlformats.org/officeDocument/2006/relationships/hyperlink" Target="https://www.rushprnews.com/2019/06/15/5-alexa-skills-every-business-should-invest-in/" TargetMode="External"/><Relationship Id="rId9" Type="http://schemas.openxmlformats.org/officeDocument/2006/relationships/hyperlink" Target="https://www.digitalauthority.me/resources/alexa-in-healthcare/" TargetMode="External"/><Relationship Id="rId30" Type="http://schemas.openxmlformats.org/officeDocument/2006/relationships/hyperlink" Target="http://www.digitalauthority.me" TargetMode="External"/><Relationship Id="rId31" Type="http://schemas.openxmlformats.org/officeDocument/2006/relationships/hyperlink" Target="http://www.digitalauthority.me" TargetMode="External"/><Relationship Id="rId32" Type="http://schemas.openxmlformats.org/officeDocument/2006/relationships/hyperlink" Target="http://www.digitalauthority.me" TargetMode="External"/><Relationship Id="rId33" Type="http://schemas.openxmlformats.org/officeDocument/2006/relationships/hyperlink" Target="http://www.digitalauthority.me" TargetMode="External"/><Relationship Id="rId34" Type="http://schemas.openxmlformats.org/officeDocument/2006/relationships/hyperlink" Target="http://www.digitalauthority.me" TargetMode="External"/><Relationship Id="rId35" Type="http://schemas.openxmlformats.org/officeDocument/2006/relationships/hyperlink" Target="http://www.digitalauthority.me" TargetMode="External"/><Relationship Id="rId36" Type="http://schemas.openxmlformats.org/officeDocument/2006/relationships/hyperlink" Target="http://www.digitalauthority.me" TargetMode="External"/><Relationship Id="rId37" Type="http://schemas.openxmlformats.org/officeDocument/2006/relationships/hyperlink" Target="http://www.digitalauthority.me" TargetMode="External"/><Relationship Id="rId38" Type="http://schemas.openxmlformats.org/officeDocument/2006/relationships/hyperlink" Target="http://www.digitalauthority.me" TargetMode="External"/><Relationship Id="rId39" Type="http://schemas.openxmlformats.org/officeDocument/2006/relationships/hyperlink" Target="https://diyhealth.com/6-vr-innovations-revolutionizing-healthcare-in-2019.html" TargetMode="External"/><Relationship Id="rId20" Type="http://schemas.openxmlformats.org/officeDocument/2006/relationships/hyperlink" Target="http://www.easyfinance.com/blog/is-linkedin-effective-in-driving-business-to-your-company-website/" TargetMode="External"/><Relationship Id="rId21" Type="http://schemas.openxmlformats.org/officeDocument/2006/relationships/hyperlink" Target="https://ecofriend.org/how-to-market-your-eco-friendly-startup-for-free-in-2019/" TargetMode="External"/><Relationship Id="rId22" Type="http://schemas.openxmlformats.org/officeDocument/2006/relationships/hyperlink" Target="https://www.businessfirstonline.co.uk/advice/7-amazing-b2b-marketing-examples-that-work/" TargetMode="External"/><Relationship Id="rId23" Type="http://schemas.openxmlformats.org/officeDocument/2006/relationships/hyperlink" Target="https://www.techiestate.com/differences-between-seo-and-content-strategy/" TargetMode="External"/><Relationship Id="rId24" Type="http://schemas.openxmlformats.org/officeDocument/2006/relationships/hyperlink" Target="https://drprem.com/business/why-should-big-pharma-invest-in-artificial-intelligence-in-2019" TargetMode="External"/><Relationship Id="rId25" Type="http://schemas.openxmlformats.org/officeDocument/2006/relationships/hyperlink" Target="http://www.unitedfinances.com/blog/5-things-every-executive-should-know-about-blockchain-in-healthcare/" TargetMode="External"/><Relationship Id="rId26" Type="http://schemas.openxmlformats.org/officeDocument/2006/relationships/hyperlink" Target="http://www.unitedfinances.com/blog/5-things-every-executive-should-know-about-blockchain-in-healthcare/" TargetMode="External"/><Relationship Id="rId27" Type="http://schemas.openxmlformats.org/officeDocument/2006/relationships/hyperlink" Target="http://www.digitalauthority.me" TargetMode="External"/><Relationship Id="rId28" Type="http://schemas.openxmlformats.org/officeDocument/2006/relationships/hyperlink" Target="http://www.digitalauthority.me" TargetMode="External"/><Relationship Id="rId29" Type="http://schemas.openxmlformats.org/officeDocument/2006/relationships/hyperlink" Target="http://www.digitalauthority.me" TargetMode="External"/><Relationship Id="rId10" Type="http://schemas.openxmlformats.org/officeDocument/2006/relationships/hyperlink" Target="https://www.roboearth.org/6-technologies-helping-people-live-a-better-life/" TargetMode="External"/><Relationship Id="rId11" Type="http://schemas.openxmlformats.org/officeDocument/2006/relationships/hyperlink" Target="https://www.friendhood.net/7-ways-amazons-alexa-is-redefining-healthcare-as-we-know-it/" TargetMode="External"/><Relationship Id="rId12" Type="http://schemas.openxmlformats.org/officeDocument/2006/relationships/hyperlink" Target="https://www.briefmobile.com/5-medical-technologies-including-mobile-apps-to-pay-attention-to-in-2019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digitalauthority.me" TargetMode="External"/><Relationship Id="rId3" Type="http://schemas.openxmlformats.org/officeDocument/2006/relationships/hyperlink" Target="http://digitalauthority.me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x519.info/2018/11/28/5-tips-on-how-to-make-your-employees-happy-this-holiday-season/" TargetMode="External"/><Relationship Id="rId6" Type="http://schemas.openxmlformats.org/officeDocument/2006/relationships/hyperlink" Target="https://www.digitalauthority.me/web-design-chicago" TargetMode="External"/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www.digitalauthority.me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s://www.digitalauthority.me/web-design-chicago" TargetMode="External"/><Relationship Id="rId8" Type="http://schemas.openxmlformats.org/officeDocument/2006/relationships/hyperlink" Target="http://digitalauthority.me" TargetMode="External"/><Relationship Id="rId9" Type="http://schemas.openxmlformats.org/officeDocument/2006/relationships/hyperlink" Target="http://digitalauthority.me" TargetMode="External"/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www.digitalauthority.m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9" Type="http://schemas.openxmlformats.org/officeDocument/2006/relationships/hyperlink" Target="http://www.digitalauthority.me" TargetMode="External"/><Relationship Id="rId10" Type="http://schemas.openxmlformats.org/officeDocument/2006/relationships/hyperlink" Target="https://fastlisting.org/p/how-to-make-your-healthcare-website-amazing-with-few-simple-tweaks/" TargetMode="External"/><Relationship Id="rId11" Type="http://schemas.openxmlformats.org/officeDocument/2006/relationships/hyperlink" Target="https://www.digitalauthority.me/web-design-chicago" TargetMode="External"/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www.digitalauthority.me" TargetMode="External"/></Relationships>
</file>

<file path=xl/worksheets/_rels/sheet16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s://www.digitalauthority.me/web-design-chicago" TargetMode="External"/><Relationship Id="rId14" Type="http://schemas.openxmlformats.org/officeDocument/2006/relationships/hyperlink" Target="http://www.digitalauthority.me" TargetMode="External"/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www.digitalauthority.me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9" Type="http://schemas.openxmlformats.org/officeDocument/2006/relationships/hyperlink" Target="http://www.digitalauthority.me" TargetMode="External"/><Relationship Id="rId10" Type="http://schemas.openxmlformats.org/officeDocument/2006/relationships/hyperlink" Target="http://www.digitalauthority.me" TargetMode="External"/></Relationships>
</file>

<file path=xl/worksheets/_rels/sheet17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s://www.digitalauthority.me/web-design-chicago" TargetMode="External"/><Relationship Id="rId1" Type="http://schemas.openxmlformats.org/officeDocument/2006/relationships/hyperlink" Target="http://www.digitalauthority.me" TargetMode="External"/><Relationship Id="rId2" Type="http://schemas.openxmlformats.org/officeDocument/2006/relationships/hyperlink" Target="http://www.digitalauthority.me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9" Type="http://schemas.openxmlformats.org/officeDocument/2006/relationships/hyperlink" Target="http://www.digitalauthority.me" TargetMode="External"/><Relationship Id="rId10" Type="http://schemas.openxmlformats.org/officeDocument/2006/relationships/hyperlink" Target="http://www.digitalauthority.me" TargetMode="External"/></Relationships>
</file>

<file path=xl/worksheets/_rels/sheet18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s://www.rocketnews.com/2019/01/cardiology-in-the-tech-generation/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techpatio.com/2019/guides-how-to/4-tips-optimize-health-website-2019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s://www.digitalauthority.me/web-design-chicago" TargetMode="External"/><Relationship Id="rId1" Type="http://schemas.openxmlformats.org/officeDocument/2006/relationships/hyperlink" Target="https://thebroodle.com/internet/what-your-business-should-know-about-website-ada-compliance/" TargetMode="External"/><Relationship Id="rId2" Type="http://schemas.openxmlformats.org/officeDocument/2006/relationships/hyperlink" Target="http://www.digitalauthority.me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9" Type="http://schemas.openxmlformats.org/officeDocument/2006/relationships/hyperlink" Target="http://livinginthisseason.com/top-5-affordable-gifts-to-buy-in-january/" TargetMode="External"/><Relationship Id="rId10" Type="http://schemas.openxmlformats.org/officeDocument/2006/relationships/hyperlink" Target="http://www.digitalauthority.me" TargetMode="External"/></Relationships>
</file>

<file path=xl/worksheets/_rels/sheet19.xml.rels><?xml version="1.0" encoding="UTF-8" standalone="yes"?>
<Relationships xmlns="http://schemas.openxmlformats.org/package/2006/relationships"><Relationship Id="rId20" Type="http://schemas.openxmlformats.org/officeDocument/2006/relationships/hyperlink" Target="http://elenaonlineshop.net/the-impact-of-genetics-on-cardiology.html" TargetMode="External"/><Relationship Id="rId21" Type="http://schemas.openxmlformats.org/officeDocument/2006/relationships/hyperlink" Target="http://www.becomegorgeous.com/blogs/naim/the-connection-between-sleep-and-heart-health-P70018?fbclid=IwAR1LMGhaWCqWteUt843bhEJRtqrLglGRfVjjS437Z2zBosVb2E2KmXCtIAo" TargetMode="External"/><Relationship Id="rId22" Type="http://schemas.openxmlformats.org/officeDocument/2006/relationships/hyperlink" Target="https://www.epubzone.org/how-to-prevent-heart-disease-and-protect-your-heart/" TargetMode="External"/><Relationship Id="rId23" Type="http://schemas.openxmlformats.org/officeDocument/2006/relationships/hyperlink" Target="http://baltimorepostexaminer.com/9-best-tech-devices-for-heart-health/2019/01/19" TargetMode="External"/><Relationship Id="rId24" Type="http://schemas.openxmlformats.org/officeDocument/2006/relationships/hyperlink" Target="http://www.diet2x.com/the-connection-between-sleep-and-heart-health/" TargetMode="External"/><Relationship Id="rId25" Type="http://schemas.openxmlformats.org/officeDocument/2006/relationships/hyperlink" Target="http://www.digitalauthority.me" TargetMode="External"/><Relationship Id="rId26" Type="http://schemas.openxmlformats.org/officeDocument/2006/relationships/hyperlink" Target="http://www.atlphp.org/8-questions-to-ask-healthcare-consulting-firms-before-hiring-them/" TargetMode="External"/><Relationship Id="rId27" Type="http://schemas.openxmlformats.org/officeDocument/2006/relationships/hyperlink" Target="http://www.digitalauthority.me" TargetMode="External"/><Relationship Id="rId28" Type="http://schemas.openxmlformats.org/officeDocument/2006/relationships/hyperlink" Target="http://wwonline.net/4-social-media-practices-healthcare-marketers-should-implement-in-2019/" TargetMode="External"/><Relationship Id="rId29" Type="http://schemas.openxmlformats.org/officeDocument/2006/relationships/hyperlink" Target="https://rumyittips.com/why-your-business-should-build-an-alexa-skil/" TargetMode="External"/><Relationship Id="rId1" Type="http://schemas.openxmlformats.org/officeDocument/2006/relationships/hyperlink" Target="https://www.safeandhealthylife.com/why-astaxanthin-is-good-for-health/" TargetMode="External"/><Relationship Id="rId2" Type="http://schemas.openxmlformats.org/officeDocument/2006/relationships/hyperlink" Target="http://www.digitalauthority.me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30" Type="http://schemas.openxmlformats.org/officeDocument/2006/relationships/hyperlink" Target="https://blog.businesscasestudies.co.uk/4042/why-every-healthcare-business-should-consider-building-an-alexa-skill-in-2019/" TargetMode="External"/><Relationship Id="rId31" Type="http://schemas.openxmlformats.org/officeDocument/2006/relationships/hyperlink" Target="https://rumyittips.com/why-your-business-should-build-an-alexa-skil/" TargetMode="External"/><Relationship Id="rId32" Type="http://schemas.openxmlformats.org/officeDocument/2006/relationships/hyperlink" Target="http://www.digitalauthority.me" TargetMode="External"/><Relationship Id="rId9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33" Type="http://schemas.openxmlformats.org/officeDocument/2006/relationships/hyperlink" Target="https://www.bloglovin.com/@jnnaim/5-enterprise-analytics-software-platforms?fbclid=IwAR1WtXBxZESP6P1SZ7OoqzK5-Iac5SSA8SRcpHZHYEPe74HG8o6AkQz70x0" TargetMode="External"/><Relationship Id="rId34" Type="http://schemas.openxmlformats.org/officeDocument/2006/relationships/hyperlink" Target="http://www.dezzain.com/technology/how-technology-enable-patients-live-better-lives/" TargetMode="External"/><Relationship Id="rId35" Type="http://schemas.openxmlformats.org/officeDocument/2006/relationships/hyperlink" Target="https://embedds.com/5-telemedicine-solutions-helping-patients-live-longer/" TargetMode="External"/><Relationship Id="rId36" Type="http://schemas.openxmlformats.org/officeDocument/2006/relationships/hyperlink" Target="https://www.epubzone.org/how-to-prevent-heart-disease-and-protect-your-heart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s://embedds.com/5-telemedicine-solutions-helping-patients-live-longer/" TargetMode="External"/><Relationship Id="rId13" Type="http://schemas.openxmlformats.org/officeDocument/2006/relationships/hyperlink" Target="https://technicalustad.com/healthtech-innovations-accenture-are-implementing/" TargetMode="External"/><Relationship Id="rId14" Type="http://schemas.openxmlformats.org/officeDocument/2006/relationships/hyperlink" Target="https://blog.ideafit.com/blogs/works/4-things-doctors-should-know-about-reputation-management" TargetMode="External"/><Relationship Id="rId15" Type="http://schemas.openxmlformats.org/officeDocument/2006/relationships/hyperlink" Target="https://axcessnews.com/business/breaking-business/6-reasons-why-you-need-to-invest-in-custom-t-shirts-for-your-employees_8668/" TargetMode="External"/><Relationship Id="rId16" Type="http://schemas.openxmlformats.org/officeDocument/2006/relationships/hyperlink" Target="http://elenaonlineshop.net/the-impact-of-genetics-on-cardiology.html" TargetMode="External"/><Relationship Id="rId17" Type="http://schemas.openxmlformats.org/officeDocument/2006/relationships/hyperlink" Target="http://www.dezzain.com/technology/how-technology-enable-patients-live-better-lives/" TargetMode="External"/><Relationship Id="rId18" Type="http://schemas.openxmlformats.org/officeDocument/2006/relationships/hyperlink" Target="https://scienceprog.com/4-innovations-revolutionizing-the-cardiovascular-disease-treatment-in-the-us/" TargetMode="External"/><Relationship Id="rId19" Type="http://schemas.openxmlformats.org/officeDocument/2006/relationships/hyperlink" Target="https://www.bloglovin.com/@jnnaim/biotechnology-cardiac-care-what-to-look-for?fbclid=IwAR0ZqJ_jEc7J7EgutpbIo7-m0odms8MfVZW0ZOrWcQdQXaU1cn2bmN2Hfw8" TargetMode="External"/><Relationship Id="rId37" Type="http://schemas.openxmlformats.org/officeDocument/2006/relationships/hyperlink" Target="https://www.bloglovin.com/@jnnaim/5-enterprise-analytics-software-platforms?fbclid=IwAR1WtXBxZESP6P1SZ7OoqzK5-Iac5SSA8SRcpHZHYEPe74HG8o6AkQz70x0" TargetMode="External"/><Relationship Id="rId38" Type="http://schemas.openxmlformats.org/officeDocument/2006/relationships/hyperlink" Target="https://www.digitalauthority.me/web-design-chicago" TargetMode="Externa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://incredit.me/5-reasons-why-universities-should-use-data-analytics/" TargetMode="External"/><Relationship Id="rId21" Type="http://schemas.openxmlformats.org/officeDocument/2006/relationships/hyperlink" Target="https://www.digitalauthority.me/web-design-chicago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s://infobeat.com/7-strategies-to-effectively-market-your-financial-products-on-linkedin/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nictcampus.com/top-natural-ingredients-that-keep-teachers-alert-during-class/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blog.clicksor.com/5-tips-healthcare-marketers-need-to-know-about-social-media-in-2019/" TargetMode="External"/><Relationship Id="rId19" Type="http://schemas.openxmlformats.org/officeDocument/2006/relationships/hyperlink" Target="http://www.digitalauthority.me" TargetMode="External"/><Relationship Id="rId1" Type="http://schemas.openxmlformats.org/officeDocument/2006/relationships/hyperlink" Target="http://fooyoh.com/geekapolis_gadgets_wishlist/15344920/artificial-intelligence-in-the-pharma-industry-5-examples" TargetMode="External"/><Relationship Id="rId2" Type="http://schemas.openxmlformats.org/officeDocument/2006/relationships/hyperlink" Target="http://fooyoh.com/fitness_health/15344926/how-astaxanthin-helps-people-with-alzheimers-disease" TargetMode="External"/><Relationship Id="rId3" Type="http://schemas.openxmlformats.org/officeDocument/2006/relationships/hyperlink" Target="http://nictcampus.com/top-natural-ingredients-that-keep-teachers-alert-during-class/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21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://www.digitalauthority.me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s://www.techinexpert.com/2019/02/07/what-is-digital-transformation-in-healthcare/" TargetMode="External"/><Relationship Id="rId25" Type="http://schemas.openxmlformats.org/officeDocument/2006/relationships/hyperlink" Target="https://thenextscoop.com/social-media-practices-startups/" TargetMode="External"/><Relationship Id="rId26" Type="http://schemas.openxmlformats.org/officeDocument/2006/relationships/hyperlink" Target="http://elenaonlineshop.net/the-impact-of-genetics-on-cardiology.html" TargetMode="External"/><Relationship Id="rId27" Type="http://schemas.openxmlformats.org/officeDocument/2006/relationships/hyperlink" Target="http://www.digitalauthority.me" TargetMode="External"/><Relationship Id="rId28" Type="http://schemas.openxmlformats.org/officeDocument/2006/relationships/hyperlink" Target="http://www.theallmag.com/blog/5-cool-canadian-healthcare-inventions/" TargetMode="External"/><Relationship Id="rId29" Type="http://schemas.openxmlformats.org/officeDocument/2006/relationships/hyperlink" Target="http://www.digitalauthority.me" TargetMode="External"/><Relationship Id="rId1" Type="http://schemas.openxmlformats.org/officeDocument/2006/relationships/hyperlink" Target="https://www.toptut.com/2019/02/04/a-beginners-guide-to-website-ada-compliance/" TargetMode="External"/><Relationship Id="rId2" Type="http://schemas.openxmlformats.org/officeDocument/2006/relationships/hyperlink" Target="http://www.business-opportunities.biz/2019/02/05/create-website-patients-clinic/" TargetMode="External"/><Relationship Id="rId3" Type="http://schemas.openxmlformats.org/officeDocument/2006/relationships/hyperlink" Target="https://setiweb.ssl.berkeley.edu/beta/team_display.php?teamid=134140" TargetMode="External"/><Relationship Id="rId4" Type="http://schemas.openxmlformats.org/officeDocument/2006/relationships/hyperlink" Target="http://juliawall.sites.gettysburg.edu/westpoint61/fifty-colleges-hit-together-with-ada-lawsuits/index" TargetMode="External"/><Relationship Id="rId5" Type="http://schemas.openxmlformats.org/officeDocument/2006/relationships/hyperlink" Target="https://my.sterling.edu/ICS/Academics/LL/LL379__UG06/FA_2006_UNDG-LL379__UG06_-A/Blog_71.jnz?portlet=Blog_71&amp;screen=View+Post&amp;screenType=next&amp;Id=fb296dc0-0b8b-4b1c-93d9-e40b4cd35ad1" TargetMode="External"/><Relationship Id="rId30" Type="http://schemas.openxmlformats.org/officeDocument/2006/relationships/hyperlink" Target="https://technicalustad.com/health-app-development-trends-to-watch-out/" TargetMode="External"/><Relationship Id="rId31" Type="http://schemas.openxmlformats.org/officeDocument/2006/relationships/hyperlink" Target="https://www.newsforpublic.com/health-technologies-aware/" TargetMode="External"/><Relationship Id="rId32" Type="http://schemas.openxmlformats.org/officeDocument/2006/relationships/hyperlink" Target="http://www.business-opportunities.biz/2019/02/05/create-website-patients-clinic/" TargetMode="External"/><Relationship Id="rId9" Type="http://schemas.openxmlformats.org/officeDocument/2006/relationships/hyperlink" Target="https://ribbon.co/how-can-artificial-intelligence-help-pharma-in-2019/" TargetMode="External"/><Relationship Id="rId6" Type="http://schemas.openxmlformats.org/officeDocument/2006/relationships/hyperlink" Target="https://augustafreepress.com/ten-awesome-companies-you-didnt-know-were-sued-for-ada-website-compliance/" TargetMode="External"/><Relationship Id="rId7" Type="http://schemas.openxmlformats.org/officeDocument/2006/relationships/hyperlink" Target="https://thealmostdone.com/2019/02/06/6-alexa-skills-you-should-know-about-in-2019/" TargetMode="External"/><Relationship Id="rId8" Type="http://schemas.openxmlformats.org/officeDocument/2006/relationships/hyperlink" Target="https://www.opptrends.com/4-ai-innovations-in-the-pharma-space-you-didnt-know-existed-in-2019/" TargetMode="External"/><Relationship Id="rId33" Type="http://schemas.openxmlformats.org/officeDocument/2006/relationships/hyperlink" Target="https://sourcefed.com/8-tips-to-market-your-mobile-app-on-a-budget/" TargetMode="External"/><Relationship Id="rId34" Type="http://schemas.openxmlformats.org/officeDocument/2006/relationships/hyperlink" Target="https://businesstimes.co.tz/four-free-strategies-to-market-your-app-in-2019/" TargetMode="External"/><Relationship Id="rId35" Type="http://schemas.openxmlformats.org/officeDocument/2006/relationships/hyperlink" Target="http://www.digitalauthority.me" TargetMode="External"/><Relationship Id="rId36" Type="http://schemas.openxmlformats.org/officeDocument/2006/relationships/hyperlink" Target="https://www.whiteoutpress.com/4-embarrassing-pieces-of-news-in-pharma-in-2018/" TargetMode="External"/><Relationship Id="rId10" Type="http://schemas.openxmlformats.org/officeDocument/2006/relationships/hyperlink" Target="https://www.ukuncut.org.uk/what-is-b2b-marketing-and-how-does-it-work/" TargetMode="External"/><Relationship Id="rId11" Type="http://schemas.openxmlformats.org/officeDocument/2006/relationships/hyperlink" Target="https://www.blinkbits.com/4-trends-in-b2b-marketing-you-should-know-about-this-year/" TargetMode="External"/><Relationship Id="rId12" Type="http://schemas.openxmlformats.org/officeDocument/2006/relationships/hyperlink" Target="https://www.meldium.com/4-strategies-to-jumpstart-your-b2b-marketing-strategy-in-2019/" TargetMode="External"/><Relationship Id="rId13" Type="http://schemas.openxmlformats.org/officeDocument/2006/relationships/hyperlink" Target="https://falconhive.com/b2b-marketing-trends-to-consider-for-2019/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Relationship Id="rId37" Type="http://schemas.openxmlformats.org/officeDocument/2006/relationships/hyperlink" Target="https://www.digitalauthority.me/web-design-chicago" TargetMode="External"/><Relationship Id="rId38" Type="http://schemas.openxmlformats.org/officeDocument/2006/relationships/hyperlink" Target="https://augustafreepress.com/how-can-hospitals-deal-with-a-pr-crisis/" TargetMode="External"/></Relationships>
</file>

<file path=xl/worksheets/_rels/sheet22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theglobaldispatch.com/medical-startups-to-watch-in-2019-2019/" TargetMode="External"/><Relationship Id="rId21" Type="http://schemas.openxmlformats.org/officeDocument/2006/relationships/hyperlink" Target="https://skopemag.com/2019/02/18/7-ways-music-can-serve-as-medicine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s://www.healthcarereformmagazine.com/tips-on-how-to-build-a-health-app-that-goes-viral/" TargetMode="External"/><Relationship Id="rId25" Type="http://schemas.openxmlformats.org/officeDocument/2006/relationships/hyperlink" Target="https://www.techfeast.co/health-app-development-trends-to-watch-out/" TargetMode="External"/><Relationship Id="rId26" Type="http://schemas.openxmlformats.org/officeDocument/2006/relationships/hyperlink" Target="https://www.tech-wonders.com/2019/02/how-to-build-a-health-app-like-a-pro.html" TargetMode="External"/><Relationship Id="rId27" Type="http://schemas.openxmlformats.org/officeDocument/2006/relationships/hyperlink" Target="https://www.techmasai.com/marketing-tactics-every-it-company-should-leverage/" TargetMode="External"/><Relationship Id="rId28" Type="http://schemas.openxmlformats.org/officeDocument/2006/relationships/hyperlink" Target="https://icharts.net/5-free-digital-marketing-techniques-for-your-mobile-app/" TargetMode="External"/><Relationship Id="rId29" Type="http://schemas.openxmlformats.org/officeDocument/2006/relationships/hyperlink" Target="https://revenuesandprofits.com/4-marketing-tactics-every-it-company-should-leverage-in-2019/" TargetMode="External"/><Relationship Id="rId1" Type="http://schemas.openxmlformats.org/officeDocument/2006/relationships/hyperlink" Target="http://vermontrepublic.org/website-ada-compliance-a-beginners-guide/" TargetMode="External"/><Relationship Id="rId2" Type="http://schemas.openxmlformats.org/officeDocument/2006/relationships/hyperlink" Target="https://icharts.net/ada-compliance/" TargetMode="External"/><Relationship Id="rId3" Type="http://schemas.openxmlformats.org/officeDocument/2006/relationships/hyperlink" Target="https://onlinenewsbuzz.com/biggest-news-2018-abbvie/" TargetMode="External"/><Relationship Id="rId4" Type="http://schemas.openxmlformats.org/officeDocument/2006/relationships/hyperlink" Target="https://trendytattle.com/how-astaxanthin-is-good-for-your-skincare/" TargetMode="External"/><Relationship Id="rId5" Type="http://schemas.openxmlformats.org/officeDocument/2006/relationships/hyperlink" Target="https://wellbeing-support.com/astaxanthin-natures-most-powerful-antioxidant/" TargetMode="External"/><Relationship Id="rId30" Type="http://schemas.openxmlformats.org/officeDocument/2006/relationships/hyperlink" Target="https://www.techmasai.com/marketing-tactics-every-it-company-should-leverage/" TargetMode="External"/><Relationship Id="rId31" Type="http://schemas.openxmlformats.org/officeDocument/2006/relationships/hyperlink" Target="http://www.digitalauthority.me" TargetMode="External"/><Relationship Id="rId32" Type="http://schemas.openxmlformats.org/officeDocument/2006/relationships/hyperlink" Target="http://www.socialmediaimpact.com/6-social-media-metrics-you-need-to-pay-attention-to-in-2019/" TargetMode="External"/><Relationship Id="rId9" Type="http://schemas.openxmlformats.org/officeDocument/2006/relationships/hyperlink" Target="https://skopemag.com/2019/02/18/7-ways-music-can-serve-as-medicin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33" Type="http://schemas.openxmlformats.org/officeDocument/2006/relationships/hyperlink" Target="https://setiweb.ssl.berkeley.edu/beta/team_display.php?teamid=135610" TargetMode="External"/><Relationship Id="rId34" Type="http://schemas.openxmlformats.org/officeDocument/2006/relationships/hyperlink" Target="http://juliawall.sites.gettysburg.edu/westpoint61/benefits-of-telemedicine/index" TargetMode="External"/><Relationship Id="rId35" Type="http://schemas.openxmlformats.org/officeDocument/2006/relationships/hyperlink" Target="https://my.sterling.edu/ICS/Academics/LL/LL379__UG06/FA_2006_UNDG-LL379__UG06_-A/Blog_71.jnz?portlet=Blog_71&amp;screen=View+Post&amp;screenType=next&amp;Id=1e07c381-4d7c-448c-a76d-8be1aedfa0c1" TargetMode="External"/><Relationship Id="rId36" Type="http://schemas.openxmlformats.org/officeDocument/2006/relationships/hyperlink" Target="https://skopemag.com/2019/02/18/7-ways-music-can-serve-as-medicine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elenaonlineshop.net/the-impact-of-genetics-on-cardiology.html" TargetMode="External"/><Relationship Id="rId18" Type="http://schemas.openxmlformats.org/officeDocument/2006/relationships/hyperlink" Target="https://butterflylabs.com/6-important-advances-in-stem-cell-research/" TargetMode="External"/><Relationship Id="rId19" Type="http://schemas.openxmlformats.org/officeDocument/2006/relationships/hyperlink" Target="https://incredibleplanet.net/10-benefits-of-telemedicine-for-both-healthcare-providers-and-their-patients/" TargetMode="External"/><Relationship Id="rId37" Type="http://schemas.openxmlformats.org/officeDocument/2006/relationships/hyperlink" Target="https://realwealthbusiness.com/how-ecommerce-companies-use-analytics-to-convert-customers-online/" TargetMode="External"/><Relationship Id="rId38" Type="http://schemas.openxmlformats.org/officeDocument/2006/relationships/hyperlink" Target="https://brandfuge.com/4-reasons-why-executives-should-pay-attention-to-web-analytics/" TargetMode="External"/><Relationship Id="rId39" Type="http://schemas.openxmlformats.org/officeDocument/2006/relationships/hyperlink" Target="https://www.justwebworld.com/web-analytic-metrics-healthcare-marketing-managers-should-track/" TargetMode="External"/><Relationship Id="rId40" Type="http://schemas.openxmlformats.org/officeDocument/2006/relationships/hyperlink" Target="https://www.digitalauthority.me/web-design-chicago" TargetMode="External"/><Relationship Id="rId41" Type="http://schemas.openxmlformats.org/officeDocument/2006/relationships/hyperlink" Target="https://www.digitalauthority.me/resources/hitrust-certification-guideline/" TargetMode="External"/><Relationship Id="rId42" Type="http://schemas.openxmlformats.org/officeDocument/2006/relationships/hyperlink" Target="https://mynewsfit.com/why-every-development-company-in-the-healthcare-field-should-become-hitrust-certified/" TargetMode="External"/><Relationship Id="rId43" Type="http://schemas.openxmlformats.org/officeDocument/2006/relationships/hyperlink" Target="https://www.tech-wonders.com/2019/02/how-to-build-a-health-app-like-a-pro.html" TargetMode="External"/></Relationships>
</file>

<file path=xl/worksheets/_rels/sheet23.xml.rels><?xml version="1.0" encoding="UTF-8" standalone="yes"?>
<Relationships xmlns="http://schemas.openxmlformats.org/package/2006/relationships"><Relationship Id="rId20" Type="http://schemas.openxmlformats.org/officeDocument/2006/relationships/hyperlink" Target="https://www.executivechronicles.com/heart-disease-factors-contributing-rise-combat-factors/" TargetMode="External"/><Relationship Id="rId21" Type="http://schemas.openxmlformats.org/officeDocument/2006/relationships/hyperlink" Target="https://www.healthylifecentar.com/effects-of-anxiety-on-heart-disease/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s://sguru.org/reasons-why-healthcare-executives-should-pay-attention-to-web-analytics/" TargetMode="External"/><Relationship Id="rId25" Type="http://schemas.openxmlformats.org/officeDocument/2006/relationships/hyperlink" Target="https://negosentro.com/how-to-improve-your-mobile-app-with-analytics/" TargetMode="External"/><Relationship Id="rId26" Type="http://schemas.openxmlformats.org/officeDocument/2006/relationships/hyperlink" Target="http://www.apppicker.com/developernews/34575/Tricks-Tips-and-Strategies-on-How-to-Be-Competitive-in-the-Mobile-App-Market" TargetMode="External"/><Relationship Id="rId27" Type="http://schemas.openxmlformats.org/officeDocument/2006/relationships/hyperlink" Target="http://www.whatsyourtagblog.com/healthcare-trends-that-will-change-the-healthcare-industry-in-2019/" TargetMode="External"/><Relationship Id="rId28" Type="http://schemas.openxmlformats.org/officeDocument/2006/relationships/hyperlink" Target="http://directlendingonline.com/4-social-media-tips-for-software-companies/" TargetMode="External"/><Relationship Id="rId29" Type="http://schemas.openxmlformats.org/officeDocument/2006/relationships/hyperlink" Target="http://www.digitalauthority.me" TargetMode="External"/><Relationship Id="rId1" Type="http://schemas.openxmlformats.org/officeDocument/2006/relationships/hyperlink" Target="http://www.wearecontributors.com/5-steps-to-make-your-website-ada-compliant/" TargetMode="External"/><Relationship Id="rId2" Type="http://schemas.openxmlformats.org/officeDocument/2006/relationships/hyperlink" Target="https://thriveglobal.com/stories/avoid-website-compliance-mistakes-industry-giants-like-amazon-and-netflix-are-making/" TargetMode="External"/><Relationship Id="rId3" Type="http://schemas.openxmlformats.org/officeDocument/2006/relationships/hyperlink" Target="https://www.techgyd.com/organization-should-commit-to-website-ada-compliance/39630/" TargetMode="External"/><Relationship Id="rId4" Type="http://schemas.openxmlformats.org/officeDocument/2006/relationships/hyperlink" Target="https://socialunderground.com/2019/02/how-artificial-intelligence-is-changing-big-pharma/" TargetMode="External"/><Relationship Id="rId5" Type="http://schemas.openxmlformats.org/officeDocument/2006/relationships/hyperlink" Target="http://beaudermaskincare.com/10-reasons-to-take-astaxanthin/" TargetMode="External"/><Relationship Id="rId30" Type="http://schemas.openxmlformats.org/officeDocument/2006/relationships/hyperlink" Target="http://www.kenyear.com/the-most-popular-telemedicine-apps-in-the-world-today/" TargetMode="External"/><Relationship Id="rId31" Type="http://schemas.openxmlformats.org/officeDocument/2006/relationships/hyperlink" Target="http://www.thenewsfix.com/10-benefits-of-telemedicine-for-both-healthcare-providers-and-their-patients/" TargetMode="External"/><Relationship Id="rId32" Type="http://schemas.openxmlformats.org/officeDocument/2006/relationships/hyperlink" Target="https://www.doffitt.com/five-types-patients-need-telemedicine-services/" TargetMode="External"/><Relationship Id="rId9" Type="http://schemas.openxmlformats.org/officeDocument/2006/relationships/hyperlink" Target="http://www.digitalauthority.me" TargetMode="External"/><Relationship Id="rId6" Type="http://schemas.openxmlformats.org/officeDocument/2006/relationships/hyperlink" Target="https://cupertinotimes.com/4-use-cases-blockchain-healthcare/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Relationship Id="rId33" Type="http://schemas.openxmlformats.org/officeDocument/2006/relationships/hyperlink" Target="https://www.foodfindsasia.com/5-amazing-telemedicine-apps-on-the-market-today/" TargetMode="External"/><Relationship Id="rId34" Type="http://schemas.openxmlformats.org/officeDocument/2006/relationships/hyperlink" Target="https://sguru.org/reasons-why-healthcare-executives-should-pay-attention-to-web-analytics/" TargetMode="External"/><Relationship Id="rId35" Type="http://schemas.openxmlformats.org/officeDocument/2006/relationships/hyperlink" Target="https://www.digitalauthority.me/web-design-chicago" TargetMode="External"/><Relationship Id="rId36" Type="http://schemas.openxmlformats.org/officeDocument/2006/relationships/hyperlink" Target="https://www.digitalauthority.me/resources/hitrust-certification-guideline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s://cupertinotimes.com/4-use-cases-blockchain-healthcare/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elenaonlineshop.net/the-impact-of-genetics-on-cardiology.html" TargetMode="External"/><Relationship Id="rId19" Type="http://schemas.openxmlformats.org/officeDocument/2006/relationships/hyperlink" Target="https://www.foodfindsasia.com/5-amazing-telemedicine-apps-on-the-market-today/" TargetMode="External"/><Relationship Id="rId37" Type="http://schemas.openxmlformats.org/officeDocument/2006/relationships/hyperlink" Target="http://good-after.com/why-every-development-company-in-the-healthcare-field-should-become-hitrust-certified/" TargetMode="External"/><Relationship Id="rId38" Type="http://schemas.openxmlformats.org/officeDocument/2006/relationships/hyperlink" Target="http://livinginthisseason.com/5-hipaa-compliance-questions-every-it-vendor-must-answer/" TargetMode="External"/><Relationship Id="rId39" Type="http://schemas.openxmlformats.org/officeDocument/2006/relationships/hyperlink" Target="http://buyonlineregular.com/how-hitrust-helps-healthcare-orgs-prevent-cyber-attacks/" TargetMode="External"/></Relationships>
</file>

<file path=xl/worksheets/_rels/sheet24.xml.rels><?xml version="1.0" encoding="UTF-8" standalone="yes"?>
<Relationships xmlns="http://schemas.openxmlformats.org/package/2006/relationships"><Relationship Id="rId20" Type="http://schemas.openxmlformats.org/officeDocument/2006/relationships/hyperlink" Target="https://www.articlerich.com/telemedicine-malpractice-risks-and-how-to-avoid-them/" TargetMode="External"/><Relationship Id="rId21" Type="http://schemas.openxmlformats.org/officeDocument/2006/relationships/hyperlink" Target="http://www.digitalauthority.me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designbeep.com/2019/03/07/tips-for-building-successful-mhealth-apps/" TargetMode="External"/><Relationship Id="rId24" Type="http://schemas.openxmlformats.org/officeDocument/2006/relationships/hyperlink" Target="https://www.freepresent.org/how-to-get-your-app-noticed-with-the-help-of-an-agency-3-tips-from-mobile-marketing-pros/" TargetMode="External"/><Relationship Id="rId25" Type="http://schemas.openxmlformats.org/officeDocument/2006/relationships/hyperlink" Target="http://www.homehealthcaresos.com/amazing-achievements-in-healthcare-this-year/" TargetMode="External"/><Relationship Id="rId26" Type="http://schemas.openxmlformats.org/officeDocument/2006/relationships/hyperlink" Target="https://www.digitalauthority.me/resources/hitrust-certification-guideline/" TargetMode="External"/><Relationship Id="rId27" Type="http://schemas.openxmlformats.org/officeDocument/2006/relationships/hyperlink" Target="http://asksotiris.com/6-ways-your-website-is-ruining-your-it-marketing-efforts/" TargetMode="External"/><Relationship Id="rId28" Type="http://schemas.openxmlformats.org/officeDocument/2006/relationships/hyperlink" Target="https://www.marketingspot.com/2019/03/the-one-it-marketing-strategy-you-should-be-focusing-on-in-2019/" TargetMode="External"/><Relationship Id="rId29" Type="http://schemas.openxmlformats.org/officeDocument/2006/relationships/hyperlink" Target="http://uni5download.com/7-tactics-to-hire-top-marketing-experts-for-your-it-business/" TargetMode="External"/><Relationship Id="rId1" Type="http://schemas.openxmlformats.org/officeDocument/2006/relationships/hyperlink" Target="http://albarkka.com/why-website-ada-compliance-is-beneficial-for-any-business-out-there/" TargetMode="External"/><Relationship Id="rId2" Type="http://schemas.openxmlformats.org/officeDocument/2006/relationships/hyperlink" Target="http://hoangthangit.com/major-partnerships-in-pharma-using-ai/" TargetMode="External"/><Relationship Id="rId3" Type="http://schemas.openxmlformats.org/officeDocument/2006/relationships/hyperlink" Target="https://thefrisky.com/health-benefits-of-astaxanthin/" TargetMode="External"/><Relationship Id="rId4" Type="http://schemas.openxmlformats.org/officeDocument/2006/relationships/hyperlink" Target="http://asksotiris.com/6-ways-your-website-is-ruining-your-it-marketing-efforts/" TargetMode="External"/><Relationship Id="rId5" Type="http://schemas.openxmlformats.org/officeDocument/2006/relationships/hyperlink" Target="https://www.marketingspot.com/2019/03/the-one-it-marketing-strategy-you-should-be-focusing-on-in-2019/" TargetMode="External"/><Relationship Id="rId30" Type="http://schemas.openxmlformats.org/officeDocument/2006/relationships/hyperlink" Target="http://kingwanatranslation.com/it-marketing-secrets-to-attracting-top-talent/" TargetMode="External"/><Relationship Id="rId31" Type="http://schemas.openxmlformats.org/officeDocument/2006/relationships/hyperlink" Target="https://www.theglimpse.com/5-content-marketing-strategies-it-marketers-should-use-in-2019" TargetMode="External"/><Relationship Id="rId32" Type="http://schemas.openxmlformats.org/officeDocument/2006/relationships/hyperlink" Target="http://www.digitalauthority.me" TargetMode="External"/><Relationship Id="rId9" Type="http://schemas.openxmlformats.org/officeDocument/2006/relationships/hyperlink" Target="http://www.digitalauthority.me" TargetMode="External"/><Relationship Id="rId6" Type="http://schemas.openxmlformats.org/officeDocument/2006/relationships/hyperlink" Target="http://uni5download.com/7-tactics-to-hire-top-marketing-experts-for-your-it-business/" TargetMode="External"/><Relationship Id="rId7" Type="http://schemas.openxmlformats.org/officeDocument/2006/relationships/hyperlink" Target="http://kingwanatranslation.com/it-marketing-secrets-to-attracting-top-talent/" TargetMode="External"/><Relationship Id="rId8" Type="http://schemas.openxmlformats.org/officeDocument/2006/relationships/hyperlink" Target="http://www.digitalauthority.me" TargetMode="External"/><Relationship Id="rId33" Type="http://schemas.openxmlformats.org/officeDocument/2006/relationships/hyperlink" Target="http://blog.clicksor.com/how-to-understand-your-market-for-better-mobile-app-adoption/" TargetMode="External"/><Relationship Id="rId34" Type="http://schemas.openxmlformats.org/officeDocument/2006/relationships/hyperlink" Target="https://savedelete.com/internet-tips/strategies-that-help-understand-your-market-better-mobile-app-adoption/202466/" TargetMode="External"/><Relationship Id="rId35" Type="http://schemas.openxmlformats.org/officeDocument/2006/relationships/hyperlink" Target="http://speedliting.com/how-telemedicine-is-restoring-patients-trust-in-doctors/" TargetMode="External"/><Relationship Id="rId36" Type="http://schemas.openxmlformats.org/officeDocument/2006/relationships/hyperlink" Target="https://www.theglimpse.com/5-content-marketing-strategies-it-marketers-should-use-in-2019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designbeep.com/2019/03/07/tips-for-building-successful-mhealth-apps/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s://www.theglimpse.com/5-content-marketing-strategies-it-marketers-should-use-in-2019" TargetMode="External"/><Relationship Id="rId37" Type="http://schemas.openxmlformats.org/officeDocument/2006/relationships/hyperlink" Target="https://www.articlerich.com/telemedicine-malpractice-risks-and-how-to-avoid-them/" TargetMode="External"/><Relationship Id="rId38" Type="http://schemas.openxmlformats.org/officeDocument/2006/relationships/hyperlink" Target="https://www.digitalauthority.me/web-design-chicago" TargetMode="External"/></Relationships>
</file>

<file path=xl/worksheets/_rels/sheet25.xml.rels><?xml version="1.0" encoding="UTF-8" standalone="yes"?>
<Relationships xmlns="http://schemas.openxmlformats.org/package/2006/relationships"><Relationship Id="rId9" Type="http://schemas.openxmlformats.org/officeDocument/2006/relationships/hyperlink" Target="http://www.beatsmonsterfrance.com/how-can-blockchain-help-the-healthcare-industry/" TargetMode="External"/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s://albanianjournalism.com/from-patient-portals-to-wearable-monitoring-devices-and-5g-networks/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s://www.digitalauthority.me/resources/hitrust-certification-guideline/" TargetMode="External"/><Relationship Id="rId25" Type="http://schemas.openxmlformats.org/officeDocument/2006/relationships/hyperlink" Target="https://vwbblog.com/9-marketing-techniques-that-your-it-company-is-missing-out-on/" TargetMode="External"/><Relationship Id="rId26" Type="http://schemas.openxmlformats.org/officeDocument/2006/relationships/hyperlink" Target="http://www.digitalauthority.me" TargetMode="External"/><Relationship Id="rId27" Type="http://schemas.openxmlformats.org/officeDocument/2006/relationships/hyperlink" Target="https://albanianjournalism.com/from-patient-portals-to-wearable-monitoring-devices-and-5g-networks/" TargetMode="External"/><Relationship Id="rId28" Type="http://schemas.openxmlformats.org/officeDocument/2006/relationships/hyperlink" Target="https://www.digitalauthority.me/web-design-chicago" TargetMode="External"/><Relationship Id="rId29" Type="http://schemas.openxmlformats.org/officeDocument/2006/relationships/hyperlink" Target="https://www.digitalauthority.me/resources/alexa-in-healthcare/" TargetMode="External"/><Relationship Id="rId10" Type="http://schemas.openxmlformats.org/officeDocument/2006/relationships/hyperlink" Target="http://healthchanging.com/4-blockchain-applications-healthcare-know-2019/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Relationship Id="rId1" Type="http://schemas.openxmlformats.org/officeDocument/2006/relationships/hyperlink" Target="http://www.forumgrad.com/5-tips-to-check-whether-your-site-is-ada-compliant-in-2019/" TargetMode="External"/><Relationship Id="rId2" Type="http://schemas.openxmlformats.org/officeDocument/2006/relationships/hyperlink" Target="https://koraplatform.com/what-is-ada-compliance-and-what-does-it-mean-for-your-business-website.html" TargetMode="External"/><Relationship Id="rId3" Type="http://schemas.openxmlformats.org/officeDocument/2006/relationships/hyperlink" Target="https://www.pouted.com/have-accessible-website-to-online-users/" TargetMode="External"/><Relationship Id="rId4" Type="http://schemas.openxmlformats.org/officeDocument/2006/relationships/hyperlink" Target="https://www.meetrv.com/benefits-of-astaxanthin-for-skin-care/" TargetMode="External"/><Relationship Id="rId5" Type="http://schemas.openxmlformats.org/officeDocument/2006/relationships/hyperlink" Target="https://www.topteny.com/major-health-benefits-astaxanthin-know-about/" TargetMode="External"/><Relationship Id="rId6" Type="http://schemas.openxmlformats.org/officeDocument/2006/relationships/hyperlink" Target="https://dcresource.biz/how-to-use-analytics-to-improve-your-companys-web-experience/" TargetMode="External"/><Relationship Id="rId7" Type="http://schemas.openxmlformats.org/officeDocument/2006/relationships/hyperlink" Target="http://www.thebaynet.com/community/uncategorised/could-blockchain-revolutionize-the-healthcare-industry.html" TargetMode="External"/><Relationship Id="rId8" Type="http://schemas.openxmlformats.org/officeDocument/2006/relationships/hyperlink" Target="http://www.memetics.com/5-things-you-didnt-know-about-blockchain-in-healthcare/" TargetMode="External"/></Relationships>
</file>

<file path=xl/worksheets/_rels/sheet26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s://www.thesmartweightloss.com/can-astaxanthin-help-patients-suffering-from-alzheimers/" TargetMode="External"/><Relationship Id="rId22" Type="http://schemas.openxmlformats.org/officeDocument/2006/relationships/hyperlink" Target="https://thefabweb.com/top-5-strategies-to-prepare-a-healthcare-marketing-plan/" TargetMode="External"/><Relationship Id="rId23" Type="http://schemas.openxmlformats.org/officeDocument/2006/relationships/hyperlink" Target="https://www.mobileappdaily.com/important-healthcare-startup-app-development-tips" TargetMode="External"/><Relationship Id="rId24" Type="http://schemas.openxmlformats.org/officeDocument/2006/relationships/hyperlink" Target="http://webseasoning.com/others/how-to-build-healthcare-apps-that-users-will-love/10482/" TargetMode="External"/><Relationship Id="rId25" Type="http://schemas.openxmlformats.org/officeDocument/2006/relationships/hyperlink" Target="https://thefabweb.com/top-5-strategies-to-prepare-a-healthcare-marketing-plan/" TargetMode="External"/><Relationship Id="rId26" Type="http://schemas.openxmlformats.org/officeDocument/2006/relationships/hyperlink" Target="https://www.digitalauthority.me/resources/hitrust-certification-guideline/" TargetMode="External"/><Relationship Id="rId27" Type="http://schemas.openxmlformats.org/officeDocument/2006/relationships/hyperlink" Target="https://www.namasteui.com/it-marketing-tip-for-2019/" TargetMode="External"/><Relationship Id="rId28" Type="http://schemas.openxmlformats.org/officeDocument/2006/relationships/hyperlink" Target="http://www.digitalauthority.me" TargetMode="External"/><Relationship Id="rId29" Type="http://schemas.openxmlformats.org/officeDocument/2006/relationships/hyperlink" Target="http://webseasoning.com/others/how-to-build-healthcare-apps-that-users-will-love/10482/" TargetMode="External"/><Relationship Id="rId1" Type="http://schemas.openxmlformats.org/officeDocument/2006/relationships/hyperlink" Target="https://www.mobileappdaily.com/important-healthcare-startup-app-development-tips" TargetMode="External"/><Relationship Id="rId2" Type="http://schemas.openxmlformats.org/officeDocument/2006/relationships/hyperlink" Target="https://www.startupopinions.com/non-ada-compliant-website-makes-you-miss-out-on-customers/" TargetMode="External"/><Relationship Id="rId3" Type="http://schemas.openxmlformats.org/officeDocument/2006/relationships/hyperlink" Target="http://bloggerspath.com/what-an-ada-compliant-website-can-do-for-your-business/" TargetMode="External"/><Relationship Id="rId4" Type="http://schemas.openxmlformats.org/officeDocument/2006/relationships/hyperlink" Target="https://www.digitalauthority.me/resources/alexa-in-healthcare/" TargetMode="External"/><Relationship Id="rId5" Type="http://schemas.openxmlformats.org/officeDocument/2006/relationships/hyperlink" Target="https://www.namasteui.com/alexa-use-cases-every-healthcare-executive-should-know-about-in-2019/" TargetMode="External"/><Relationship Id="rId30" Type="http://schemas.openxmlformats.org/officeDocument/2006/relationships/hyperlink" Target="https://healthcareweekly.com/scoliosis-brace-guide/" TargetMode="External"/><Relationship Id="rId31" Type="http://schemas.openxmlformats.org/officeDocument/2006/relationships/hyperlink" Target="https://www.namasteui.com/it-marketing-tip-for-2019/" TargetMode="External"/><Relationship Id="rId32" Type="http://schemas.openxmlformats.org/officeDocument/2006/relationships/hyperlink" Target="http://www.theglobaldispatch.com/insurance-and-telemedicine-what-is-being-covered-and-by-whom-60111/" TargetMode="External"/><Relationship Id="rId9" Type="http://schemas.openxmlformats.org/officeDocument/2006/relationships/hyperlink" Target="http://www.digitalauthority.me" TargetMode="External"/><Relationship Id="rId6" Type="http://schemas.openxmlformats.org/officeDocument/2006/relationships/hyperlink" Target="https://techmoran.com/2019/03/19/7-artificial-intelligence-pharma-applications-you-should-be-aware-of-in-2019/" TargetMode="External"/><Relationship Id="rId7" Type="http://schemas.openxmlformats.org/officeDocument/2006/relationships/hyperlink" Target="https://www.nowg.net/how-to-drink-more-water-in-2019/" TargetMode="External"/><Relationship Id="rId8" Type="http://schemas.openxmlformats.org/officeDocument/2006/relationships/hyperlink" Target="https://www.thesmartweightloss.com/can-astaxanthin-help-patients-suffering-from-alzheimers/" TargetMode="External"/><Relationship Id="rId33" Type="http://schemas.openxmlformats.org/officeDocument/2006/relationships/hyperlink" Target="https://www.digitalauthority.me/web-design-chicago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/Relationships>
</file>

<file path=xl/worksheets/_rels/sheet27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aspirantsg.com/rooftop-bars-in-the-world/" TargetMode="External"/><Relationship Id="rId20" Type="http://schemas.openxmlformats.org/officeDocument/2006/relationships/hyperlink" Target="https://www.bmmagazine.co.uk/business/website-ada-compliance-what-it-is-how-it-works-and-why-you-need-to-do-it/" TargetMode="External"/><Relationship Id="rId21" Type="http://schemas.openxmlformats.org/officeDocument/2006/relationships/hyperlink" Target="https://www.digitalauthority.me/resources/hitrust-certification-guideline/" TargetMode="External"/><Relationship Id="rId22" Type="http://schemas.openxmlformats.org/officeDocument/2006/relationships/hyperlink" Target="https://www.techmediaguide.com/what-is-hitrust-and-what-does-it-mean-for-development-companies/" TargetMode="External"/><Relationship Id="rId23" Type="http://schemas.openxmlformats.org/officeDocument/2006/relationships/hyperlink" Target="https://codetorank.com/actionable-tips-for-it-companies-to-market-themselves-better-in-2019/" TargetMode="External"/><Relationship Id="rId24" Type="http://schemas.openxmlformats.org/officeDocument/2006/relationships/hyperlink" Target="http://www.mobiletweaks.net/7-customer-retention-marketing-tips-for-it-companies/" TargetMode="External"/><Relationship Id="rId25" Type="http://schemas.openxmlformats.org/officeDocument/2006/relationships/hyperlink" Target="https://www.technected.com/6-tips-for-developing-an-it-marketing-strategy" TargetMode="External"/><Relationship Id="rId26" Type="http://schemas.openxmlformats.org/officeDocument/2006/relationships/hyperlink" Target="http://www.digitalauthority.me" TargetMode="External"/><Relationship Id="rId27" Type="http://schemas.openxmlformats.org/officeDocument/2006/relationships/hyperlink" Target="http://www.pitchengine.com/hiwebsolutions/2019/03/27/why-online-reputation-management-for-doctors/002518485930729863932" TargetMode="External"/><Relationship Id="rId28" Type="http://schemas.openxmlformats.org/officeDocument/2006/relationships/hyperlink" Target="https://www.digitalauthority.me/web-design-chicago" TargetMode="External"/><Relationship Id="rId29" Type="http://schemas.openxmlformats.org/officeDocument/2006/relationships/hyperlink" Target="https://www.digitalauthority.me/resources/alexa-in-healthcare/" TargetMode="External"/><Relationship Id="rId30" Type="http://schemas.openxmlformats.org/officeDocument/2006/relationships/hyperlink" Target="https://articles.format.com/blog/ten-marketing-terms-every-creative-executive-should-know-in-2019" TargetMode="External"/><Relationship Id="rId31" Type="http://schemas.openxmlformats.org/officeDocument/2006/relationships/hyperlink" Target="http://creatives.world.edu/2019/03/28/best-marketing-concepts-to-master-in-2019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s://www.digitalconnectmag.com/why-having-an-non-ada-compliant-website-isnt-cost-effective/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s://www.techmediaguide.com/what-is-hitrust-and-what-does-it-mean-for-development-companies/" TargetMode="External"/><Relationship Id="rId1" Type="http://schemas.openxmlformats.org/officeDocument/2006/relationships/hyperlink" Target="https://www.bmmagazine.co.uk/business/website-ada-compliance-what-it-is-how-it-works-and-why-you-need-to-do-it/" TargetMode="External"/><Relationship Id="rId2" Type="http://schemas.openxmlformats.org/officeDocument/2006/relationships/hyperlink" Target="https://socialnomics.net/2019/03/30/ada-website-compliance-how-to-avoid-a-web-accessibility-lawsuit/" TargetMode="External"/><Relationship Id="rId3" Type="http://schemas.openxmlformats.org/officeDocument/2006/relationships/hyperlink" Target="https://www.digitalconnectmag.com/why-having-an-non-ada-compliant-website-isnt-cost-effective/" TargetMode="External"/><Relationship Id="rId4" Type="http://schemas.openxmlformats.org/officeDocument/2006/relationships/hyperlink" Target="https://makingbrandshappen.com/2019/03/25/what-is-the-astaxanthin-natural-supplement-good-for/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28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s://www.reliablecounter.com/blog/connected-health-and-the-patient-experience-is-the-future-of-healthcare/" TargetMode="External"/><Relationship Id="rId22" Type="http://schemas.openxmlformats.org/officeDocument/2006/relationships/hyperlink" Target="https://www.digitalauthority.me/resources/hitrust-certification-guideline/" TargetMode="External"/><Relationship Id="rId23" Type="http://schemas.openxmlformats.org/officeDocument/2006/relationships/hyperlink" Target="https://www.ultimate-tech-news.com/hitrust-security-framework-all-you-need-to-know/" TargetMode="External"/><Relationship Id="rId24" Type="http://schemas.openxmlformats.org/officeDocument/2006/relationships/hyperlink" Target="https://www.xavixstore.com/differences-between-hipaa-and-hitrust-certifications-all-you-need-to-know/" TargetMode="External"/><Relationship Id="rId25" Type="http://schemas.openxmlformats.org/officeDocument/2006/relationships/hyperlink" Target="https://socialmediaexplorer.com/content-sections/news-and-noise/9-social-media-marketing-techniques-that-your-it-company-is-missing-out-on/" TargetMode="External"/><Relationship Id="rId26" Type="http://schemas.openxmlformats.org/officeDocument/2006/relationships/hyperlink" Target="http://www.digitalauthority.me" TargetMode="External"/><Relationship Id="rId27" Type="http://schemas.openxmlformats.org/officeDocument/2006/relationships/hyperlink" Target="https://small-bizsense.com/rare-conditions-can-be-managed-using-telehealth-solutions/" TargetMode="External"/><Relationship Id="rId28" Type="http://schemas.openxmlformats.org/officeDocument/2006/relationships/hyperlink" Target="https://www.digitalauthority.me/web-design-chicago" TargetMode="External"/><Relationship Id="rId29" Type="http://schemas.openxmlformats.org/officeDocument/2006/relationships/hyperlink" Target="https://www.digitalauthority.me/resources/alexa-in-healthcare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Relationship Id="rId1" Type="http://schemas.openxmlformats.org/officeDocument/2006/relationships/hyperlink" Target="https://baltimorepostexaminer.com/6-health-reasons-why-you-should-eat-more-salmon/2019/04/26" TargetMode="External"/><Relationship Id="rId2" Type="http://schemas.openxmlformats.org/officeDocument/2006/relationships/hyperlink" Target="https://www.cleanweb.co/2019/04/26/what-exactly-is-data-driven-marketing/" TargetMode="External"/><Relationship Id="rId3" Type="http://schemas.openxmlformats.org/officeDocument/2006/relationships/hyperlink" Target="https://www.serversfree.com/5-actionable-tips-to-a-data-driven-content-marketing-strategy/" TargetMode="External"/><Relationship Id="rId4" Type="http://schemas.openxmlformats.org/officeDocument/2006/relationships/hyperlink" Target="https://www.teethgrinder.co.uk/most-effective-online-marketing-strategies-in-2019/" TargetMode="External"/><Relationship Id="rId5" Type="http://schemas.openxmlformats.org/officeDocument/2006/relationships/hyperlink" Target="https://sli.mg/how-to-market-a-medical-device-like-a-pro/" TargetMode="External"/><Relationship Id="rId6" Type="http://schemas.openxmlformats.org/officeDocument/2006/relationships/hyperlink" Target="https://axcessnews.com/business/breaking-business/how-to-leverage-social-media-to-get-visibility-online_10825/" TargetMode="External"/><Relationship Id="rId7" Type="http://schemas.openxmlformats.org/officeDocument/2006/relationships/hyperlink" Target="https://small-bizsense.com/5-tips-to-measure-the-roi-of-your-marketing-effort/" TargetMode="External"/><Relationship Id="rId8" Type="http://schemas.openxmlformats.org/officeDocument/2006/relationships/hyperlink" Target="https://socialmediaexplorer.com/content-sections/news-and-noise/9-social-media-marketing-techniques-that-your-it-company-is-missing-out-on/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s://www.digitalauthority.me/web-design-chicago" TargetMode="External"/><Relationship Id="rId21" Type="http://schemas.openxmlformats.org/officeDocument/2006/relationships/hyperlink" Target="https://www.digitalauthority.me/resources/alexa-in-healthcare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s://www.ultimate-tech-news.com/9-new-medical-technologies-doctors-should-be-aware-of-in-2019/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s://www.ultimate-tech-news.com/6-strategies-to-market-your-mobile-app-after-launch/" TargetMode="External"/><Relationship Id="rId17" Type="http://schemas.openxmlformats.org/officeDocument/2006/relationships/hyperlink" Target="https://www.digitalauthority.me/resources/hitrust-certification-guideline/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s://loreleiwebdesign.com/2019/04/29/6-things-you-didnt-know-about-mobile-app-marketing-in-2019/" TargetMode="External"/><Relationship Id="rId1" Type="http://schemas.openxmlformats.org/officeDocument/2006/relationships/hyperlink" Target="https://loreleiweb.com/the-evolution-of-ada-compliance-and-what-it-means-in-the-digital-age/" TargetMode="External"/><Relationship Id="rId2" Type="http://schemas.openxmlformats.org/officeDocument/2006/relationships/hyperlink" Target="https://www.awe.sm/2019/05/05/5-marketing-trends-that-help-with-brand-awareness/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30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s://techmoran.com/2019/05/04/11-most-innovative-health-apps-in-2019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s://metrosaga.com/why-telehealth-technologies-continue-to-become-more-and-more-popular/" TargetMode="External"/><Relationship Id="rId16" Type="http://schemas.openxmlformats.org/officeDocument/2006/relationships/hyperlink" Target="https://www.digitalauthority.me/resources/hitrust-certification-guideline/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s://www.digitalauthority.me/web-design-chicago" TargetMode="External"/><Relationship Id="rId19" Type="http://schemas.openxmlformats.org/officeDocument/2006/relationships/hyperlink" Target="https://www.digitalauthority.me/resources/alexa-in-healthcare/" TargetMode="External"/><Relationship Id="rId1" Type="http://schemas.openxmlformats.org/officeDocument/2006/relationships/hyperlink" Target="https://redcupagency.com/5-reasons-why-i-started-a-business-podcast/" TargetMode="External"/><Relationship Id="rId2" Type="http://schemas.openxmlformats.org/officeDocument/2006/relationships/hyperlink" Target="http://www.digitalauthority.me" TargetMode="External"/><Relationship Id="rId3" Type="http://schemas.openxmlformats.org/officeDocument/2006/relationships/hyperlink" Target="http://www.digitalauthority.me" TargetMode="External"/><Relationship Id="rId4" Type="http://schemas.openxmlformats.org/officeDocument/2006/relationships/hyperlink" Target="http://www.digitalauthority.me" TargetMode="External"/><Relationship Id="rId5" Type="http://schemas.openxmlformats.org/officeDocument/2006/relationships/hyperlink" Target="https://www.igeekphone.com/a-look-at-fitbit-selecting-the-best-and-brightest-wearable-device/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3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s://soakmind.com/tech/digital-trends-healthcare-pr-experts-should-know-about-in-2019/" TargetMode="External"/><Relationship Id="rId21" Type="http://schemas.openxmlformats.org/officeDocument/2006/relationships/hyperlink" Target="https://www.digitalauthority.me/resources/hitrust-certification-guideline/" TargetMode="External"/><Relationship Id="rId22" Type="http://schemas.openxmlformats.org/officeDocument/2006/relationships/hyperlink" Target="http://www.divjot.co/5-things-every-hospital-ceo-should-know-about-cybersecurity/" TargetMode="External"/><Relationship Id="rId23" Type="http://schemas.openxmlformats.org/officeDocument/2006/relationships/hyperlink" Target="https://chandigarhofficial.com/why-we-need-to-streamline-it-marketing/" TargetMode="External"/><Relationship Id="rId24" Type="http://schemas.openxmlformats.org/officeDocument/2006/relationships/hyperlink" Target="http://www.digitalauthority.me" TargetMode="External"/><Relationship Id="rId25" Type="http://schemas.openxmlformats.org/officeDocument/2006/relationships/hyperlink" Target="https://www.northindiadaily.com/more-seniors-are-warming-up-to-telemedicine/" TargetMode="External"/><Relationship Id="rId26" Type="http://schemas.openxmlformats.org/officeDocument/2006/relationships/hyperlink" Target="https://chandigarhofficial.com/telemedicine-the-fastest-way-to-grow-your-health-business/" TargetMode="External"/><Relationship Id="rId27" Type="http://schemas.openxmlformats.org/officeDocument/2006/relationships/hyperlink" Target="https://legendvalley.net/2019/05/17/fitbit-trackers-which-one-is-the-best/" TargetMode="External"/><Relationship Id="rId28" Type="http://schemas.openxmlformats.org/officeDocument/2006/relationships/hyperlink" Target="https://www.digitalauthority.me/web-design-chicago" TargetMode="External"/><Relationship Id="rId29" Type="http://schemas.openxmlformats.org/officeDocument/2006/relationships/hyperlink" Target="https://www.digitalauthority.me/resources/alexa-in-healthcare/" TargetMode="External"/><Relationship Id="rId30" Type="http://schemas.openxmlformats.org/officeDocument/2006/relationships/hyperlink" Target="https://www.besttechie.com/why-alexa-for-business-is-the-future-of-workplace-productivity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s://techlogitic.net/5-things-you-should-know-about-healthcare-marketing-in-2019/" TargetMode="External"/><Relationship Id="rId19" Type="http://schemas.openxmlformats.org/officeDocument/2006/relationships/hyperlink" Target="http://www.dezzain.com/technology/wearables-a-new-tool-to-fight-chronic-diseases/" TargetMode="External"/><Relationship Id="rId1" Type="http://schemas.openxmlformats.org/officeDocument/2006/relationships/hyperlink" Target="https://www.besttechie.com/why-alexa-for-business-is-the-future-of-workplace-productivity/" TargetMode="External"/><Relationship Id="rId2" Type="http://schemas.openxmlformats.org/officeDocument/2006/relationships/hyperlink" Target="http://www.divjot.co/how-brands-make-people-care/" TargetMode="External"/><Relationship Id="rId3" Type="http://schemas.openxmlformats.org/officeDocument/2006/relationships/hyperlink" Target="https://www.tribunebyte.com/6-b2b-marketing-mistakes-every-company-has-made/" TargetMode="External"/><Relationship Id="rId4" Type="http://schemas.openxmlformats.org/officeDocument/2006/relationships/hyperlink" Target="https://inkhive.com/2019/05/16/5-things-every-executive-know-data-driven-marketing/" TargetMode="External"/><Relationship Id="rId5" Type="http://schemas.openxmlformats.org/officeDocument/2006/relationships/hyperlink" Target="https://www.tastefulspace.com/blog/2019/05/17/innovative-treatments-for-heart-patients/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3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digitalauthority.me" TargetMode="External"/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s://axcessnews.com/national/health/5-new-applications-of-telemedicine-you-need-to-know-about_11152/" TargetMode="External"/><Relationship Id="rId22" Type="http://schemas.openxmlformats.org/officeDocument/2006/relationships/hyperlink" Target="https://www.digitalauthority.me/web-design-chicago" TargetMode="External"/><Relationship Id="rId23" Type="http://schemas.openxmlformats.org/officeDocument/2006/relationships/hyperlink" Target="https://www.digitalauthority.me/resources/alexa-in-healthcare/" TargetMode="External"/><Relationship Id="rId24" Type="http://schemas.openxmlformats.org/officeDocument/2006/relationships/hyperlink" Target="https://www.awe.sm/2019/05/20/15-statistics-that-prove-connected-health-is-the-next-big-thing-in-healthcare/" TargetMode="External"/><Relationship Id="rId25" Type="http://schemas.openxmlformats.org/officeDocument/2006/relationships/hyperlink" Target="https://blogwritr.com/how-hard-is-it-to-build-a-mobile-app/" TargetMode="External"/><Relationship Id="rId10" Type="http://schemas.openxmlformats.org/officeDocument/2006/relationships/hyperlink" Target="http://www.digitalauthority.me" TargetMode="External"/><Relationship Id="rId11" Type="http://schemas.openxmlformats.org/officeDocument/2006/relationships/hyperlink" Target="http://www.digitalauthority.me" TargetMode="External"/><Relationship Id="rId12" Type="http://schemas.openxmlformats.org/officeDocument/2006/relationships/hyperlink" Target="http://www.digitalauthority.me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s://www.digitalauthority.me/resources/hitrust-certification-guideline/" TargetMode="External"/><Relationship Id="rId18" Type="http://schemas.openxmlformats.org/officeDocument/2006/relationships/hyperlink" Target="https://www.easyworknet.com/technology/hitrust-quick-overview-healthcares-top-security-framework/" TargetMode="External"/><Relationship Id="rId19" Type="http://schemas.openxmlformats.org/officeDocument/2006/relationships/hyperlink" Target="https://www.mindstick.com/Blog/53517/why-every-development-company-should-become-hitrust-certified-today" TargetMode="External"/><Relationship Id="rId1" Type="http://schemas.openxmlformats.org/officeDocument/2006/relationships/hyperlink" Target="http://www.cascadeae.com/what-restaurant-owners-should-know-about-ada-compliance/" TargetMode="External"/><Relationship Id="rId2" Type="http://schemas.openxmlformats.org/officeDocument/2006/relationships/hyperlink" Target="https://oneworldherald.com/2019/05/20/global-research-reveals-8-reasons-to-take-astaxanthin-everyday/" TargetMode="External"/><Relationship Id="rId3" Type="http://schemas.openxmlformats.org/officeDocument/2006/relationships/hyperlink" Target="https://www.bigtimedaily.com/report-shows-disney-dethrones-apple-as-the-most-intimate-brand-in-the-world/" TargetMode="External"/><Relationship Id="rId4" Type="http://schemas.openxmlformats.org/officeDocument/2006/relationships/hyperlink" Target="http://cascadebusnews.com/6-marketing-strategies-every-b2b-business-experiment-year/" TargetMode="External"/><Relationship Id="rId5" Type="http://schemas.openxmlformats.org/officeDocument/2006/relationships/hyperlink" Target="http://www.digitalauthority.me" TargetMode="External"/><Relationship Id="rId6" Type="http://schemas.openxmlformats.org/officeDocument/2006/relationships/hyperlink" Target="http://www.digitalauthority.me" TargetMode="External"/><Relationship Id="rId7" Type="http://schemas.openxmlformats.org/officeDocument/2006/relationships/hyperlink" Target="http://www.digitalauthority.me" TargetMode="External"/><Relationship Id="rId8" Type="http://schemas.openxmlformats.org/officeDocument/2006/relationships/hyperlink" Target="http://www.digitalauthority.me" TargetMode="External"/></Relationships>
</file>

<file path=xl/worksheets/_rels/sheet33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://www.digitalauthority.me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://www.digitalauthority.me" TargetMode="External"/><Relationship Id="rId25" Type="http://schemas.openxmlformats.org/officeDocument/2006/relationships/hyperlink" Target="http://www.digitalauthority.me" TargetMode="External"/><Relationship Id="rId26" Type="http://schemas.openxmlformats.org/officeDocument/2006/relationships/hyperlink" Target="https://www.digitalauthority.me/resources/hitrust-certification-guideline/" TargetMode="External"/><Relationship Id="rId27" Type="http://schemas.openxmlformats.org/officeDocument/2006/relationships/hyperlink" Target="https://www.digitalauthority.me/resources/hotel-digital-marketing-tips/" TargetMode="External"/><Relationship Id="rId28" Type="http://schemas.openxmlformats.org/officeDocument/2006/relationships/hyperlink" Target="https://expressdigest.com/how-to-use-social-media-to-market-your-hotel/" TargetMode="External"/><Relationship Id="rId29" Type="http://schemas.openxmlformats.org/officeDocument/2006/relationships/hyperlink" Target="http://www.digitalauthority.me" TargetMode="External"/><Relationship Id="rId1" Type="http://schemas.openxmlformats.org/officeDocument/2006/relationships/hyperlink" Target="http://www.isurfwebster.com/3-famous-companies-sued-over-website-ada-compliance/" TargetMode="External"/><Relationship Id="rId2" Type="http://schemas.openxmlformats.org/officeDocument/2006/relationships/hyperlink" Target="http://usdailyreview.com/what-restaurant-website-owners-should-know-about-ada-compliance/" TargetMode="External"/><Relationship Id="rId3" Type="http://schemas.openxmlformats.org/officeDocument/2006/relationships/hyperlink" Target="https://www.digitalauthority.me/resources/alexa-for-business-skills/" TargetMode="External"/><Relationship Id="rId4" Type="http://schemas.openxmlformats.org/officeDocument/2006/relationships/hyperlink" Target="https://www.digitalauthority.me/resources/alexa-in-healthcare/" TargetMode="External"/><Relationship Id="rId5" Type="http://schemas.openxmlformats.org/officeDocument/2006/relationships/hyperlink" Target="https://stimulhosting.com/6-alexa-skills-making-employees-more-productive.html" TargetMode="External"/><Relationship Id="rId30" Type="http://schemas.openxmlformats.org/officeDocument/2006/relationships/hyperlink" Target="https://southafricatoday.net/internet/internet-marketing/marketing-tips-to-improve-your-apps-visibility-in-2019/" TargetMode="External"/><Relationship Id="rId31" Type="http://schemas.openxmlformats.org/officeDocument/2006/relationships/hyperlink" Target="https://healthcareweekly.com/multivitamins/" TargetMode="External"/><Relationship Id="rId32" Type="http://schemas.openxmlformats.org/officeDocument/2006/relationships/hyperlink" Target="https://www.womenfitnessmag.com/a-simple-workout-schedule-for-stay-at-home-moms/" TargetMode="External"/><Relationship Id="rId9" Type="http://schemas.openxmlformats.org/officeDocument/2006/relationships/hyperlink" Target="http://stuffablog.com/5-marketing-tips-sell-without-selling/" TargetMode="External"/><Relationship Id="rId6" Type="http://schemas.openxmlformats.org/officeDocument/2006/relationships/hyperlink" Target="https://www.xomba.com/5-vitamins-to-take-to-live-a-longer-life/" TargetMode="External"/><Relationship Id="rId7" Type="http://schemas.openxmlformats.org/officeDocument/2006/relationships/hyperlink" Target="http://usdailyreview.com/7-easy-and-fun-ways-to-drink-more-water-everyday/" TargetMode="External"/><Relationship Id="rId8" Type="http://schemas.openxmlformats.org/officeDocument/2006/relationships/hyperlink" Target="https://knowtechie.com/productivity-hacks-to-become-a-better-marketer/" TargetMode="External"/><Relationship Id="rId33" Type="http://schemas.openxmlformats.org/officeDocument/2006/relationships/hyperlink" Target="https://www.xomba.com/5-vitamins-to-take-to-live-a-longer-life/" TargetMode="External"/><Relationship Id="rId34" Type="http://schemas.openxmlformats.org/officeDocument/2006/relationships/hyperlink" Target="http://www.isurfwebster.com/should-parents-give-multivitamins-to-their-kids/" TargetMode="External"/><Relationship Id="rId35" Type="http://schemas.openxmlformats.org/officeDocument/2006/relationships/hyperlink" Target="https://openminds.swissre.com/stories/1542/" TargetMode="External"/><Relationship Id="rId36" Type="http://schemas.openxmlformats.org/officeDocument/2006/relationships/hyperlink" Target="https://www.explosion.com/130477/everything-you-need-to-know-about-multivitamins/" TargetMode="External"/><Relationship Id="rId10" Type="http://schemas.openxmlformats.org/officeDocument/2006/relationships/hyperlink" Target="http://www.saasgenius.com/blog/best-b2b-it-marketing-strategies-2019" TargetMode="External"/><Relationship Id="rId11" Type="http://schemas.openxmlformats.org/officeDocument/2006/relationships/hyperlink" Target="https://www.expert-market.com/winning-marketing-strategies-for-every-b2b-business/" TargetMode="External"/><Relationship Id="rId12" Type="http://schemas.openxmlformats.org/officeDocument/2006/relationships/hyperlink" Target="https://technocodex.com/6-strategies-to-get-customers-for-your-tech-business-in-2019/" TargetMode="External"/><Relationship Id="rId13" Type="http://schemas.openxmlformats.org/officeDocument/2006/relationships/hyperlink" Target="https://stopie.com/big-data-in-healthcare-how-it-works/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Relationship Id="rId37" Type="http://schemas.openxmlformats.org/officeDocument/2006/relationships/hyperlink" Target="https://www.shiftfrequency.com/how-to-prepare-for-college/" TargetMode="External"/><Relationship Id="rId38" Type="http://schemas.openxmlformats.org/officeDocument/2006/relationships/hyperlink" Target="https://kellysthoughtsonthings.com/side-effects-of-multivitamins-you-should-know-about/" TargetMode="External"/><Relationship Id="rId39" Type="http://schemas.openxmlformats.org/officeDocument/2006/relationships/hyperlink" Target="https://www.downtownmiami.com/community/family/7-reasons-why-you-should-take-multivitamins-every-day.html" TargetMode="External"/><Relationship Id="rId40" Type="http://schemas.openxmlformats.org/officeDocument/2006/relationships/hyperlink" Target="https://www.digitalauthority.me/resources/pharma-marketing-guide/" TargetMode="External"/><Relationship Id="rId41" Type="http://schemas.openxmlformats.org/officeDocument/2006/relationships/hyperlink" Target="https://www.digitalauthority.me/web-design-chicago" TargetMode="External"/></Relationships>
</file>

<file path=xl/worksheets/_rels/sheet34.xml.rels><?xml version="1.0" encoding="UTF-8" standalone="yes"?>
<Relationships xmlns="http://schemas.openxmlformats.org/package/2006/relationships"><Relationship Id="rId20" Type="http://schemas.openxmlformats.org/officeDocument/2006/relationships/hyperlink" Target="http://www.digitalauthority.me" TargetMode="External"/><Relationship Id="rId21" Type="http://schemas.openxmlformats.org/officeDocument/2006/relationships/hyperlink" Target="http://www.digitalauthority.me" TargetMode="External"/><Relationship Id="rId22" Type="http://schemas.openxmlformats.org/officeDocument/2006/relationships/hyperlink" Target="http://www.digitalauthority.me" TargetMode="External"/><Relationship Id="rId23" Type="http://schemas.openxmlformats.org/officeDocument/2006/relationships/hyperlink" Target="http://www.digitalauthority.me" TargetMode="External"/><Relationship Id="rId24" Type="http://schemas.openxmlformats.org/officeDocument/2006/relationships/hyperlink" Target="http://www.digitalauthority.me" TargetMode="External"/><Relationship Id="rId25" Type="http://schemas.openxmlformats.org/officeDocument/2006/relationships/hyperlink" Target="http://www.blogbookworld.com/epic-pr-fails-to-avoid-in-2019" TargetMode="External"/><Relationship Id="rId26" Type="http://schemas.openxmlformats.org/officeDocument/2006/relationships/hyperlink" Target="https://www.digitalauthority.me/resources/hitrust-certification-guideline/" TargetMode="External"/><Relationship Id="rId27" Type="http://schemas.openxmlformats.org/officeDocument/2006/relationships/hyperlink" Target="https://www.technationnews.com/news/buisness/why-every-ai-company-in-healthcare-should-become-hitrust-certified/" TargetMode="External"/><Relationship Id="rId28" Type="http://schemas.openxmlformats.org/officeDocument/2006/relationships/hyperlink" Target="https://www.digitalauthority.me/resources/hotel-digital-marketing-tips/" TargetMode="External"/><Relationship Id="rId29" Type="http://schemas.openxmlformats.org/officeDocument/2006/relationships/hyperlink" Target="http://citizeneffect.org/three-amazing-digital-marketing-strategies-every-hotel-owner-should-try-out-in-2019/" TargetMode="External"/><Relationship Id="rId1" Type="http://schemas.openxmlformats.org/officeDocument/2006/relationships/hyperlink" Target="http://tiendagourmet.co/every-hotel-owner-needs-to-make-their-website-ada-compliant-heres-why" TargetMode="External"/><Relationship Id="rId2" Type="http://schemas.openxmlformats.org/officeDocument/2006/relationships/hyperlink" Target="https://www.digitalauthority.me/resources/alexa-for-business-skills/" TargetMode="External"/><Relationship Id="rId3" Type="http://schemas.openxmlformats.org/officeDocument/2006/relationships/hyperlink" Target="https://www.digitalauthority.me/resources/alexa-in-healthcare/" TargetMode="External"/><Relationship Id="rId4" Type="http://schemas.openxmlformats.org/officeDocument/2006/relationships/hyperlink" Target="https://blog.ideafit.com/blogs/sabrina-ramon/ai-s-impact-on-clinical-data" TargetMode="External"/><Relationship Id="rId5" Type="http://schemas.openxmlformats.org/officeDocument/2006/relationships/hyperlink" Target="https://www.ruhanirabin.com/reasons-biotech-artificial-intelligence-blockchain/" TargetMode="External"/><Relationship Id="rId30" Type="http://schemas.openxmlformats.org/officeDocument/2006/relationships/hyperlink" Target="http://advertiser24.rebelmouse.com/why-every-hotel-should-invest-in-content-marketing-this-year-2638686854.html" TargetMode="External"/><Relationship Id="rId31" Type="http://schemas.openxmlformats.org/officeDocument/2006/relationships/hyperlink" Target="https://therealtimereport.com/2019/06/04/hotel-marketing-tips-you-simply-cant-ignore/" TargetMode="External"/><Relationship Id="rId32" Type="http://schemas.openxmlformats.org/officeDocument/2006/relationships/hyperlink" Target="http://www.digitalauthority.me" TargetMode="External"/><Relationship Id="rId9" Type="http://schemas.openxmlformats.org/officeDocument/2006/relationships/hyperlink" Target="http://www.itsgettinghotinhere.org/business/what-works-and-what-doesnt-in-content-strategy-this-year/" TargetMode="External"/><Relationship Id="rId6" Type="http://schemas.openxmlformats.org/officeDocument/2006/relationships/hyperlink" Target="http://www.whatispsychology.biz/5-healthy-foods-you-should-eat-if-you-have-depression-117" TargetMode="External"/><Relationship Id="rId7" Type="http://schemas.openxmlformats.org/officeDocument/2006/relationships/hyperlink" Target="https://thesocialmediamonthly.com/does-experiential-marketing-work/" TargetMode="External"/><Relationship Id="rId8" Type="http://schemas.openxmlformats.org/officeDocument/2006/relationships/hyperlink" Target="https://therealtimereport.com/2019/06/04/hotel-marketing-tips-you-simply-cant-ignore/" TargetMode="External"/><Relationship Id="rId33" Type="http://schemas.openxmlformats.org/officeDocument/2006/relationships/hyperlink" Target="https://smthemes.com/blog/5-design-tips-for-healthcare-organizations/" TargetMode="External"/><Relationship Id="rId34" Type="http://schemas.openxmlformats.org/officeDocument/2006/relationships/hyperlink" Target="http://msftplace.com/8-things-that-successful-mobile-apps-have-in-common/" TargetMode="External"/><Relationship Id="rId35" Type="http://schemas.openxmlformats.org/officeDocument/2006/relationships/hyperlink" Target="https://healthcareweekly.com/multivitamins/" TargetMode="External"/><Relationship Id="rId36" Type="http://schemas.openxmlformats.org/officeDocument/2006/relationships/hyperlink" Target="https://www.dailynewsen.com/health/why-do-adults-take-multivitamins-h11813.html" TargetMode="External"/><Relationship Id="rId10" Type="http://schemas.openxmlformats.org/officeDocument/2006/relationships/hyperlink" Target="https://www.fxtribune.com/technology/how-big-data-is-redefining-marketing-h603755.html" TargetMode="External"/><Relationship Id="rId11" Type="http://schemas.openxmlformats.org/officeDocument/2006/relationships/hyperlink" Target="https://www.ruhanirabin.com/reasons-biotech-artificial-intelligence-blockchain/" TargetMode="External"/><Relationship Id="rId12" Type="http://schemas.openxmlformats.org/officeDocument/2006/relationships/hyperlink" Target="https://www.ruhanirabin.com/reasons-biotech-artificial-intelligence-blockchain/" TargetMode="External"/><Relationship Id="rId13" Type="http://schemas.openxmlformats.org/officeDocument/2006/relationships/hyperlink" Target="http://www.digitalauthority.me" TargetMode="External"/><Relationship Id="rId14" Type="http://schemas.openxmlformats.org/officeDocument/2006/relationships/hyperlink" Target="http://www.digitalauthority.me" TargetMode="External"/><Relationship Id="rId15" Type="http://schemas.openxmlformats.org/officeDocument/2006/relationships/hyperlink" Target="http://www.digitalauthority.me" TargetMode="External"/><Relationship Id="rId16" Type="http://schemas.openxmlformats.org/officeDocument/2006/relationships/hyperlink" Target="http://www.digitalauthority.me" TargetMode="External"/><Relationship Id="rId17" Type="http://schemas.openxmlformats.org/officeDocument/2006/relationships/hyperlink" Target="http://www.digitalauthority.me" TargetMode="External"/><Relationship Id="rId18" Type="http://schemas.openxmlformats.org/officeDocument/2006/relationships/hyperlink" Target="http://www.digitalauthority.me" TargetMode="External"/><Relationship Id="rId19" Type="http://schemas.openxmlformats.org/officeDocument/2006/relationships/hyperlink" Target="http://www.digitalauthority.me" TargetMode="External"/><Relationship Id="rId37" Type="http://schemas.openxmlformats.org/officeDocument/2006/relationships/hyperlink" Target="http://tiendagourmet.co/10-reasons-why-multivitamins-are-great-for-your-child" TargetMode="External"/><Relationship Id="rId38" Type="http://schemas.openxmlformats.org/officeDocument/2006/relationships/hyperlink" Target="http://www.itsgettinghotinhere.org/health-fitness/how-much-vitamin-c-should-you-actually-take/" TargetMode="External"/><Relationship Id="rId39" Type="http://schemas.openxmlformats.org/officeDocument/2006/relationships/hyperlink" Target="https://www.digitalauthority.me/resources/pharma-marketing-guide/" TargetMode="External"/><Relationship Id="rId40" Type="http://schemas.openxmlformats.org/officeDocument/2006/relationships/hyperlink" Target="https://www.evernote.com/shard/s662/client/snv?noteGuid=0d1829f6-32ae-41a5-aad6-33cb0a90a31e&amp;noteKey=a99f975e749abb287b779eb2e35c8d39&amp;sn=https%3A%2F%2Fwww.evernote.com%2Fshard%2Fs662%2Fsh%2F0d1829f6-32ae-41a5-aad6-33cb0a90a31e%2Fa99f975e749abb287b779eb2e35c8d39&amp;title=How%2BTo%2BUse%2BAnalytics%2BTo%2BImprove%2BYour%2BWeb%2BExperience" TargetMode="External"/><Relationship Id="rId41" Type="http://schemas.openxmlformats.org/officeDocument/2006/relationships/hyperlink" Target="https://www.digitalauthority.me/web-design-chicago" TargetMode="External"/><Relationship Id="rId42" Type="http://schemas.openxmlformats.org/officeDocument/2006/relationships/hyperlink" Target="https://smthemes.com/blog/5-design-tips-for-healthcare-organization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Z106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9.5" customWidth="1"/>
    <col min="2" max="2" width="7.83203125" customWidth="1"/>
    <col min="3" max="3" width="65.5" customWidth="1"/>
    <col min="4" max="4" width="20.33203125" customWidth="1"/>
    <col min="5" max="5" width="6.33203125" customWidth="1"/>
    <col min="6" max="6" width="8.1640625" customWidth="1"/>
    <col min="7" max="7" width="9.33203125" customWidth="1"/>
    <col min="8" max="8" width="13.83203125" customWidth="1"/>
    <col min="9" max="9" width="13" customWidth="1"/>
    <col min="10" max="10" width="18.5" customWidth="1"/>
    <col min="11" max="12" width="19.83203125" customWidth="1"/>
  </cols>
  <sheetData>
    <row r="1" spans="1:52" ht="15.75" customHeight="1">
      <c r="A1" s="3" t="s">
        <v>1</v>
      </c>
      <c r="B1" s="3" t="s">
        <v>17</v>
      </c>
      <c r="C1" s="3" t="s">
        <v>18</v>
      </c>
      <c r="D1" s="3" t="s">
        <v>19</v>
      </c>
      <c r="E1" s="3" t="s">
        <v>20</v>
      </c>
      <c r="F1" s="5" t="s">
        <v>21</v>
      </c>
      <c r="G1" s="5" t="s">
        <v>23</v>
      </c>
      <c r="H1" s="3" t="s">
        <v>24</v>
      </c>
      <c r="I1" s="6" t="s">
        <v>25</v>
      </c>
      <c r="J1" s="6" t="s">
        <v>26</v>
      </c>
      <c r="K1" s="7" t="s">
        <v>27</v>
      </c>
      <c r="L1" s="3" t="s">
        <v>28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3" t="s">
        <v>36</v>
      </c>
      <c r="U1" s="3" t="s">
        <v>37</v>
      </c>
      <c r="V1" s="3" t="s">
        <v>38</v>
      </c>
      <c r="W1" s="3" t="s">
        <v>39</v>
      </c>
      <c r="X1" s="3" t="s">
        <v>40</v>
      </c>
      <c r="Y1" s="3" t="s">
        <v>41</v>
      </c>
      <c r="Z1" s="3" t="s">
        <v>42</v>
      </c>
      <c r="AA1" s="3" t="s">
        <v>43</v>
      </c>
      <c r="AB1" s="3" t="s">
        <v>44</v>
      </c>
      <c r="AC1" s="3" t="s">
        <v>45</v>
      </c>
      <c r="AD1" s="3" t="s">
        <v>46</v>
      </c>
      <c r="AE1" s="3" t="s">
        <v>47</v>
      </c>
      <c r="AF1" s="3" t="s">
        <v>48</v>
      </c>
      <c r="AG1" s="3" t="s">
        <v>49</v>
      </c>
      <c r="AH1" s="3" t="s">
        <v>50</v>
      </c>
      <c r="AI1" s="3" t="s">
        <v>51</v>
      </c>
      <c r="AJ1" s="3" t="s">
        <v>52</v>
      </c>
      <c r="AK1" s="3" t="s">
        <v>53</v>
      </c>
      <c r="AL1" s="3" t="s">
        <v>54</v>
      </c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ht="15.75" customHeight="1">
      <c r="A2" s="187" t="s">
        <v>55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C2" s="185"/>
      <c r="AD2" s="185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</row>
    <row r="3" spans="1:52" ht="15.75" customHeight="1">
      <c r="A3" s="10" t="s">
        <v>56</v>
      </c>
      <c r="B3" s="3" t="s">
        <v>57</v>
      </c>
      <c r="C3" s="14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D3" s="3" t="s">
        <v>59</v>
      </c>
      <c r="E3" s="3">
        <v>100</v>
      </c>
      <c r="F3" s="15">
        <v>1</v>
      </c>
      <c r="G3" s="16">
        <v>4</v>
      </c>
      <c r="H3" s="3">
        <v>8</v>
      </c>
      <c r="I3" s="17">
        <f t="shared" ref="I3:I31" si="0">IF(F3=1,(K3/H3))</f>
        <v>0.75</v>
      </c>
      <c r="J3" s="17">
        <f t="shared" ref="J3:J31" si="1">IF(F3&lt;=10,(K3/G3))</f>
        <v>1.5</v>
      </c>
      <c r="K3" s="17">
        <f t="shared" ref="K3:K31" si="2">SUMIF(L3:AG3,"&lt;&gt;#N/A")</f>
        <v>6</v>
      </c>
      <c r="L3" s="18" t="e">
        <f>VLOOKUP($D3,'Week 1'!$A$2:$AD$120,2,FALSE)</f>
        <v>#N/A</v>
      </c>
      <c r="M3" s="18">
        <f>VLOOKUP($D3,'Week 2'!$A$2:$AD$123,2,FALSE)</f>
        <v>1</v>
      </c>
      <c r="N3" s="18">
        <f>VLOOKUP($D3,'Week 3'!$A$2:$AH$119,2,FALSE)</f>
        <v>1</v>
      </c>
      <c r="O3" s="18">
        <f>VLOOKUP($D3,'Week 4'!$A$2:$AH$122,2,FALSE)</f>
        <v>0</v>
      </c>
      <c r="P3" s="18">
        <f>VLOOKUP($D3,'Week 5'!$A$2:$AG$120,2,FALSE)</f>
        <v>3</v>
      </c>
      <c r="Q3" s="18">
        <f>VLOOKUP($D3,'week 6'!$A$2:$AH$120,2,FALSE)</f>
        <v>0</v>
      </c>
      <c r="R3" s="18">
        <f>VLOOKUP($D3,'Week 7'!$A$2:$AH$120,2,FALSE)</f>
        <v>0</v>
      </c>
      <c r="S3" s="18">
        <f>VLOOKUP($D3,'Week 8'!$A$2:$AH$120,2,FALSE)</f>
        <v>0</v>
      </c>
      <c r="T3" s="18">
        <f>VLOOKUP($D3,'Week 9'!$A$2:$AH$120,2,FALSE)</f>
        <v>0</v>
      </c>
      <c r="U3" s="18">
        <f>VLOOKUP($D3,'Week 10'!$A$2:$AH$114,2,FALSE)</f>
        <v>1</v>
      </c>
      <c r="V3" s="18">
        <f>VLOOKUP($D3,'Week 11'!$A$2:$AH$120,2,FALSE)</f>
        <v>0</v>
      </c>
      <c r="W3" s="18">
        <f>VLOOKUP($D3,'Week 12'!$A$2:$AH$120,2,FALSE)</f>
        <v>0</v>
      </c>
      <c r="X3" s="18">
        <f>VLOOKUP($D3,'Week 13'!$A$2:$AH$120,2,FALSE)</f>
        <v>0</v>
      </c>
      <c r="Y3" s="18">
        <f>VLOOKUP($D3,'Week 14'!$A$2:$AH$120,2,FALSE)</f>
        <v>0</v>
      </c>
      <c r="Z3" s="18">
        <f>VLOOKUP($D3,'Week 15'!$A$2:$AH$120,2,FALSE)</f>
        <v>0</v>
      </c>
      <c r="AA3" s="18">
        <f>VLOOKUP($D3,'Week 16'!$A$2:$AH$120,2,FALSE)</f>
        <v>0</v>
      </c>
      <c r="AB3" s="18">
        <f>VLOOKUP($D3,'Week 17'!$A$2:$AH$120,2,FALSE)</f>
        <v>0</v>
      </c>
      <c r="AC3" s="18">
        <f>VLOOKUP($D3,'Week 18'!$A$2:$AH$120,2,FALSE)</f>
        <v>0</v>
      </c>
      <c r="AD3" s="18">
        <f>VLOOKUP($D3,'Week 19'!$A$2:$AH$120,2,FALSE)</f>
        <v>0</v>
      </c>
      <c r="AE3" s="18">
        <f>VLOOKUP($D3,'Week 20'!$A$2:$AH$120,2,FALSE)</f>
        <v>0</v>
      </c>
      <c r="AF3" s="18">
        <f>VLOOKUP($D3,'Week 21'!$A$2:$AH$120,2,FALSE)</f>
        <v>0</v>
      </c>
      <c r="AG3" s="18">
        <f>VLOOKUP($D3,'Week 22'!$A$2:$AH$120,2,FALSE)</f>
        <v>0</v>
      </c>
      <c r="AH3" s="18">
        <f>VLOOKUP($D3,'Week 23'!$A$2:$AH$120,2,FALSE)</f>
        <v>0</v>
      </c>
      <c r="AI3" s="18">
        <f>VLOOKUP($D3,'Week 24'!$A$2:$AH$120,2,FALSE)</f>
        <v>0</v>
      </c>
      <c r="AJ3" s="18">
        <f>VLOOKUP($D3,'Week 25'!$A$2:$AH$120,2,FALSE)</f>
        <v>0</v>
      </c>
      <c r="AK3" s="18">
        <f>VLOOKUP($D3,'Week 26'!$A$2:$AH$120,2,FALSE)</f>
        <v>0</v>
      </c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</row>
    <row r="4" spans="1:52" ht="15.75" customHeight="1">
      <c r="A4" s="3" t="s">
        <v>56</v>
      </c>
      <c r="B4" s="3" t="s">
        <v>57</v>
      </c>
      <c r="C4" s="11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D4" s="3" t="s">
        <v>74</v>
      </c>
      <c r="E4" s="3">
        <v>90</v>
      </c>
      <c r="F4" s="15">
        <v>13</v>
      </c>
      <c r="G4" s="16">
        <v>7</v>
      </c>
      <c r="H4" s="3">
        <v>15</v>
      </c>
      <c r="I4" s="17" t="b">
        <f t="shared" si="0"/>
        <v>0</v>
      </c>
      <c r="J4" s="17" t="b">
        <f t="shared" si="1"/>
        <v>0</v>
      </c>
      <c r="K4" s="17">
        <f t="shared" si="2"/>
        <v>9</v>
      </c>
      <c r="L4" s="18">
        <f>VLOOKUP($D4,'Week 1'!$A$2:$AD$120,2,FALSE)</f>
        <v>5</v>
      </c>
      <c r="M4" s="18">
        <f>VLOOKUP($D4,'Week 2'!$A$2:$AD$120,2,FALSE)</f>
        <v>3</v>
      </c>
      <c r="N4" s="18">
        <f>VLOOKUP($D4,'Week 3'!$A$2:$AH$119,2,FALSE)</f>
        <v>0</v>
      </c>
      <c r="O4" s="18">
        <f>VLOOKUP($D4,'Week 4'!$A$2:$AH$122,2,FALSE)</f>
        <v>0</v>
      </c>
      <c r="P4" s="18">
        <f>VLOOKUP($D4,'Week 5'!$A$2:$AG$120,2,FALSE)</f>
        <v>0</v>
      </c>
      <c r="Q4" s="18">
        <f>VLOOKUP($D4,'week 6'!$A$2:$AH$120,2,FALSE)</f>
        <v>0</v>
      </c>
      <c r="R4" s="18">
        <f>VLOOKUP($D4,'Week 7'!$A$2:$AH$120,2,FALSE)</f>
        <v>0</v>
      </c>
      <c r="S4" s="18">
        <f>VLOOKUP($D4,'Week 8'!$A$2:$AH$120,2,FALSE)</f>
        <v>0</v>
      </c>
      <c r="T4" s="18">
        <f>VLOOKUP($D4,'Week 9'!$A$2:$AH$120,2,FALSE)</f>
        <v>0</v>
      </c>
      <c r="U4" s="18">
        <f>VLOOKUP($D4,'Week 10'!$A$2:$AH$114,2,FALSE)</f>
        <v>0</v>
      </c>
      <c r="V4" s="18">
        <f>VLOOKUP($D4,'Week 11'!$A$2:$AH$120,2,FALSE)</f>
        <v>0</v>
      </c>
      <c r="W4" s="18">
        <f>VLOOKUP($D4,'Week 12'!$A$2:$AH$120,2,FALSE)</f>
        <v>0</v>
      </c>
      <c r="X4" s="18">
        <f>VLOOKUP($D4,'Week 13'!$A$2:$AH$120,2,FALSE)</f>
        <v>0</v>
      </c>
      <c r="Y4" s="18">
        <f>VLOOKUP($D4,'Week 14'!$A$2:$AH$120,2,FALSE)</f>
        <v>0</v>
      </c>
      <c r="Z4" s="18">
        <f>VLOOKUP($D4,'Week 15'!$A$2:$AH$120,2,FALSE)</f>
        <v>0</v>
      </c>
      <c r="AA4" s="18">
        <f>VLOOKUP($D4,'Week 16'!$A$2:$AH$120,2,FALSE)</f>
        <v>1</v>
      </c>
      <c r="AB4" s="18">
        <f>VLOOKUP($D4,'Week 17'!$A$2:$AH$120,2,FALSE)</f>
        <v>0</v>
      </c>
      <c r="AC4" s="18">
        <f>VLOOKUP($D4,'Week 18'!$A$2:$AH$120,2,FALSE)</f>
        <v>0</v>
      </c>
      <c r="AD4" s="18">
        <f>VLOOKUP($D4,'Week 19'!$A$2:$AH$120,2,FALSE)</f>
        <v>0</v>
      </c>
      <c r="AE4" s="18">
        <f>VLOOKUP($D4,'Week 20'!$A$2:$AH$120,2,FALSE)</f>
        <v>0</v>
      </c>
      <c r="AF4" s="18">
        <f>VLOOKUP($D4,'Week 21'!$A$2:$AH$120,2,FALSE)</f>
        <v>0</v>
      </c>
      <c r="AG4" s="18">
        <f>VLOOKUP($D4,'Week 22'!$A$2:$AH$120,2,FALSE)</f>
        <v>0</v>
      </c>
      <c r="AH4" s="18">
        <f>VLOOKUP($D4,'Week 23'!$A$2:$AH$120,2,FALSE)</f>
        <v>0</v>
      </c>
      <c r="AI4" s="18">
        <f>VLOOKUP($D4,'Week 24'!$A$2:$AH$120,2,FALSE)</f>
        <v>0</v>
      </c>
      <c r="AJ4" s="18">
        <f>VLOOKUP($D4,'Week 25'!$A$2:$AH$120,2,FALSE)</f>
        <v>0</v>
      </c>
      <c r="AK4" s="18">
        <f>VLOOKUP($D4,'Week 26'!$A$2:$AH$120,2,FALSE)</f>
        <v>0</v>
      </c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</row>
    <row r="5" spans="1:52" ht="15.75" customHeight="1">
      <c r="A5" s="3" t="s">
        <v>97</v>
      </c>
      <c r="B5" s="3" t="s">
        <v>57</v>
      </c>
      <c r="C5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D5" s="3" t="s">
        <v>90</v>
      </c>
      <c r="E5" s="3">
        <v>600</v>
      </c>
      <c r="F5" s="48">
        <v>1</v>
      </c>
      <c r="G5" s="3">
        <v>5</v>
      </c>
      <c r="H5" s="3">
        <v>10</v>
      </c>
      <c r="I5" s="17">
        <f t="shared" si="0"/>
        <v>0.4</v>
      </c>
      <c r="J5" s="17">
        <f t="shared" si="1"/>
        <v>0.8</v>
      </c>
      <c r="K5" s="17">
        <f t="shared" si="2"/>
        <v>4</v>
      </c>
      <c r="L5" s="18" t="e">
        <f>VLOOKUP($D5,'Week 1'!$A$2:$AD$120,2,FALSE)</f>
        <v>#N/A</v>
      </c>
      <c r="M5" s="18">
        <f>VLOOKUP($D5,'Week 2'!$A$2:$AD$120,2,FALSE)</f>
        <v>1</v>
      </c>
      <c r="N5" s="18">
        <f>VLOOKUP($D5,'Week 3'!$A$2:$AH$119,2,FALSE)</f>
        <v>0</v>
      </c>
      <c r="O5" s="18">
        <f>VLOOKUP($D5,'Week 4'!$A$2:$AH$122,2,FALSE)</f>
        <v>0</v>
      </c>
      <c r="P5" s="18">
        <f>VLOOKUP($D5,'Week 5'!$A$2:$AG$120,2,FALSE)</f>
        <v>1</v>
      </c>
      <c r="Q5" s="18">
        <f>VLOOKUP($D5,'week 6'!$A$2:$AH$120,2,FALSE)</f>
        <v>0</v>
      </c>
      <c r="R5" s="18">
        <f>VLOOKUP($D5,'Week 7'!$A$2:$AH$120,2,FALSE)</f>
        <v>0</v>
      </c>
      <c r="S5" s="18">
        <f>VLOOKUP($D5,'Week 8'!$A$2:$AH$120,2,FALSE)</f>
        <v>1</v>
      </c>
      <c r="T5" s="18">
        <f>VLOOKUP($D5,'Week 9'!$A$2:$AH$120,2,FALSE)</f>
        <v>1</v>
      </c>
      <c r="U5" s="18">
        <f>VLOOKUP($D5,'Week 10'!$A$2:$AH$114,2,FALSE)</f>
        <v>0</v>
      </c>
      <c r="V5" s="18">
        <f>VLOOKUP($D5,'Week 11'!$A$2:$AH$120,2,FALSE)</f>
        <v>0</v>
      </c>
      <c r="W5" s="18">
        <f>VLOOKUP($D5,'Week 12'!$A$2:$AH$120,2,FALSE)</f>
        <v>0</v>
      </c>
      <c r="X5" s="18">
        <f>VLOOKUP($D5,'Week 13'!$A$2:$AH$120,2,FALSE)</f>
        <v>0</v>
      </c>
      <c r="Y5" s="18">
        <f>VLOOKUP($D5,'Week 14'!$A$2:$AH$120,2,FALSE)</f>
        <v>0</v>
      </c>
      <c r="Z5" s="18">
        <f>VLOOKUP($D5,'Week 15'!$A$2:$AH$120,2,FALSE)</f>
        <v>0</v>
      </c>
      <c r="AA5" s="18">
        <f>VLOOKUP($D5,'Week 16'!$A$2:$AH$120,2,FALSE)</f>
        <v>0</v>
      </c>
      <c r="AB5" s="18">
        <f>VLOOKUP($D5,'Week 17'!$A$2:$AH$120,2,FALSE)</f>
        <v>0</v>
      </c>
      <c r="AC5" s="18">
        <f>VLOOKUP($D5,'Week 18'!$A$2:$AH$120,2,FALSE)</f>
        <v>0</v>
      </c>
      <c r="AD5" s="18">
        <f>VLOOKUP($D5,'Week 19'!$A$2:$AH$120,2,FALSE)</f>
        <v>0</v>
      </c>
      <c r="AE5" s="18">
        <f>VLOOKUP($D5,'Week 20'!$A$2:$AH$120,2,FALSE)</f>
        <v>0</v>
      </c>
      <c r="AF5" s="18">
        <f>VLOOKUP($D5,'Week 21'!$A$2:$AH$120,2,FALSE)</f>
        <v>0</v>
      </c>
      <c r="AG5" s="18">
        <f>VLOOKUP($D5,'Week 22'!$A$2:$AH$120,2,FALSE)</f>
        <v>0</v>
      </c>
      <c r="AH5" s="18">
        <f>VLOOKUP($D5,'Week 23'!$A$2:$AH$120,2,FALSE)</f>
        <v>0</v>
      </c>
      <c r="AI5" s="18">
        <f>VLOOKUP($D5,'Week 24'!$A$2:$AH$120,2,FALSE)</f>
        <v>0</v>
      </c>
      <c r="AJ5" s="18">
        <f>VLOOKUP($D5,'Week 25'!$A$2:$AH$120,2,FALSE)</f>
        <v>0</v>
      </c>
      <c r="AK5" s="18">
        <f>VLOOKUP($D5,'Week 26'!$A$2:$AH$120,2,FALSE)</f>
        <v>0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5.75" customHeight="1">
      <c r="A6" s="3" t="s">
        <v>117</v>
      </c>
      <c r="B6" s="3" t="s">
        <v>57</v>
      </c>
      <c r="C6" s="11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D6" s="3" t="s">
        <v>94</v>
      </c>
      <c r="E6" s="58">
        <v>2200</v>
      </c>
      <c r="F6" s="48">
        <v>1</v>
      </c>
      <c r="G6" s="3">
        <v>8</v>
      </c>
      <c r="H6" s="3">
        <v>16</v>
      </c>
      <c r="I6" s="17">
        <f t="shared" si="0"/>
        <v>0.75</v>
      </c>
      <c r="J6" s="17">
        <f t="shared" si="1"/>
        <v>1.5</v>
      </c>
      <c r="K6" s="17">
        <f t="shared" si="2"/>
        <v>12</v>
      </c>
      <c r="L6" s="18" t="e">
        <f>VLOOKUP($D6,'Week 1'!$A$2:$AD$120,2,FALSE)</f>
        <v>#N/A</v>
      </c>
      <c r="M6" s="18" t="e">
        <f>VLOOKUP($D6,'Week 2'!$A$2:$AD$120,2,FALSE)</f>
        <v>#N/A</v>
      </c>
      <c r="N6" s="18">
        <f>VLOOKUP($D6,'Week 3'!$A$2:$AH$119,2,FALSE)</f>
        <v>1</v>
      </c>
      <c r="O6" s="18">
        <f>VLOOKUP($D6,'Week 4'!$A$2:$AH$122,2,FALSE)</f>
        <v>1</v>
      </c>
      <c r="P6" s="18">
        <f>VLOOKUP($D6,'Week 5'!$A$2:$AG$120,2,FALSE)</f>
        <v>6</v>
      </c>
      <c r="Q6" s="18">
        <f>VLOOKUP($D6,'week 6'!$A$2:$AH$120,2,FALSE)</f>
        <v>1</v>
      </c>
      <c r="R6" s="18">
        <f>VLOOKUP($D6,'Week 7'!$A$2:$AH$120,2,FALSE)</f>
        <v>0</v>
      </c>
      <c r="S6" s="18">
        <f>VLOOKUP($D6,'Week 8'!$A$2:$AH$120,2,FALSE)</f>
        <v>1</v>
      </c>
      <c r="T6" s="18">
        <f>VLOOKUP($D6,'Week 9'!$A$2:$AH$120,2,FALSE)</f>
        <v>1</v>
      </c>
      <c r="U6" s="18">
        <f>VLOOKUP($D6,'Week 10'!$A$2:$AH$114,2,FALSE)</f>
        <v>0</v>
      </c>
      <c r="V6" s="18">
        <f>VLOOKUP($D6,'Week 11'!$A$2:$AH$120,2,FALSE)</f>
        <v>0</v>
      </c>
      <c r="W6" s="18">
        <f>VLOOKUP($D6,'Week 12'!$A$2:$AH$120,2,FALSE)</f>
        <v>0</v>
      </c>
      <c r="X6" s="18">
        <f>VLOOKUP($D6,'Week 13'!$A$2:$AH$120,2,FALSE)</f>
        <v>0</v>
      </c>
      <c r="Y6" s="18">
        <f>VLOOKUP($D6,'Week 14'!$A$2:$AH$120,2,FALSE)</f>
        <v>0</v>
      </c>
      <c r="Z6" s="18">
        <f>VLOOKUP($D6,'Week 15'!$A$2:$AH$120,2,FALSE)</f>
        <v>1</v>
      </c>
      <c r="AA6" s="18">
        <f>VLOOKUP($D6,'Week 16'!$A$2:$AH$120,2,FALSE)</f>
        <v>0</v>
      </c>
      <c r="AB6" s="18">
        <f>VLOOKUP($D6,'Week 17'!$A$2:$AH$120,2,FALSE)</f>
        <v>0</v>
      </c>
      <c r="AC6" s="18">
        <f>VLOOKUP($D6,'Week 18'!$A$2:$AH$120,2,FALSE)</f>
        <v>0</v>
      </c>
      <c r="AD6" s="18">
        <f>VLOOKUP($D6,'Week 19'!$A$2:$AH$120,2,FALSE)</f>
        <v>0</v>
      </c>
      <c r="AE6" s="18">
        <f>VLOOKUP($D6,'Week 20'!$A$2:$AH$120,2,FALSE)</f>
        <v>0</v>
      </c>
      <c r="AF6" s="18">
        <f>VLOOKUP($D6,'Week 21'!$A$2:$AH$120,2,FALSE)</f>
        <v>0</v>
      </c>
      <c r="AG6" s="18">
        <f>VLOOKUP($D6,'Week 22'!$A$2:$AH$120,2,FALSE)</f>
        <v>0</v>
      </c>
      <c r="AH6" s="18">
        <f>VLOOKUP($D6,'Week 23'!$A$2:$AH$120,2,FALSE)</f>
        <v>0</v>
      </c>
      <c r="AI6" s="18">
        <f>VLOOKUP($D6,'Week 24'!$A$2:$AH$120,2,FALSE)</f>
        <v>0</v>
      </c>
      <c r="AJ6" s="18">
        <f>VLOOKUP($D6,'Week 25'!$A$2:$AH$120,2,FALSE)</f>
        <v>0</v>
      </c>
      <c r="AK6" s="18">
        <f>VLOOKUP($D6,'Week 26'!$A$2:$AH$120,2,FALSE)</f>
        <v>0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5.75" customHeight="1">
      <c r="A7" s="3" t="s">
        <v>138</v>
      </c>
      <c r="B7" s="3" t="s">
        <v>57</v>
      </c>
      <c r="C7" s="61" t="s">
        <v>139</v>
      </c>
      <c r="D7" s="3" t="s">
        <v>130</v>
      </c>
      <c r="E7" s="3">
        <v>250</v>
      </c>
      <c r="F7" s="48">
        <v>27</v>
      </c>
      <c r="G7" s="3">
        <v>5</v>
      </c>
      <c r="H7" s="3">
        <v>10</v>
      </c>
      <c r="I7" s="17" t="b">
        <f t="shared" si="0"/>
        <v>0</v>
      </c>
      <c r="J7" s="17" t="b">
        <f t="shared" si="1"/>
        <v>0</v>
      </c>
      <c r="K7" s="17">
        <f t="shared" si="2"/>
        <v>11</v>
      </c>
      <c r="L7" s="18" t="e">
        <f>VLOOKUP($D7,'Week 1'!$A$2:$AD$120,2,FALSE)</f>
        <v>#N/A</v>
      </c>
      <c r="M7" s="18" t="e">
        <f>VLOOKUP($D7,'Week 2'!$A$2:$AD$120,2,FALSE)</f>
        <v>#N/A</v>
      </c>
      <c r="N7" s="18" t="e">
        <f>VLOOKUP($D7,'Week 3'!$A$2:$AH$119,2,FALSE)</f>
        <v>#N/A</v>
      </c>
      <c r="O7" s="18" t="e">
        <f>VLOOKUP($D7,'Week 4'!$A$2:$AH$122,2,FALSE)</f>
        <v>#N/A</v>
      </c>
      <c r="P7" s="18">
        <f>VLOOKUP($D7,'Week 5'!$A$2:$AG$120,2,FALSE)</f>
        <v>1</v>
      </c>
      <c r="Q7" s="18">
        <f>VLOOKUP($D7,'week 6'!$A$2:$AH$120,2,FALSE)</f>
        <v>3</v>
      </c>
      <c r="R7" s="18">
        <f>VLOOKUP($D7,'Week 7'!$A$2:$AH$120,2,FALSE)</f>
        <v>0</v>
      </c>
      <c r="S7" s="18">
        <f>VLOOKUP($D7,'Week 8'!$A$2:$AH$120,2,FALSE)</f>
        <v>1</v>
      </c>
      <c r="T7" s="18">
        <f>VLOOKUP($D7,'Week 9'!$A$2:$AH$120,2,FALSE)</f>
        <v>1</v>
      </c>
      <c r="U7" s="18">
        <f>VLOOKUP($D7,'Week 10'!$A$2:$AH$114,2,FALSE)</f>
        <v>0</v>
      </c>
      <c r="V7" s="18">
        <f>VLOOKUP($D7,'Week 11'!$A$2:$AH$120,2,FALSE)</f>
        <v>3</v>
      </c>
      <c r="W7" s="18">
        <f>VLOOKUP($D7,'Week 12'!$A$2:$AH$120,2,FALSE)</f>
        <v>1</v>
      </c>
      <c r="X7" s="18">
        <f>VLOOKUP($D7,'Week 13'!$A$2:$AH$120,2,FALSE)</f>
        <v>0</v>
      </c>
      <c r="Y7" s="18">
        <f>VLOOKUP($D7,'Week 14'!$A$2:$AH$120,2,FALSE)</f>
        <v>0</v>
      </c>
      <c r="Z7" s="18">
        <f>VLOOKUP($D7,'Week 15'!$A$2:$AH$120,2,FALSE)</f>
        <v>0</v>
      </c>
      <c r="AA7" s="18">
        <f>VLOOKUP($D7,'Week 16'!$A$2:$AH$120,2,FALSE)</f>
        <v>0</v>
      </c>
      <c r="AB7" s="18">
        <f>VLOOKUP($D7,'Week 17'!$A$2:$AH$120,2,FALSE)</f>
        <v>0</v>
      </c>
      <c r="AC7" s="18">
        <f>VLOOKUP($D7,'Week 18'!$A$2:$AH$120,2,FALSE)</f>
        <v>0</v>
      </c>
      <c r="AD7" s="18">
        <f>VLOOKUP($D7,'Week 19'!$A$2:$AH$120,2,FALSE)</f>
        <v>0</v>
      </c>
      <c r="AE7" s="18">
        <f>VLOOKUP($D7,'Week 20'!$A$2:$AH$120,2,FALSE)</f>
        <v>1</v>
      </c>
      <c r="AF7" s="18">
        <f>VLOOKUP($D7,'Week 21'!$A$2:$AH$120,2,FALSE)</f>
        <v>0</v>
      </c>
      <c r="AG7" s="18">
        <f>VLOOKUP($D7,'Week 22'!$A$2:$AH$120,2,FALSE)</f>
        <v>0</v>
      </c>
      <c r="AH7" s="18">
        <f>VLOOKUP($D7,'Week 23'!$A$2:$AH$120,2,FALSE)</f>
        <v>1</v>
      </c>
      <c r="AI7" s="18">
        <f>VLOOKUP($D7,'Week 24'!$A$2:$AH$120,2,FALSE)</f>
        <v>0</v>
      </c>
      <c r="AJ7" s="18">
        <f>VLOOKUP($D7,'Week 25'!$A$2:$AH$120,2,FALSE)</f>
        <v>0</v>
      </c>
      <c r="AK7" s="18">
        <f>VLOOKUP($D7,'Week 26'!$A$2:$AH$120,2,FALSE)</f>
        <v>0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5.75" customHeight="1">
      <c r="A8" s="3" t="s">
        <v>138</v>
      </c>
      <c r="B8" s="3" t="s">
        <v>57</v>
      </c>
      <c r="C8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D8" s="3" t="s">
        <v>60</v>
      </c>
      <c r="E8" s="3">
        <v>2300</v>
      </c>
      <c r="F8" s="48">
        <v>13</v>
      </c>
      <c r="G8" s="3">
        <v>27</v>
      </c>
      <c r="H8" s="3">
        <v>54</v>
      </c>
      <c r="I8" s="17" t="b">
        <f t="shared" si="0"/>
        <v>0</v>
      </c>
      <c r="J8" s="17" t="b">
        <f t="shared" si="1"/>
        <v>0</v>
      </c>
      <c r="K8" s="17">
        <f t="shared" si="2"/>
        <v>29</v>
      </c>
      <c r="L8" s="18" t="e">
        <f>VLOOKUP($D8,'Week 1'!$A$2:$AD$120,2,FALSE)</f>
        <v>#N/A</v>
      </c>
      <c r="M8" s="18" t="e">
        <f>VLOOKUP($D8,'Week 2'!$A$2:$AD$120,2,FALSE)</f>
        <v>#N/A</v>
      </c>
      <c r="N8" s="18" t="e">
        <f>VLOOKUP($D8,'Week 3'!$A$2:$AH$119,2,FALSE)</f>
        <v>#N/A</v>
      </c>
      <c r="O8" s="18" t="e">
        <f>VLOOKUP($D8,'Week 4'!$A$2:$AH$122,2,FALSE)</f>
        <v>#N/A</v>
      </c>
      <c r="P8" s="18">
        <f>VLOOKUP($D8,'Week 5'!$A$2:$AG$120,2,FALSE)</f>
        <v>0</v>
      </c>
      <c r="Q8" s="18">
        <f>VLOOKUP($D8,'week 6'!$A$2:$AH$120,2,FALSE)</f>
        <v>3</v>
      </c>
      <c r="R8" s="18">
        <f>VLOOKUP($D8,'Week 7'!$A$2:$AH$120,2,FALSE)</f>
        <v>1</v>
      </c>
      <c r="S8" s="18">
        <f>VLOOKUP($D8,'Week 8'!$A$2:$AH$120,2,FALSE)</f>
        <v>0</v>
      </c>
      <c r="T8" s="18">
        <f>VLOOKUP($D8,'Week 9'!$A$2:$AH$120,2,FALSE)</f>
        <v>0</v>
      </c>
      <c r="U8" s="18">
        <f>VLOOKUP($D8,'Week 10'!$A$2:$AH$114,2,FALSE)</f>
        <v>6</v>
      </c>
      <c r="V8" s="18">
        <f>VLOOKUP($D8,'Week 11'!$A$2:$AH$120,2,FALSE)</f>
        <v>2</v>
      </c>
      <c r="W8" s="18">
        <f>VLOOKUP($D8,'Week 12'!$A$2:$AH$120,2,FALSE)</f>
        <v>3</v>
      </c>
      <c r="X8" s="18">
        <f>VLOOKUP($D8,'Week 13'!$A$2:$AH$120,2,FALSE)</f>
        <v>1</v>
      </c>
      <c r="Y8" s="18">
        <f>VLOOKUP($D8,'Week 14'!$A$2:$AH$120,2,FALSE)</f>
        <v>3</v>
      </c>
      <c r="Z8" s="18">
        <f>VLOOKUP($D8,'Week 15'!$A$2:$AH$120,2,FALSE)</f>
        <v>3</v>
      </c>
      <c r="AA8" s="18">
        <f>VLOOKUP($D8,'Week 16'!$A$2:$AH$120,2,FALSE)</f>
        <v>3</v>
      </c>
      <c r="AB8" s="18">
        <f>VLOOKUP($D8,'Week 17'!$A$2:$AH$120,2,FALSE)</f>
        <v>0</v>
      </c>
      <c r="AC8" s="18">
        <f>VLOOKUP($D8,'Week 18'!$A$2:$AH$120,2,FALSE)</f>
        <v>1</v>
      </c>
      <c r="AD8" s="18">
        <f>VLOOKUP($D8,'Week 19'!$A$2:$AH$120,2,FALSE)</f>
        <v>0</v>
      </c>
      <c r="AE8" s="18">
        <f>VLOOKUP($D8,'Week 20'!$A$2:$AH$120,2,FALSE)</f>
        <v>0</v>
      </c>
      <c r="AF8" s="18">
        <f>VLOOKUP($D8,'Week 21'!$A$2:$AH$120,2,FALSE)</f>
        <v>1</v>
      </c>
      <c r="AG8" s="18">
        <f>VLOOKUP($D8,'Week 22'!$A$2:$AH$120,2,FALSE)</f>
        <v>2</v>
      </c>
      <c r="AH8" s="18">
        <f>VLOOKUP($D8,'Week 23'!$A$2:$AH$120,2,FALSE)</f>
        <v>1</v>
      </c>
      <c r="AI8" s="18">
        <f>VLOOKUP($D8,'Week 24'!$A$2:$AH$120,2,FALSE)</f>
        <v>5</v>
      </c>
      <c r="AJ8" s="18">
        <f>VLOOKUP($D8,'Week 25'!$A$2:$AH$120,2,FALSE)</f>
        <v>0</v>
      </c>
      <c r="AK8" s="18">
        <f>VLOOKUP($D8,'Week 26'!$A$2:$AH$120,2,FALSE)</f>
        <v>0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5.75" customHeight="1">
      <c r="A9" s="3" t="s">
        <v>140</v>
      </c>
      <c r="B9" s="3"/>
      <c r="C9" s="62" t="str">
        <f>HYPERLINK("https://www.digitalauthority.me/alexa/","Alexa dev page")</f>
        <v>Alexa dev page</v>
      </c>
      <c r="D9" s="3" t="s">
        <v>66</v>
      </c>
      <c r="E9" s="3">
        <v>800</v>
      </c>
      <c r="F9" s="3">
        <v>31</v>
      </c>
      <c r="G9" s="3">
        <v>35</v>
      </c>
      <c r="H9" s="3">
        <v>70</v>
      </c>
      <c r="I9" s="17" t="b">
        <f t="shared" si="0"/>
        <v>0</v>
      </c>
      <c r="J9" s="17" t="b">
        <f t="shared" si="1"/>
        <v>0</v>
      </c>
      <c r="K9" s="17">
        <f t="shared" si="2"/>
        <v>5</v>
      </c>
      <c r="L9" s="18" t="e">
        <f>VLOOKUP($D9,'Week 1'!$A$2:$AD$120,2,FALSE)</f>
        <v>#N/A</v>
      </c>
      <c r="M9" s="18" t="e">
        <f>VLOOKUP($D9,'Week 2'!$A$2:$AD$120,2,FALSE)</f>
        <v>#N/A</v>
      </c>
      <c r="N9" s="18" t="e">
        <f>VLOOKUP($D9,'Week 3'!$A$2:$AH$119,2,FALSE)</f>
        <v>#N/A</v>
      </c>
      <c r="O9" s="18" t="e">
        <f>VLOOKUP($D9,'Week 4'!$A$2:$AH$122,2,FALSE)</f>
        <v>#N/A</v>
      </c>
      <c r="P9" s="18">
        <f>VLOOKUP($D9,'Week 5'!$A$2:$AG$120,2,FALSE)</f>
        <v>0</v>
      </c>
      <c r="Q9" s="18">
        <f>VLOOKUP($D9,'week 6'!$A$2:$AH$120,2,FALSE)</f>
        <v>1</v>
      </c>
      <c r="R9" s="18">
        <f>VLOOKUP($D9,'Week 7'!$A$2:$AH$120,2,FALSE)</f>
        <v>2</v>
      </c>
      <c r="S9" s="18" t="e">
        <f>VLOOKUP($D9,'Week 8'!$A$2:$AH$120,2,FALSE)</f>
        <v>#N/A</v>
      </c>
      <c r="T9" s="18">
        <f>VLOOKUP($D9,'Week 9'!$A$2:$AH$120,2,FALSE)</f>
        <v>0</v>
      </c>
      <c r="U9" s="18">
        <f>VLOOKUP($D9,'Week 10'!$A$2:$AH$114,2,FALSE)</f>
        <v>1</v>
      </c>
      <c r="V9" s="18">
        <f>VLOOKUP($D9,'Week 11'!$A$2:$AH$120,2,FALSE)</f>
        <v>0</v>
      </c>
      <c r="W9" s="18">
        <f>VLOOKUP($D9,'Week 12'!$A$2:$AH$120,2,FALSE)</f>
        <v>0</v>
      </c>
      <c r="X9" s="18">
        <f>VLOOKUP($D9,'Week 13'!$A$2:$AH$120,2,FALSE)</f>
        <v>0</v>
      </c>
      <c r="Y9" s="18">
        <f>VLOOKUP($D9,'Week 14'!$A$2:$AH$120,2,FALSE)</f>
        <v>0</v>
      </c>
      <c r="Z9" s="18">
        <f>VLOOKUP($D9,'Week 15'!$A$2:$AH$120,2,FALSE)</f>
        <v>0</v>
      </c>
      <c r="AA9" s="18">
        <f>VLOOKUP($D9,'Week 16'!$A$2:$AH$120,2,FALSE)</f>
        <v>0</v>
      </c>
      <c r="AB9" s="18">
        <f>VLOOKUP($D9,'Week 17'!$A$2:$AH$120,2,FALSE)</f>
        <v>0</v>
      </c>
      <c r="AC9" s="18">
        <f>VLOOKUP($D9,'Week 18'!$A$2:$AH$120,2,FALSE)</f>
        <v>0</v>
      </c>
      <c r="AD9" s="18">
        <f>VLOOKUP($D9,'Week 19'!$A$2:$AH$120,2,FALSE)</f>
        <v>0</v>
      </c>
      <c r="AE9" s="18">
        <f>VLOOKUP($D9,'Week 20'!$A$2:$AH$120,2,FALSE)</f>
        <v>1</v>
      </c>
      <c r="AF9" s="18">
        <f>VLOOKUP($D9,'Week 21'!$A$2:$AH$120,2,FALSE)</f>
        <v>0</v>
      </c>
      <c r="AG9" s="18">
        <f>VLOOKUP($D9,'Week 22'!$A$2:$AH$120,2,FALSE)</f>
        <v>0</v>
      </c>
      <c r="AH9" s="18">
        <f>VLOOKUP($D9,'Week 23'!$A$2:$AH$120,2,FALSE)</f>
        <v>0</v>
      </c>
      <c r="AI9" s="18">
        <f>VLOOKUP($D9,'Week 24'!$A$2:$AH$120,2,FALSE)</f>
        <v>3</v>
      </c>
      <c r="AJ9" s="18">
        <f>VLOOKUP($D9,'Week 25'!$A$2:$AH$120,2,FALSE)</f>
        <v>0</v>
      </c>
      <c r="AK9" s="18">
        <f>VLOOKUP($D9,'Week 26'!$A$2:$AH$120,2,FALSE)</f>
        <v>0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5.75" customHeight="1">
      <c r="A10" s="3" t="s">
        <v>143</v>
      </c>
      <c r="B10" s="3" t="s">
        <v>57</v>
      </c>
      <c r="C10" s="11" t="str">
        <f>HYPERLINK("https://www.digitalauthority.me/resources/b2b-marketing/","How to Jumpstart Your B2B Marketing Strategy in 2019")</f>
        <v>How to Jumpstart Your B2B Marketing Strategy in 2019</v>
      </c>
      <c r="D10" s="3" t="s">
        <v>70</v>
      </c>
      <c r="E10" s="58">
        <v>10000</v>
      </c>
      <c r="F10" s="3">
        <v>6</v>
      </c>
      <c r="G10" s="3">
        <v>35</v>
      </c>
      <c r="H10" s="3">
        <v>50</v>
      </c>
      <c r="I10" s="17" t="b">
        <f t="shared" si="0"/>
        <v>0</v>
      </c>
      <c r="J10" s="17">
        <f t="shared" si="1"/>
        <v>0.82857142857142863</v>
      </c>
      <c r="K10" s="17">
        <f t="shared" si="2"/>
        <v>29</v>
      </c>
      <c r="L10" s="18" t="e">
        <f>VLOOKUP($D10,'Week 1'!$A$2:$AD$120,2,FALSE)</f>
        <v>#N/A</v>
      </c>
      <c r="M10" s="18" t="e">
        <f>VLOOKUP($D10,'Week 2'!$A$2:$AD$120,2,FALSE)</f>
        <v>#N/A</v>
      </c>
      <c r="N10" s="18" t="e">
        <f>VLOOKUP($D10,'Week 3'!$A$2:$AH$119,2,FALSE)</f>
        <v>#N/A</v>
      </c>
      <c r="O10" s="18" t="e">
        <f>VLOOKUP($D10,'Week 4'!$A$2:$AH$122,2,FALSE)</f>
        <v>#N/A</v>
      </c>
      <c r="P10" s="18">
        <f>VLOOKUP($D10,'Week 5'!$A$2:$AG$120,2,FALSE)</f>
        <v>0</v>
      </c>
      <c r="Q10" s="18">
        <f>VLOOKUP($D10,'week 6'!$A$2:$AH$120,2,FALSE)</f>
        <v>0</v>
      </c>
      <c r="R10" s="18">
        <f>VLOOKUP($D10,'Week 7'!$A$2:$AH$120,2,FALSE)</f>
        <v>0</v>
      </c>
      <c r="S10" s="18">
        <f>VLOOKUP($D10,'Week 8'!$A$2:$AH$120,2,FALSE)</f>
        <v>0</v>
      </c>
      <c r="T10" s="18">
        <f>VLOOKUP($D10,'Week 9'!$A$2:$AH$120,2,FALSE)</f>
        <v>0</v>
      </c>
      <c r="U10" s="18">
        <f>VLOOKUP($D10,'Week 10'!$A$2:$AH$114,2,FALSE)</f>
        <v>4</v>
      </c>
      <c r="V10" s="18">
        <f>VLOOKUP($D10,'Week 11'!$A$2:$AH$120,2,FALSE)</f>
        <v>0</v>
      </c>
      <c r="W10" s="18">
        <f>VLOOKUP($D10,'Week 12'!$A$2:$AH$120,2,FALSE)</f>
        <v>0</v>
      </c>
      <c r="X10" s="18">
        <f>VLOOKUP($D10,'Week 13'!$A$2:$AH$120,2,FALSE)</f>
        <v>4</v>
      </c>
      <c r="Y10" s="18">
        <f>VLOOKUP($D10,'Week 14'!$A$2:$AH$120,2,FALSE)</f>
        <v>1</v>
      </c>
      <c r="Z10" s="18">
        <f>VLOOKUP($D10,'Week 15'!$A$2:$AH$120,2,FALSE)</f>
        <v>0</v>
      </c>
      <c r="AA10" s="18">
        <f>VLOOKUP($D10,'Week 16'!$A$2:$AH$120,2,FALSE)</f>
        <v>0</v>
      </c>
      <c r="AB10" s="18">
        <f>VLOOKUP($D10,'Week 17'!$A$2:$AH$120,2,FALSE)</f>
        <v>7</v>
      </c>
      <c r="AC10" s="18">
        <f>VLOOKUP($D10,'Week 18'!$A$2:$AH$120,2,FALSE)</f>
        <v>1</v>
      </c>
      <c r="AD10" s="18">
        <f>VLOOKUP($D10,'Week 19'!$A$2:$AH$120,2,FALSE)</f>
        <v>1</v>
      </c>
      <c r="AE10" s="18">
        <f>VLOOKUP($D10,'Week 20'!$A$2:$AH$120,2,FALSE)</f>
        <v>4</v>
      </c>
      <c r="AF10" s="18">
        <f>VLOOKUP($D10,'Week 21'!$A$2:$AH$120,2,FALSE)</f>
        <v>2</v>
      </c>
      <c r="AG10" s="18">
        <f>VLOOKUP($D10,'Week 22'!$A$2:$AH$120,2,FALSE)</f>
        <v>5</v>
      </c>
      <c r="AH10" s="18">
        <f>VLOOKUP($D10,'Week 23'!$A$2:$AH$120,2,FALSE)</f>
        <v>3</v>
      </c>
      <c r="AI10" s="18">
        <f>VLOOKUP($D10,'Week 24'!$A$2:$AH$120,2,FALSE)</f>
        <v>4</v>
      </c>
      <c r="AJ10" s="18">
        <f>VLOOKUP($D10,'Week 25'!$A$2:$AH$120,2,FALSE)</f>
        <v>1</v>
      </c>
      <c r="AK10" s="18">
        <f>VLOOKUP($D10,'Week 26'!$A$2:$AH$120,2,FALSE)</f>
        <v>0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5.75" customHeight="1">
      <c r="A11" s="3" t="s">
        <v>143</v>
      </c>
      <c r="B11" s="3" t="s">
        <v>57</v>
      </c>
      <c r="C11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D11" s="3" t="s">
        <v>68</v>
      </c>
      <c r="E11" s="3">
        <v>40</v>
      </c>
      <c r="F11" s="3">
        <v>1</v>
      </c>
      <c r="G11" s="3">
        <v>12</v>
      </c>
      <c r="H11" s="3">
        <v>16</v>
      </c>
      <c r="I11" s="17">
        <f t="shared" ca="1" si="0"/>
        <v>1</v>
      </c>
      <c r="J11" s="17">
        <f t="shared" ca="1" si="1"/>
        <v>1.3333333329999999</v>
      </c>
      <c r="K11" s="17">
        <f t="shared" ca="1" si="2"/>
        <v>16</v>
      </c>
      <c r="L11" s="18" t="e">
        <f>VLOOKUP($D11,'Week 1'!$A$2:$AD$120,2,FALSE)</f>
        <v>#N/A</v>
      </c>
      <c r="M11" s="18" t="e">
        <f>VLOOKUP($D11,'Week 2'!$A$2:$AD$120,2,FALSE)</f>
        <v>#N/A</v>
      </c>
      <c r="N11" s="18" t="e">
        <f>VLOOKUP($D11,'Week 3'!$A$2:$AH$119,2,FALSE)</f>
        <v>#N/A</v>
      </c>
      <c r="O11" s="18" t="e">
        <f>VLOOKUP($D11,'Week 4'!$A$2:$AH$122,2,FALSE)</f>
        <v>#N/A</v>
      </c>
      <c r="P11" s="18" t="e">
        <f>VLOOKUP($D11,'Week 5'!$A$2:$AG$120,2,FALSE)</f>
        <v>#N/A</v>
      </c>
      <c r="Q11" s="18" t="e">
        <f>VLOOKUP($D11,'week 6'!$A$2:$AH$120,2,FALSE)</f>
        <v>#N/A</v>
      </c>
      <c r="R11" s="18">
        <f ca="1">VLOOKUP($D11,'Week 7'!$A$2:$AH$120,2,FALSE)</f>
        <v>0</v>
      </c>
      <c r="S11" s="18">
        <f ca="1">VLOOKUP($D11,'Week 8'!$A$2:$AH$120,2,FALSE)</f>
        <v>0</v>
      </c>
      <c r="T11" s="18">
        <f ca="1">VLOOKUP($D11,'Week 9'!$A$2:$AH$120,2,FALSE)</f>
        <v>3</v>
      </c>
      <c r="U11" s="18">
        <f ca="1">VLOOKUP($D11,'Week 10'!$A$2:$AH$114,2,FALSE)</f>
        <v>4</v>
      </c>
      <c r="V11" s="18">
        <f ca="1">VLOOKUP($D11,'Week 11'!$A$2:$AH$120,2,FALSE)</f>
        <v>3</v>
      </c>
      <c r="W11" s="18">
        <f ca="1">VLOOKUP($D11,'Week 12'!$A$2:$AH$120,2,FALSE)</f>
        <v>3</v>
      </c>
      <c r="X11" s="18">
        <f>VLOOKUP($D11,'Week 13'!$A$2:$AH$120,2,FALSE)</f>
        <v>0</v>
      </c>
      <c r="Y11" s="18">
        <f ca="1">VLOOKUP($D11,'Week 14'!$A$2:$AH$120,2,FALSE)</f>
        <v>0</v>
      </c>
      <c r="Z11" s="18">
        <f ca="1">VLOOKUP($D11,'Week 15'!$A$2:$AH$120,2,FALSE)</f>
        <v>3</v>
      </c>
      <c r="AA11" s="18">
        <f ca="1">VLOOKUP($D11,'Week 16'!$A$2:$AH$120,2,FALSE)</f>
        <v>0</v>
      </c>
      <c r="AB11" s="18">
        <f ca="1">VLOOKUP($D11,'Week 17'!$A$2:$AH$120,2,FALSE)</f>
        <v>0</v>
      </c>
      <c r="AC11" s="18">
        <f ca="1">VLOOKUP($D11,'Week 18'!$A$2:$AH$120,2,FALSE)</f>
        <v>0</v>
      </c>
      <c r="AD11" s="18">
        <f ca="1">VLOOKUP($D11,'Week 19'!$A$2:$AH$120,2,FALSE)</f>
        <v>0</v>
      </c>
      <c r="AE11" s="18">
        <f ca="1">VLOOKUP($D11,'Week 20'!$A$2:$AH$120,2,FALSE)</f>
        <v>0</v>
      </c>
      <c r="AF11" s="18">
        <f ca="1">VLOOKUP($D11,'Week 21'!$A$2:$AH$120,2,FALSE)</f>
        <v>0</v>
      </c>
      <c r="AG11" s="18">
        <f ca="1">VLOOKUP($D11,'Week 22'!$A$2:$AH$120,2,FALSE)</f>
        <v>0</v>
      </c>
      <c r="AH11" s="18">
        <f ca="1">VLOOKUP($D11,'Week 23'!$A$2:$AH$120,2,FALSE)</f>
        <v>4</v>
      </c>
      <c r="AI11" s="18">
        <f ca="1">VLOOKUP($D11,'Week 24'!$A$2:$AH$120,2,FALSE)</f>
        <v>5</v>
      </c>
      <c r="AJ11" s="18">
        <f ca="1">VLOOKUP($D11,'Week 25'!$A$2:$AH$120,2,FALSE)</f>
        <v>0</v>
      </c>
      <c r="AK11" s="18">
        <f ca="1">VLOOKUP($D11,'Week 26'!$A$2:$AH$120,2,FALSE)</f>
        <v>0</v>
      </c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5.75" customHeight="1">
      <c r="A12" s="3" t="s">
        <v>343</v>
      </c>
      <c r="B12" s="3" t="s">
        <v>57</v>
      </c>
      <c r="C12" s="11" t="str">
        <f>HYPERLINK("https://www.digitalauthority.me/resources/healthcare-app-development-ultimate-guide/","Healthcare Mobile App development")</f>
        <v>Healthcare Mobile App development</v>
      </c>
      <c r="D12" s="3" t="s">
        <v>98</v>
      </c>
      <c r="E12" s="3">
        <v>50</v>
      </c>
      <c r="F12" s="3">
        <v>1</v>
      </c>
      <c r="G12" s="3">
        <v>8</v>
      </c>
      <c r="H12" s="3">
        <v>16</v>
      </c>
      <c r="I12" s="17">
        <f t="shared" ca="1" si="0"/>
        <v>2.125</v>
      </c>
      <c r="J12" s="17">
        <f t="shared" ca="1" si="1"/>
        <v>4.25</v>
      </c>
      <c r="K12" s="17">
        <f t="shared" ca="1" si="2"/>
        <v>34</v>
      </c>
      <c r="L12" s="18" t="e">
        <f>VLOOKUP($D12,'Week 1'!$A$2:$AD$120,2,FALSE)</f>
        <v>#N/A</v>
      </c>
      <c r="M12" s="18" t="e">
        <f>VLOOKUP($D12,'Week 2'!$A$2:$AD$120,2,FALSE)</f>
        <v>#N/A</v>
      </c>
      <c r="N12" s="18" t="e">
        <f>VLOOKUP($D12,'Week 3'!$A$2:$AH$119,2,FALSE)</f>
        <v>#N/A</v>
      </c>
      <c r="O12" s="18" t="e">
        <f>VLOOKUP($D12,'Week 4'!$A$2:$AH$122,2,FALSE)</f>
        <v>#N/A</v>
      </c>
      <c r="P12" s="18" t="e">
        <f>VLOOKUP($D12,'Week 5'!$A$2:$AG$120,2,FALSE)</f>
        <v>#N/A</v>
      </c>
      <c r="Q12" s="18" t="e">
        <f>VLOOKUP($D12,'week 6'!$A$2:$AH$120,2,FALSE)</f>
        <v>#N/A</v>
      </c>
      <c r="R12" s="18" t="e">
        <f>VLOOKUP($D12,'Week 7'!$A$2:$AH$120,2,FALSE)</f>
        <v>#N/A</v>
      </c>
      <c r="S12" s="18">
        <f ca="1">VLOOKUP($D12,'Week 8'!$A$2:$AH$120,2,FALSE)</f>
        <v>0</v>
      </c>
      <c r="T12" s="18">
        <f ca="1">VLOOKUP($D12,'Week 9'!$A$2:$AH$120,2,FALSE)</f>
        <v>0</v>
      </c>
      <c r="U12" s="18">
        <f ca="1">VLOOKUP($D12,'Week 10'!$A$2:$AH$114,2,FALSE)</f>
        <v>3</v>
      </c>
      <c r="V12" s="18">
        <f ca="1">VLOOKUP($D12,'Week 11'!$A$2:$AH$120,2,FALSE)</f>
        <v>5</v>
      </c>
      <c r="W12" s="18">
        <f ca="1">VLOOKUP($D12,'Week 12'!$A$2:$AH$120,2,FALSE)</f>
        <v>5</v>
      </c>
      <c r="X12" s="18">
        <f ca="1">VLOOKUP($D12,'Week 13'!$A$2:$AH$120,2,FALSE)</f>
        <v>4</v>
      </c>
      <c r="Y12" s="18">
        <f ca="1">VLOOKUP($D12,'Week 14'!$A$2:$AH$120,2,FALSE)</f>
        <v>0</v>
      </c>
      <c r="Z12" s="18">
        <f ca="1">VLOOKUP($D12,'Week 15'!$A$2:$AH$120,2,FALSE)</f>
        <v>4</v>
      </c>
      <c r="AA12" s="18">
        <f ca="1">VLOOKUP($D12,'Week 16'!$A$2:$AH$120,2,FALSE)</f>
        <v>3</v>
      </c>
      <c r="AB12" s="18">
        <f ca="1">VLOOKUP($D12,'Week 17'!$A$2:$AH$120,2,FALSE)</f>
        <v>1</v>
      </c>
      <c r="AC12" s="18">
        <f ca="1">VLOOKUP($D12,'Week 18'!$A$2:$AH$120,2,FALSE)</f>
        <v>3</v>
      </c>
      <c r="AD12" s="18">
        <f ca="1">VLOOKUP($D12,'Week 19'!$A$2:$AH$120,2,FALSE)</f>
        <v>3</v>
      </c>
      <c r="AE12" s="18">
        <f ca="1">VLOOKUP($D12,'Week 20'!$A$2:$AH$120,2,FALSE)</f>
        <v>3</v>
      </c>
      <c r="AF12" s="18">
        <f ca="1">VLOOKUP($D12,'Week 21'!$A$2:$AH$120,2,FALSE)</f>
        <v>0</v>
      </c>
      <c r="AG12" s="18">
        <f ca="1">VLOOKUP($D12,'Week 22'!$A$2:$AH$120,2,FALSE)</f>
        <v>0</v>
      </c>
      <c r="AH12" s="18">
        <f ca="1">VLOOKUP($D12,'Week 23'!$A$2:$AH$120,2,FALSE)</f>
        <v>0</v>
      </c>
      <c r="AI12" s="18">
        <f ca="1">VLOOKUP($D12,'Week 24'!$A$2:$AH$120,2,FALSE)</f>
        <v>0</v>
      </c>
      <c r="AJ12" s="18">
        <f ca="1">VLOOKUP($D12,'Week 25'!$A$2:$AH$120,2,FALSE)</f>
        <v>0</v>
      </c>
      <c r="AK12" s="18">
        <f ca="1">VLOOKUP($D12,'Week 26'!$A$2:$AH$120,2,FALSE)</f>
        <v>0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5.75" customHeight="1">
      <c r="A13" s="3" t="s">
        <v>343</v>
      </c>
      <c r="B13" s="3" t="s">
        <v>57</v>
      </c>
      <c r="C13" s="11" t="str">
        <f>HYPERLINK("https://www.digitalauthority.me/resources/mobile-app-development-guide/","ultimate guide to app development")</f>
        <v>ultimate guide to app development</v>
      </c>
      <c r="D13" s="3" t="s">
        <v>116</v>
      </c>
      <c r="E13" s="58">
        <v>6000</v>
      </c>
      <c r="F13" s="3" t="s">
        <v>371</v>
      </c>
      <c r="G13" s="3">
        <v>40</v>
      </c>
      <c r="H13" s="3">
        <v>80</v>
      </c>
      <c r="I13" s="17" t="b">
        <f t="shared" si="0"/>
        <v>0</v>
      </c>
      <c r="J13" s="17" t="b">
        <f t="shared" si="1"/>
        <v>0</v>
      </c>
      <c r="K13" s="17">
        <f t="shared" si="2"/>
        <v>1</v>
      </c>
      <c r="L13" s="18" t="e">
        <f>VLOOKUP($D13,'Week 1'!$A$2:$AD$120,2,FALSE)</f>
        <v>#N/A</v>
      </c>
      <c r="M13" s="18" t="e">
        <f>VLOOKUP($D13,'Week 2'!$A$2:$AD$120,2,FALSE)</f>
        <v>#N/A</v>
      </c>
      <c r="N13" s="18" t="e">
        <f>VLOOKUP($D13,'Week 3'!$A$2:$AH$119,2,FALSE)</f>
        <v>#N/A</v>
      </c>
      <c r="O13" s="18" t="e">
        <f>VLOOKUP($D13,'Week 4'!$A$2:$AH$122,2,FALSE)</f>
        <v>#N/A</v>
      </c>
      <c r="P13" s="18" t="e">
        <f>VLOOKUP($D13,'Week 5'!$A$2:$AG$120,2,FALSE)</f>
        <v>#N/A</v>
      </c>
      <c r="Q13" s="18" t="e">
        <f>VLOOKUP($D13,'week 6'!$A$2:$AH$120,2,FALSE)</f>
        <v>#N/A</v>
      </c>
      <c r="R13" s="18" t="e">
        <f>VLOOKUP($D13,'Week 7'!$A$2:$AH$120,2,FALSE)</f>
        <v>#N/A</v>
      </c>
      <c r="S13" s="18" t="e">
        <f>VLOOKUP($D13,'Week 8'!$A$2:$AH$120,2,FALSE)</f>
        <v>#N/A</v>
      </c>
      <c r="T13" s="18" t="e">
        <f>VLOOKUP($D13,'Week 9'!$A$2:$AH$120,2,FALSE)</f>
        <v>#N/A</v>
      </c>
      <c r="U13" s="18" t="e">
        <f>VLOOKUP($D13,'Week 10'!$A$2:$AH$114,2,FALSE)</f>
        <v>#N/A</v>
      </c>
      <c r="V13" s="18" t="e">
        <f>VLOOKUP($D13,'Week 11'!$A$2:$AH$120,2,FALSE)</f>
        <v>#N/A</v>
      </c>
      <c r="W13" s="18" t="e">
        <f>VLOOKUP($D13,'Week 12'!$A$2:$AH$120,2,FALSE)</f>
        <v>#N/A</v>
      </c>
      <c r="X13" s="18" t="e">
        <f>VLOOKUP($D13,'Week 13'!$A$2:$AH$120,2,FALSE)</f>
        <v>#N/A</v>
      </c>
      <c r="Y13" s="18" t="e">
        <f>VLOOKUP($D13,'Week 14'!$A$2:$AH$120,2,FALSE)</f>
        <v>#N/A</v>
      </c>
      <c r="Z13" s="18" t="e">
        <f>VLOOKUP($D13,'Week 15'!$A$2:$AH$120,2,FALSE)</f>
        <v>#N/A</v>
      </c>
      <c r="AA13" s="18" t="e">
        <f>VLOOKUP($D13,'Week 16'!$A$2:$AH$120,2,FALSE)</f>
        <v>#N/A</v>
      </c>
      <c r="AB13" s="18">
        <f>VLOOKUP($D13,'Week 17'!$A$2:$AH$120,2,FALSE)</f>
        <v>0</v>
      </c>
      <c r="AC13" s="18">
        <f>VLOOKUP($D13,'Week 18'!$A$2:$AH$120,2,FALSE)</f>
        <v>0</v>
      </c>
      <c r="AD13" s="18">
        <f>VLOOKUP($D13,'Week 19'!$A$2:$AH$120,2,FALSE)</f>
        <v>0</v>
      </c>
      <c r="AE13" s="18">
        <f>VLOOKUP($D13,'Week 20'!$A$2:$AH$120,2,FALSE)</f>
        <v>0</v>
      </c>
      <c r="AF13" s="18">
        <f>VLOOKUP($D13,'Week 21'!$A$2:$AH$120,2,FALSE)</f>
        <v>1</v>
      </c>
      <c r="AG13" s="18">
        <f>VLOOKUP($D13,'Week 22'!$A$2:$AH$120,2,FALSE)</f>
        <v>0</v>
      </c>
      <c r="AH13" s="18">
        <f>VLOOKUP($D13,'Week 23'!$A$2:$AH$120,2,FALSE)</f>
        <v>2</v>
      </c>
      <c r="AI13" s="18">
        <f>VLOOKUP($D13,'Week 24'!$A$2:$AH$120,2,FALSE)</f>
        <v>2</v>
      </c>
      <c r="AJ13" s="18">
        <f>VLOOKUP($D13,'Week 25'!$A$2:$AH$120,2,FALSE)</f>
        <v>0</v>
      </c>
      <c r="AK13" s="18">
        <f>VLOOKUP($D13,'Week 26'!$A$2:$AH$120,2,FALSE)</f>
        <v>0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5.75" customHeight="1">
      <c r="A14" s="3" t="s">
        <v>343</v>
      </c>
      <c r="B14" s="3"/>
      <c r="C14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D14" s="3" t="s">
        <v>100</v>
      </c>
      <c r="E14" s="3">
        <v>250</v>
      </c>
      <c r="F14" s="3">
        <v>63</v>
      </c>
      <c r="G14" s="3">
        <v>4</v>
      </c>
      <c r="H14" s="3">
        <v>8</v>
      </c>
      <c r="I14" s="17" t="b">
        <f t="shared" si="0"/>
        <v>0</v>
      </c>
      <c r="J14" s="17" t="b">
        <f t="shared" si="1"/>
        <v>0</v>
      </c>
      <c r="K14" s="17">
        <f t="shared" si="2"/>
        <v>1</v>
      </c>
      <c r="L14" s="18" t="e">
        <f>VLOOKUP($D14,'Week 1'!$A$2:$AD$120,2,FALSE)</f>
        <v>#N/A</v>
      </c>
      <c r="M14" s="18" t="e">
        <f>VLOOKUP($D14,'Week 2'!$A$2:$AD$120,2,FALSE)</f>
        <v>#N/A</v>
      </c>
      <c r="N14" s="18" t="e">
        <f>VLOOKUP($D14,'Week 3'!$A$2:$AH$119,2,FALSE)</f>
        <v>#N/A</v>
      </c>
      <c r="O14" s="18" t="e">
        <f>VLOOKUP($D14,'Week 4'!$A$2:$AH$122,2,FALSE)</f>
        <v>#N/A</v>
      </c>
      <c r="P14" s="18" t="e">
        <f>VLOOKUP($D14,'Week 5'!$A$2:$AG$120,2,FALSE)</f>
        <v>#N/A</v>
      </c>
      <c r="Q14" s="18" t="e">
        <f>VLOOKUP($D14,'week 6'!$A$2:$AH$120,2,FALSE)</f>
        <v>#N/A</v>
      </c>
      <c r="R14" s="18" t="e">
        <f>VLOOKUP($D14,'Week 7'!$A$2:$AH$120,2,FALSE)</f>
        <v>#N/A</v>
      </c>
      <c r="S14" s="18">
        <f>VLOOKUP($D14,'Week 8'!$A$2:$AH$120,2,FALSE)</f>
        <v>0</v>
      </c>
      <c r="T14" s="18">
        <f>VLOOKUP($D14,'Week 9'!$A$2:$AH$120,2,FALSE)</f>
        <v>0</v>
      </c>
      <c r="U14" s="18">
        <f>VLOOKUP($D14,'Week 10'!$A$2:$AH$114,2,FALSE)</f>
        <v>0</v>
      </c>
      <c r="V14" s="18">
        <f>VLOOKUP($D14,'Week 11'!$A$2:$AH$120,2,FALSE)</f>
        <v>0</v>
      </c>
      <c r="W14" s="18">
        <f>VLOOKUP($D14,'Week 12'!$A$2:$AH$120,2,FALSE)</f>
        <v>0</v>
      </c>
      <c r="X14" s="18">
        <f>VLOOKUP($D14,'Week 13'!$A$2:$AH$120,2,FALSE)</f>
        <v>0</v>
      </c>
      <c r="Y14" s="18">
        <f>VLOOKUP($D14,'Week 14'!$A$2:$AH$120,2,FALSE)</f>
        <v>0</v>
      </c>
      <c r="Z14" s="18">
        <f>VLOOKUP($D14,'Week 15'!$A$2:$AH$120,2,FALSE)</f>
        <v>0</v>
      </c>
      <c r="AA14" s="18">
        <f>VLOOKUP($D14,'Week 16'!$A$2:$AH$120,2,FALSE)</f>
        <v>0</v>
      </c>
      <c r="AB14" s="18">
        <f>VLOOKUP($D14,'Week 17'!$A$2:$AH$120,2,FALSE)</f>
        <v>0</v>
      </c>
      <c r="AC14" s="18">
        <f>VLOOKUP($D14,'Week 18'!$A$2:$AH$120,2,FALSE)</f>
        <v>0</v>
      </c>
      <c r="AD14" s="18">
        <f>VLOOKUP($D14,'Week 19'!$A$2:$AH$120,2,FALSE)</f>
        <v>0</v>
      </c>
      <c r="AE14" s="18">
        <f>VLOOKUP($D14,'Week 20'!$A$2:$AH$120,2,FALSE)</f>
        <v>1</v>
      </c>
      <c r="AF14" s="18">
        <f>VLOOKUP($D14,'Week 21'!$A$2:$AH$120,2,FALSE)</f>
        <v>0</v>
      </c>
      <c r="AG14" s="18">
        <f>VLOOKUP($D14,'Week 22'!$A$2:$AH$120,2,FALSE)</f>
        <v>0</v>
      </c>
      <c r="AH14" s="18">
        <f>VLOOKUP($D14,'Week 23'!$A$2:$AH$120,2,FALSE)</f>
        <v>0</v>
      </c>
      <c r="AI14" s="18">
        <f>VLOOKUP($D14,'Week 24'!$A$2:$AH$120,2,FALSE)</f>
        <v>0</v>
      </c>
      <c r="AJ14" s="18">
        <f>VLOOKUP($D14,'Week 25'!$A$2:$AH$120,2,FALSE)</f>
        <v>0</v>
      </c>
      <c r="AK14" s="18">
        <f>VLOOKUP($D14,'Week 26'!$A$2:$AH$120,2,FALSE)</f>
        <v>0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5.75" customHeight="1">
      <c r="A15" s="3" t="s">
        <v>459</v>
      </c>
      <c r="B15" s="3"/>
      <c r="C15" s="11" t="str">
        <f>HYPERLINK("https://www.digitalauthority.me/resources/mobile-app-marketing-guide/","Mobile app marketing guide")</f>
        <v>Mobile app marketing guide</v>
      </c>
      <c r="D15" s="3" t="s">
        <v>118</v>
      </c>
      <c r="E15" s="3">
        <v>500</v>
      </c>
      <c r="F15" s="3">
        <v>34</v>
      </c>
      <c r="G15" s="3">
        <v>30</v>
      </c>
      <c r="H15" s="3">
        <v>40</v>
      </c>
      <c r="I15" s="17" t="b">
        <f t="shared" si="0"/>
        <v>0</v>
      </c>
      <c r="J15" s="17" t="b">
        <f t="shared" si="1"/>
        <v>0</v>
      </c>
      <c r="K15" s="17">
        <f t="shared" si="2"/>
        <v>5</v>
      </c>
      <c r="L15" s="18" t="e">
        <f>VLOOKUP($D15,'Week 1'!$A$2:$AD$120,2,FALSE)</f>
        <v>#N/A</v>
      </c>
      <c r="M15" s="18" t="e">
        <f>VLOOKUP($D15,'Week 2'!$A$2:$AD$120,2,FALSE)</f>
        <v>#N/A</v>
      </c>
      <c r="N15" s="18" t="e">
        <f>VLOOKUP($D15,'Week 3'!$A$2:$AH$119,2,FALSE)</f>
        <v>#N/A</v>
      </c>
      <c r="O15" s="18" t="e">
        <f>VLOOKUP($D15,'Week 4'!$A$2:$AH$122,2,FALSE)</f>
        <v>#N/A</v>
      </c>
      <c r="P15" s="18" t="e">
        <f>VLOOKUP($D15,'Week 5'!$A$2:$AG$120,2,FALSE)</f>
        <v>#N/A</v>
      </c>
      <c r="Q15" s="18" t="e">
        <f>VLOOKUP($D15,'week 6'!$A$2:$AH$120,2,FALSE)</f>
        <v>#N/A</v>
      </c>
      <c r="R15" s="18" t="e">
        <f>VLOOKUP($D15,'Week 7'!$A$2:$AH$120,2,FALSE)</f>
        <v>#N/A</v>
      </c>
      <c r="S15" s="18" t="e">
        <f>VLOOKUP($D15,'Week 8'!$A$2:$AH$120,2,FALSE)</f>
        <v>#N/A</v>
      </c>
      <c r="T15" s="18" t="e">
        <f>VLOOKUP($D15,'Week 9'!$A$2:$AH$120,2,FALSE)</f>
        <v>#N/A</v>
      </c>
      <c r="U15" s="18" t="e">
        <f>VLOOKUP($D15,'Week 10'!$A$2:$AH$114,2,FALSE)</f>
        <v>#N/A</v>
      </c>
      <c r="V15" s="18">
        <f>VLOOKUP($D15,'Week 11'!$A$2:$AH$120,2,FALSE)</f>
        <v>0</v>
      </c>
      <c r="W15" s="18">
        <f>VLOOKUP($D15,'Week 12'!$A$2:$AH$120,2,FALSE)</f>
        <v>0</v>
      </c>
      <c r="X15" s="18">
        <f>VLOOKUP($D15,'Week 13'!$A$2:$AH$120,2,FALSE)</f>
        <v>2</v>
      </c>
      <c r="Y15" s="18">
        <f>VLOOKUP($D15,'Week 14'!$A$2:$AH$120,2,FALSE)</f>
        <v>0</v>
      </c>
      <c r="Z15" s="18">
        <f>VLOOKUP($D15,'Week 15'!$A$2:$AH$120,2,FALSE)</f>
        <v>1</v>
      </c>
      <c r="AA15" s="18">
        <f>VLOOKUP($D15,'Week 16'!$A$2:$AH$120,2,FALSE)</f>
        <v>0</v>
      </c>
      <c r="AB15" s="18">
        <f>VLOOKUP($D15,'Week 17'!$A$2:$AH$120,2,FALSE)</f>
        <v>0</v>
      </c>
      <c r="AC15" s="18">
        <f>VLOOKUP($D15,'Week 18'!$A$2:$AH$120,2,FALSE)</f>
        <v>1</v>
      </c>
      <c r="AD15" s="18">
        <f>VLOOKUP($D15,'Week 19'!$A$2:$AH$120,2,FALSE)</f>
        <v>0</v>
      </c>
      <c r="AE15" s="18">
        <f>VLOOKUP($D15,'Week 20'!$A$2:$AH$120,2,FALSE)</f>
        <v>0</v>
      </c>
      <c r="AF15" s="18">
        <f>VLOOKUP($D15,'Week 21'!$A$2:$AH$120,2,FALSE)</f>
        <v>0</v>
      </c>
      <c r="AG15" s="18">
        <f>VLOOKUP($D15,'Week 22'!$A$2:$AH$120,2,FALSE)</f>
        <v>1</v>
      </c>
      <c r="AH15" s="18">
        <f>VLOOKUP($D15,'Week 23'!$A$2:$AH$120,2,FALSE)</f>
        <v>0</v>
      </c>
      <c r="AI15" s="18">
        <f>VLOOKUP($D15,'Week 24'!$A$2:$AH$120,2,FALSE)</f>
        <v>0</v>
      </c>
      <c r="AJ15" s="18">
        <f>VLOOKUP($D15,'Week 25'!$A$2:$AH$120,2,FALSE)</f>
        <v>0</v>
      </c>
      <c r="AK15" s="18">
        <f>VLOOKUP($D15,'Week 26'!$A$2:$AH$120,2,FALSE)</f>
        <v>0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5.75" customHeight="1">
      <c r="A16" s="3" t="s">
        <v>501</v>
      </c>
      <c r="B16" s="3"/>
      <c r="C16" s="11" t="str">
        <f>HYPERLINK("https://www.digitalauthority.me/resources/it-marketing-guide/","2019 IT marketing Guide")</f>
        <v>2019 IT marketing Guide</v>
      </c>
      <c r="D16" s="3" t="s">
        <v>111</v>
      </c>
      <c r="E16" s="3">
        <v>300</v>
      </c>
      <c r="F16" s="3">
        <v>3</v>
      </c>
      <c r="G16" s="3">
        <v>8</v>
      </c>
      <c r="H16" s="3">
        <v>15</v>
      </c>
      <c r="I16" s="17" t="b">
        <f t="shared" si="0"/>
        <v>0</v>
      </c>
      <c r="J16" s="17">
        <f t="shared" si="1"/>
        <v>1.875</v>
      </c>
      <c r="K16" s="17">
        <f t="shared" si="2"/>
        <v>15</v>
      </c>
      <c r="L16" s="18" t="e">
        <f>VLOOKUP($D16,'Week 1'!$A$2:$AD$120,2,FALSE)</f>
        <v>#N/A</v>
      </c>
      <c r="M16" s="18" t="e">
        <f>VLOOKUP($D16,'Week 2'!$A$2:$AD$120,2,FALSE)</f>
        <v>#N/A</v>
      </c>
      <c r="N16" s="18" t="e">
        <f>VLOOKUP($D16,'Week 3'!$A$2:$AH$119,2,FALSE)</f>
        <v>#N/A</v>
      </c>
      <c r="O16" s="18" t="e">
        <f>VLOOKUP($D16,'Week 4'!$A$2:$AH$122,2,FALSE)</f>
        <v>#N/A</v>
      </c>
      <c r="P16" s="18" t="e">
        <f>VLOOKUP($D16,'Week 5'!$A$2:$AG$120,2,FALSE)</f>
        <v>#N/A</v>
      </c>
      <c r="Q16" s="18" t="e">
        <f>VLOOKUP($D16,'week 6'!$A$2:$AH$120,2,FALSE)</f>
        <v>#N/A</v>
      </c>
      <c r="R16" s="18" t="e">
        <f>VLOOKUP($D16,'Week 7'!$A$2:$AH$120,2,FALSE)</f>
        <v>#N/A</v>
      </c>
      <c r="S16" s="18" t="e">
        <f>VLOOKUP($D16,'Week 8'!$A$2:$AH$120,2,FALSE)</f>
        <v>#N/A</v>
      </c>
      <c r="T16" s="18" t="e">
        <f>VLOOKUP($D16,'Week 9'!$A$2:$AH$120,2,FALSE)</f>
        <v>#N/A</v>
      </c>
      <c r="U16" s="18">
        <f>VLOOKUP($D16,'Week 10'!$A$2:$AH$114,2,FALSE)</f>
        <v>0</v>
      </c>
      <c r="V16" s="18">
        <f>VLOOKUP($D16,'Week 11'!$A$2:$AH$120,2,FALSE)</f>
        <v>2</v>
      </c>
      <c r="W16" s="18">
        <f>VLOOKUP($D16,'Week 12'!$A$2:$AH$120,2,FALSE)</f>
        <v>1</v>
      </c>
      <c r="X16" s="18">
        <f>VLOOKUP($D16,'Week 13'!$A$2:$AH$120,2,FALSE)</f>
        <v>5</v>
      </c>
      <c r="Y16" s="18">
        <f>VLOOKUP($D16,'Week 14'!$A$2:$AH$120,2,FALSE)</f>
        <v>1</v>
      </c>
      <c r="Z16" s="18">
        <f>VLOOKUP($D16,'Week 15'!$A$2:$AH$120,2,FALSE)</f>
        <v>1</v>
      </c>
      <c r="AA16" s="18">
        <f>VLOOKUP($D16,'Week 16'!$A$2:$AH$120,2,FALSE)</f>
        <v>3</v>
      </c>
      <c r="AB16" s="18">
        <f>VLOOKUP($D16,'Week 17'!$A$2:$AH$120,2,FALSE)</f>
        <v>1</v>
      </c>
      <c r="AC16" s="18">
        <f>VLOOKUP($D16,'Week 18'!$A$2:$AH$120,2,FALSE)</f>
        <v>0</v>
      </c>
      <c r="AD16" s="18">
        <f>VLOOKUP($D16,'Week 19'!$A$2:$AH$120,2,FALSE)</f>
        <v>0</v>
      </c>
      <c r="AE16" s="18">
        <f>VLOOKUP($D16,'Week 20'!$A$2:$AH$120,2,FALSE)</f>
        <v>1</v>
      </c>
      <c r="AF16" s="18">
        <f>VLOOKUP($D16,'Week 21'!$A$2:$AH$120,2,FALSE)</f>
        <v>0</v>
      </c>
      <c r="AG16" s="18">
        <f>VLOOKUP($D16,'Week 22'!$A$2:$AH$120,2,FALSE)</f>
        <v>0</v>
      </c>
      <c r="AH16" s="18">
        <f>VLOOKUP($D16,'Week 23'!$A$2:$AH$120,2,FALSE)</f>
        <v>0</v>
      </c>
      <c r="AI16" s="18">
        <f>VLOOKUP($D16,'Week 24'!$A$2:$AH$120,2,FALSE)</f>
        <v>1</v>
      </c>
      <c r="AJ16" s="18">
        <f>VLOOKUP($D16,'Week 25'!$A$2:$AH$120,2,FALSE)</f>
        <v>0</v>
      </c>
      <c r="AK16" s="18">
        <f>VLOOKUP($D16,'Week 26'!$A$2:$AH$120,2,FALSE)</f>
        <v>0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5.75" customHeight="1">
      <c r="A17" s="3" t="s">
        <v>533</v>
      </c>
      <c r="B17" s="3"/>
      <c r="C17" s="11" t="str">
        <f>HYPERLINK("https://www.digitalauthority.me/resources/public-relations-healthcare-guide/","Healthcare PR Guide")</f>
        <v>Healthcare PR Guide</v>
      </c>
      <c r="D17" s="3" t="s">
        <v>534</v>
      </c>
      <c r="E17" s="3">
        <v>400</v>
      </c>
      <c r="F17" s="3">
        <v>76</v>
      </c>
      <c r="G17" s="3">
        <v>5</v>
      </c>
      <c r="H17" s="3">
        <v>10</v>
      </c>
      <c r="I17" s="17" t="b">
        <f t="shared" si="0"/>
        <v>0</v>
      </c>
      <c r="J17" s="17" t="b">
        <f t="shared" si="1"/>
        <v>0</v>
      </c>
      <c r="K17" s="17">
        <f t="shared" si="2"/>
        <v>2</v>
      </c>
      <c r="L17" s="18" t="e">
        <f>VLOOKUP($D17,'Week 1'!$A$2:$AD$120,2,FALSE)</f>
        <v>#N/A</v>
      </c>
      <c r="M17" s="18" t="e">
        <f>VLOOKUP($D17,'Week 2'!$A$2:$AD$120,2,FALSE)</f>
        <v>#N/A</v>
      </c>
      <c r="N17" s="18" t="e">
        <f>VLOOKUP($D17,'Week 3'!$A$2:$AH$119,2,FALSE)</f>
        <v>#N/A</v>
      </c>
      <c r="O17" s="18" t="e">
        <f>VLOOKUP($D17,'Week 4'!$A$2:$AH$122,2,FALSE)</f>
        <v>#N/A</v>
      </c>
      <c r="P17" s="18" t="e">
        <f>VLOOKUP($D17,'Week 5'!$A$2:$AG$120,2,FALSE)</f>
        <v>#N/A</v>
      </c>
      <c r="Q17" s="18" t="e">
        <f>VLOOKUP($D17,'week 6'!$A$2:$AH$120,2,FALSE)</f>
        <v>#N/A</v>
      </c>
      <c r="R17" s="18" t="e">
        <f>VLOOKUP($D17,'Week 7'!$A$2:$AH$120,2,FALSE)</f>
        <v>#N/A</v>
      </c>
      <c r="S17" s="18" t="e">
        <f>VLOOKUP($D17,'Week 8'!$A$2:$AH$120,2,FALSE)</f>
        <v>#N/A</v>
      </c>
      <c r="T17" s="18" t="e">
        <f>VLOOKUP($D17,'Week 9'!$A$2:$AH$120,2,FALSE)</f>
        <v>#N/A</v>
      </c>
      <c r="U17" s="18">
        <f>VLOOKUP($D17,'Week 10'!$A$2:$AH$114,2,FALSE)</f>
        <v>1</v>
      </c>
      <c r="V17" s="18">
        <f>VLOOKUP($D17,'Week 11'!$A$2:$AH$120,2,FALSE)</f>
        <v>1</v>
      </c>
      <c r="W17" s="18">
        <f>VLOOKUP($D17,'Week 12'!$A$2:$AH$120,2,FALSE)</f>
        <v>0</v>
      </c>
      <c r="X17" s="18">
        <f>VLOOKUP($D17,'Week 13'!$A$2:$AH$120,2,FALSE)</f>
        <v>0</v>
      </c>
      <c r="Y17" s="18">
        <f>VLOOKUP($D17,'Week 14'!$A$2:$AH$120,2,FALSE)</f>
        <v>0</v>
      </c>
      <c r="Z17" s="18">
        <f>VLOOKUP($D17,'Week 15'!$A$2:$AH$120,2,FALSE)</f>
        <v>0</v>
      </c>
      <c r="AA17" s="18">
        <f>VLOOKUP($D17,'Week 16'!$A$2:$AH$120,2,FALSE)</f>
        <v>0</v>
      </c>
      <c r="AB17" s="18">
        <f>VLOOKUP($D17,'Week 17'!$A$2:$AH$120,2,FALSE)</f>
        <v>0</v>
      </c>
      <c r="AC17" s="18">
        <f>VLOOKUP($D17,'Week 18'!$A$2:$AH$120,2,FALSE)</f>
        <v>0</v>
      </c>
      <c r="AD17" s="18">
        <f>VLOOKUP($D17,'Week 19'!$A$2:$AH$120,2,FALSE)</f>
        <v>0</v>
      </c>
      <c r="AE17" s="18">
        <f>VLOOKUP($D17,'Week 20'!$A$2:$AH$120,2,FALSE)</f>
        <v>0</v>
      </c>
      <c r="AF17" s="18">
        <f>VLOOKUP($D17,'Week 21'!$A$2:$AH$120,2,FALSE)</f>
        <v>0</v>
      </c>
      <c r="AG17" s="18">
        <f>VLOOKUP($D17,'Week 22'!$A$2:$AH$120,2,FALSE)</f>
        <v>0</v>
      </c>
      <c r="AH17" s="18">
        <f>VLOOKUP($D17,'Week 23'!$A$2:$AH$120,2,FALSE)</f>
        <v>0</v>
      </c>
      <c r="AI17" s="18">
        <f>VLOOKUP($D17,'Week 24'!$A$2:$AH$120,2,FALSE)</f>
        <v>0</v>
      </c>
      <c r="AJ17" s="18">
        <f>VLOOKUP($D17,'Week 25'!$A$2:$AH$120,2,FALSE)</f>
        <v>0</v>
      </c>
      <c r="AK17" s="18">
        <f>VLOOKUP($D17,'Week 26'!$A$2:$AH$120,2,FALSE)</f>
        <v>0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5.75" customHeight="1">
      <c r="A18" s="3" t="s">
        <v>533</v>
      </c>
      <c r="B18" s="3"/>
      <c r="C18" s="61" t="s">
        <v>105</v>
      </c>
      <c r="D18" s="3" t="s">
        <v>104</v>
      </c>
      <c r="E18" s="3">
        <v>5000</v>
      </c>
      <c r="F18" s="3">
        <v>19</v>
      </c>
      <c r="G18" s="3">
        <v>30</v>
      </c>
      <c r="H18" s="3">
        <v>60</v>
      </c>
      <c r="I18" s="17" t="b">
        <f t="shared" si="0"/>
        <v>0</v>
      </c>
      <c r="J18" s="17" t="b">
        <f t="shared" si="1"/>
        <v>0</v>
      </c>
      <c r="K18" s="17">
        <f t="shared" si="2"/>
        <v>11</v>
      </c>
      <c r="L18" s="18" t="e">
        <f>VLOOKUP($D18,'Week 1'!$A$2:$AD$120,2,FALSE)</f>
        <v>#N/A</v>
      </c>
      <c r="M18" s="18" t="e">
        <f>VLOOKUP($D18,'Week 2'!$A$2:$AD$120,2,FALSE)</f>
        <v>#N/A</v>
      </c>
      <c r="N18" s="18" t="e">
        <f>VLOOKUP($D18,'Week 3'!$A$2:$AH$119,2,FALSE)</f>
        <v>#N/A</v>
      </c>
      <c r="O18" s="18" t="e">
        <f>VLOOKUP($D18,'Week 4'!$A$2:$AH$122,2,FALSE)</f>
        <v>#N/A</v>
      </c>
      <c r="P18" s="18" t="e">
        <f>VLOOKUP($D18,'Week 5'!$A$2:$AG$120,2,FALSE)</f>
        <v>#N/A</v>
      </c>
      <c r="Q18" s="18" t="e">
        <f>VLOOKUP($D18,'week 6'!$A$2:$AH$120,2,FALSE)</f>
        <v>#N/A</v>
      </c>
      <c r="R18" s="18" t="e">
        <f>VLOOKUP($D18,'Week 7'!$A$2:$AH$120,2,FALSE)</f>
        <v>#N/A</v>
      </c>
      <c r="S18" s="18" t="e">
        <f>VLOOKUP($D18,'Week 8'!$A$2:$AH$120,2,FALSE)</f>
        <v>#N/A</v>
      </c>
      <c r="T18" s="18" t="e">
        <f>VLOOKUP($D18,'Week 9'!$A$2:$AH$120,2,FALSE)</f>
        <v>#N/A</v>
      </c>
      <c r="U18" s="18" t="e">
        <f>VLOOKUP($D18,'Week 10'!$A$2:$AH$114,2,FALSE)</f>
        <v>#N/A</v>
      </c>
      <c r="V18" s="18">
        <f>VLOOKUP($D18,'Week 11'!$A$2:$AH$120,2,FALSE)</f>
        <v>2</v>
      </c>
      <c r="W18" s="18">
        <f>VLOOKUP($D18,'Week 12'!$A$2:$AH$120,2,FALSE)</f>
        <v>3</v>
      </c>
      <c r="X18" s="18">
        <f>VLOOKUP($D18,'Week 13'!$A$2:$AH$120,2,FALSE)</f>
        <v>0</v>
      </c>
      <c r="Y18" s="18">
        <f>VLOOKUP($D18,'Week 14'!$A$2:$AH$120,2,FALSE)</f>
        <v>0</v>
      </c>
      <c r="Z18" s="18">
        <f>VLOOKUP($D18,'Week 15'!$A$2:$AH$120,2,FALSE)</f>
        <v>0</v>
      </c>
      <c r="AA18" s="18">
        <f>VLOOKUP($D18,'Week 16'!$A$2:$AH$120,2,FALSE)</f>
        <v>1</v>
      </c>
      <c r="AB18" s="18">
        <f>VLOOKUP($D18,'Week 17'!$A$2:$AH$120,2,FALSE)</f>
        <v>2</v>
      </c>
      <c r="AC18" s="18">
        <f>VLOOKUP($D18,'Week 18'!$A$2:$AH$120,2,FALSE)</f>
        <v>0</v>
      </c>
      <c r="AD18" s="18">
        <f>VLOOKUP($D18,'Week 19'!$A$2:$AH$120,2,FALSE)</f>
        <v>0</v>
      </c>
      <c r="AE18" s="18">
        <f>VLOOKUP($D18,'Week 20'!$A$2:$AH$120,2,FALSE)</f>
        <v>1</v>
      </c>
      <c r="AF18" s="18">
        <f>VLOOKUP($D18,'Week 21'!$A$2:$AH$120,2,FALSE)</f>
        <v>2</v>
      </c>
      <c r="AG18" s="18">
        <f>VLOOKUP($D18,'Week 22'!$A$2:$AH$120,2,FALSE)</f>
        <v>0</v>
      </c>
      <c r="AH18" s="18">
        <f>VLOOKUP($D18,'Week 23'!$A$2:$AH$120,2,FALSE)</f>
        <v>1</v>
      </c>
      <c r="AI18" s="18">
        <f>VLOOKUP($D18,'Week 24'!$A$2:$AH$120,2,FALSE)</f>
        <v>0</v>
      </c>
      <c r="AJ18" s="18">
        <f>VLOOKUP($D18,'Week 25'!$A$2:$AH$120,2,FALSE)</f>
        <v>0</v>
      </c>
      <c r="AK18" s="18">
        <f>VLOOKUP($D18,'Week 26'!$A$2:$AH$120,2,FALSE)</f>
        <v>0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5.75" customHeight="1">
      <c r="A19" s="3" t="s">
        <v>533</v>
      </c>
      <c r="B19" s="3"/>
      <c r="C19" s="11" t="str">
        <f>HYPERLINK("https://www.digitalauthority.me/resources/healthcare-marketing-plan-guide/","Healthcare Marketing Plan Guide")</f>
        <v>Healthcare Marketing Plan Guide</v>
      </c>
      <c r="D19" s="3" t="s">
        <v>96</v>
      </c>
      <c r="E19" s="3">
        <v>300</v>
      </c>
      <c r="F19" s="3">
        <v>3</v>
      </c>
      <c r="G19" s="3">
        <v>5</v>
      </c>
      <c r="H19" s="3">
        <v>10</v>
      </c>
      <c r="I19" s="17" t="b">
        <f t="shared" si="0"/>
        <v>0</v>
      </c>
      <c r="J19" s="17">
        <f t="shared" si="1"/>
        <v>0.4</v>
      </c>
      <c r="K19" s="17">
        <f t="shared" si="2"/>
        <v>2</v>
      </c>
      <c r="L19" s="18" t="e">
        <f>VLOOKUP($D19,'Week 1'!$A$2:$AD$120,2,FALSE)</f>
        <v>#N/A</v>
      </c>
      <c r="M19" s="18" t="e">
        <f>VLOOKUP($D19,'Week 2'!$A$2:$AD$120,2,FALSE)</f>
        <v>#N/A</v>
      </c>
      <c r="N19" s="18" t="e">
        <f>VLOOKUP($D19,'Week 3'!$A$2:$AH$119,2,FALSE)</f>
        <v>#N/A</v>
      </c>
      <c r="O19" s="18" t="e">
        <f>VLOOKUP($D19,'Week 4'!$A$2:$AH$122,2,FALSE)</f>
        <v>#N/A</v>
      </c>
      <c r="P19" s="18" t="e">
        <f>VLOOKUP($D19,'Week 5'!$A$2:$AG$120,2,FALSE)</f>
        <v>#N/A</v>
      </c>
      <c r="Q19" s="18" t="e">
        <f>VLOOKUP($D19,'week 6'!$A$2:$AH$120,2,FALSE)</f>
        <v>#N/A</v>
      </c>
      <c r="R19" s="18" t="e">
        <f>VLOOKUP($D19,'Week 7'!$A$2:$AH$120,2,FALSE)</f>
        <v>#N/A</v>
      </c>
      <c r="S19" s="18" t="e">
        <f>VLOOKUP($D19,'Week 8'!$A$2:$AH$120,2,FALSE)</f>
        <v>#N/A</v>
      </c>
      <c r="T19" s="18" t="e">
        <f>VLOOKUP($D19,'Week 9'!$A$2:$AH$120,2,FALSE)</f>
        <v>#N/A</v>
      </c>
      <c r="U19" s="18" t="e">
        <f>VLOOKUP($D19,'Week 10'!$A$2:$AH$114,2,FALSE)</f>
        <v>#N/A</v>
      </c>
      <c r="V19" s="18" t="e">
        <f>VLOOKUP($D19,'Week 11'!$A$2:$AH$120,2,FALSE)</f>
        <v>#N/A</v>
      </c>
      <c r="W19" s="18">
        <f>VLOOKUP($D19,'Week 12'!$A$2:$AH$120,2,FALSE)</f>
        <v>0</v>
      </c>
      <c r="X19" s="18">
        <f>VLOOKUP($D19,'Week 13'!$A$2:$AH$120,2,FALSE)</f>
        <v>0</v>
      </c>
      <c r="Y19" s="18">
        <f>VLOOKUP($D19,'Week 14'!$A$2:$AH$120,2,FALSE)</f>
        <v>0</v>
      </c>
      <c r="Z19" s="18">
        <f>VLOOKUP($D19,'Week 15'!$A$2:$AH$120,2,FALSE)</f>
        <v>1</v>
      </c>
      <c r="AA19" s="18">
        <f>VLOOKUP($D19,'Week 16'!$A$2:$AH$120,2,FALSE)</f>
        <v>0</v>
      </c>
      <c r="AB19" s="18">
        <f>VLOOKUP($D19,'Week 17'!$A$2:$AH$120,2,FALSE)</f>
        <v>0</v>
      </c>
      <c r="AC19" s="18">
        <f>VLOOKUP($D19,'Week 18'!$A$2:$AH$120,2,FALSE)</f>
        <v>0</v>
      </c>
      <c r="AD19" s="18">
        <f>VLOOKUP($D19,'Week 19'!$A$2:$AH$120,2,FALSE)</f>
        <v>0</v>
      </c>
      <c r="AE19" s="18">
        <f>VLOOKUP($D19,'Week 20'!$A$2:$AH$120,2,FALSE)</f>
        <v>1</v>
      </c>
      <c r="AF19" s="18">
        <f>VLOOKUP($D19,'Week 21'!$A$2:$AH$120,2,FALSE)</f>
        <v>0</v>
      </c>
      <c r="AG19" s="18">
        <f>VLOOKUP($D19,'Week 22'!$A$2:$AH$120,2,FALSE)</f>
        <v>0</v>
      </c>
      <c r="AH19" s="18">
        <f>VLOOKUP($D19,'Week 23'!$A$2:$AH$120,2,FALSE)</f>
        <v>0</v>
      </c>
      <c r="AI19" s="18">
        <f>VLOOKUP($D19,'Week 24'!$A$2:$AH$120,2,FALSE)</f>
        <v>0</v>
      </c>
      <c r="AJ19" s="18">
        <f>VLOOKUP($D19,'Week 25'!$A$2:$AH$120,2,FALSE)</f>
        <v>0</v>
      </c>
      <c r="AK19" s="18">
        <f>VLOOKUP($D19,'Week 26'!$A$2:$AH$120,2,FALSE)</f>
        <v>0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5.75" customHeight="1">
      <c r="A20" s="3" t="s">
        <v>620</v>
      </c>
      <c r="B20" s="3"/>
      <c r="C20" s="11" t="str">
        <f>HYPERLINK("https://www.digitalauthority.me/resources/blockchain-in-healthcare/","Blockchain in Healthcare: An Executive’s Guide for 2019")</f>
        <v>Blockchain in Healthcare: An Executive’s Guide for 2019</v>
      </c>
      <c r="D20" s="3" t="s">
        <v>73</v>
      </c>
      <c r="E20" s="3">
        <v>3100</v>
      </c>
      <c r="F20" s="3">
        <v>9</v>
      </c>
      <c r="G20" s="3">
        <v>27</v>
      </c>
      <c r="H20" s="3">
        <v>54</v>
      </c>
      <c r="I20" s="17" t="b">
        <f t="shared" si="0"/>
        <v>0</v>
      </c>
      <c r="J20" s="17">
        <f t="shared" si="1"/>
        <v>0.22222222222222221</v>
      </c>
      <c r="K20" s="17">
        <f t="shared" si="2"/>
        <v>6</v>
      </c>
      <c r="L20" s="18">
        <f>VLOOKUP($D20,'Week 1'!$A$2:$AD$120,2,FALSE)</f>
        <v>1</v>
      </c>
      <c r="M20" s="18">
        <f>VLOOKUP($D20,'Week 2'!$A$2:$AD$120,2,FALSE)</f>
        <v>0</v>
      </c>
      <c r="N20" s="18">
        <f>VLOOKUP($D20,'Week 3'!$A$2:$AH$119,2,FALSE)</f>
        <v>0</v>
      </c>
      <c r="O20" s="18">
        <f>VLOOKUP($D20,'Week 4'!$A$2:$AH$122,2,FALSE)</f>
        <v>0</v>
      </c>
      <c r="P20" s="18">
        <f>VLOOKUP($D20,'Week 5'!$A$2:$AG$120,2,FALSE)</f>
        <v>0</v>
      </c>
      <c r="Q20" s="18">
        <f>VLOOKUP($D20,'week 6'!$A$2:$AH$120,2,FALSE)</f>
        <v>0</v>
      </c>
      <c r="R20" s="18">
        <f>VLOOKUP($D20,'Week 7'!$A$2:$AH$120,2,FALSE)</f>
        <v>0</v>
      </c>
      <c r="S20" s="18">
        <f>VLOOKUP($D20,'Week 8'!$A$2:$AH$120,2,FALSE)</f>
        <v>0</v>
      </c>
      <c r="T20" s="18">
        <f>VLOOKUP($D20,'Week 9'!$A$2:$AH$120,2,FALSE)</f>
        <v>0</v>
      </c>
      <c r="U20" s="18">
        <f>VLOOKUP($D20,'Week 10'!$A$2:$AH$114,2,FALSE)</f>
        <v>0</v>
      </c>
      <c r="V20" s="18">
        <f>VLOOKUP($D20,'Week 11'!$A$2:$AH$120,2,FALSE)</f>
        <v>0</v>
      </c>
      <c r="W20" s="18">
        <f>VLOOKUP($D20,'Week 12'!$A$2:$AH$120,2,FALSE)</f>
        <v>1</v>
      </c>
      <c r="X20" s="18">
        <f>VLOOKUP($D20,'Week 13'!$A$2:$AH$120,2,FALSE)</f>
        <v>0</v>
      </c>
      <c r="Y20" s="18">
        <f>VLOOKUP($D20,'Week 14'!$A$2:$AH$120,2,FALSE)</f>
        <v>4</v>
      </c>
      <c r="Z20" s="18">
        <f>VLOOKUP($D20,'Week 15'!$A$2:$AH$120,2,FALSE)</f>
        <v>0</v>
      </c>
      <c r="AA20" s="18">
        <f>VLOOKUP($D20,'Week 16'!$A$2:$AH$120,2,FALSE)</f>
        <v>0</v>
      </c>
      <c r="AB20" s="18">
        <f>VLOOKUP($D20,'Week 17'!$A$2:$AH$120,2,FALSE)</f>
        <v>0</v>
      </c>
      <c r="AC20" s="18">
        <f>VLOOKUP($D20,'Week 18'!$A$2:$AH$120,2,FALSE)</f>
        <v>0</v>
      </c>
      <c r="AD20" s="18">
        <f>VLOOKUP($D20,'Week 19'!$A$2:$AH$120,2,FALSE)</f>
        <v>0</v>
      </c>
      <c r="AE20" s="18">
        <f>VLOOKUP($D20,'Week 20'!$A$2:$AH$120,2,FALSE)</f>
        <v>0</v>
      </c>
      <c r="AF20" s="18">
        <f>VLOOKUP($D20,'Week 21'!$A$2:$AH$120,2,FALSE)</f>
        <v>0</v>
      </c>
      <c r="AG20" s="18">
        <f>VLOOKUP($D20,'Week 22'!$A$2:$AH$120,2,FALSE)</f>
        <v>0</v>
      </c>
      <c r="AH20" s="18">
        <f>VLOOKUP($D20,'Week 23'!$A$2:$AH$120,2,FALSE)</f>
        <v>1</v>
      </c>
      <c r="AI20" s="18">
        <f>VLOOKUP($D20,'Week 24'!$A$2:$AH$120,2,FALSE)</f>
        <v>0</v>
      </c>
      <c r="AJ20" s="18">
        <f>VLOOKUP($D20,'Week 25'!$A$2:$AH$120,2,FALSE)</f>
        <v>0</v>
      </c>
      <c r="AK20" s="18">
        <f>VLOOKUP($D20,'Week 26'!$A$2:$AH$120,2,FALSE)</f>
        <v>0</v>
      </c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5.75" customHeight="1">
      <c r="A21" s="3" t="s">
        <v>620</v>
      </c>
      <c r="B21" s="3"/>
      <c r="C21" s="11" t="str">
        <f>HYPERLINK("https://www.digitalauthority.me/resources/17-reasons-why-most-companies-fail-at-seo/","17 Reasons Why Companies Fail At SEO")</f>
        <v>17 Reasons Why Companies Fail At SEO</v>
      </c>
      <c r="D21" s="3" t="s">
        <v>126</v>
      </c>
      <c r="E21" s="3">
        <v>20</v>
      </c>
      <c r="F21" s="3">
        <v>38</v>
      </c>
      <c r="G21" s="3">
        <v>4</v>
      </c>
      <c r="H21" s="3">
        <v>8</v>
      </c>
      <c r="I21" s="17" t="b">
        <f t="shared" si="0"/>
        <v>0</v>
      </c>
      <c r="J21" s="17" t="b">
        <f t="shared" si="1"/>
        <v>0</v>
      </c>
      <c r="K21" s="17">
        <f t="shared" si="2"/>
        <v>1</v>
      </c>
      <c r="L21" s="18" t="e">
        <f>VLOOKUP($D21,'Week 1'!$A$2:$AD$120,2,FALSE)</f>
        <v>#N/A</v>
      </c>
      <c r="M21" s="18" t="e">
        <f>VLOOKUP($D21,'Week 2'!$A$2:$AD$120,2,FALSE)</f>
        <v>#N/A</v>
      </c>
      <c r="N21" s="18" t="e">
        <f>VLOOKUP($D21,'Week 3'!$A$2:$AH$119,2,FALSE)</f>
        <v>#N/A</v>
      </c>
      <c r="O21" s="18" t="e">
        <f>VLOOKUP($D21,'Week 4'!$A$2:$AH$122,2,FALSE)</f>
        <v>#N/A</v>
      </c>
      <c r="P21" s="18" t="e">
        <f>VLOOKUP($D21,'Week 5'!$A$2:$AG$120,2,FALSE)</f>
        <v>#N/A</v>
      </c>
      <c r="Q21" s="18" t="e">
        <f>VLOOKUP($D21,'week 6'!$A$2:$AH$120,2,FALSE)</f>
        <v>#N/A</v>
      </c>
      <c r="R21" s="18" t="e">
        <f>VLOOKUP($D21,'Week 7'!$A$2:$AH$120,2,FALSE)</f>
        <v>#N/A</v>
      </c>
      <c r="S21" s="18" t="e">
        <f>VLOOKUP($D21,'Week 8'!$A$2:$AH$120,2,FALSE)</f>
        <v>#N/A</v>
      </c>
      <c r="T21" s="18" t="e">
        <f>VLOOKUP($D21,'Week 9'!$A$2:$AH$120,2,FALSE)</f>
        <v>#N/A</v>
      </c>
      <c r="U21" s="18" t="e">
        <f>VLOOKUP($D21,'Week 10'!$A$2:$AH$114,2,FALSE)</f>
        <v>#N/A</v>
      </c>
      <c r="V21" s="18" t="e">
        <f>VLOOKUP($D21,'Week 11'!$A$2:$AH$120,2,FALSE)</f>
        <v>#N/A</v>
      </c>
      <c r="W21" s="18">
        <f>VLOOKUP($D21,'Week 12'!$A$2:$AH$120,2,FALSE)</f>
        <v>0</v>
      </c>
      <c r="X21" s="18">
        <f>VLOOKUP($D21,'Week 13'!$A$2:$AH$120,2,FALSE)</f>
        <v>0</v>
      </c>
      <c r="Y21" s="18">
        <f>VLOOKUP($D21,'Week 14'!$A$2:$AH$120,2,FALSE)</f>
        <v>0</v>
      </c>
      <c r="Z21" s="18">
        <f>VLOOKUP($D21,'Week 15'!$A$2:$AH$120,2,FALSE)</f>
        <v>1</v>
      </c>
      <c r="AA21" s="18">
        <f>VLOOKUP($D21,'Week 16'!$A$2:$AH$120,2,FALSE)</f>
        <v>0</v>
      </c>
      <c r="AB21" s="18">
        <f>VLOOKUP($D21,'Week 17'!$A$2:$AH$120,2,FALSE)</f>
        <v>0</v>
      </c>
      <c r="AC21" s="18">
        <f>VLOOKUP($D21,'Week 18'!$A$2:$AH$120,2,FALSE)</f>
        <v>0</v>
      </c>
      <c r="AD21" s="18">
        <f>VLOOKUP($D21,'Week 19'!$A$2:$AH$120,2,FALSE)</f>
        <v>0</v>
      </c>
      <c r="AE21" s="18">
        <f>VLOOKUP($D21,'Week 20'!$A$2:$AH$120,2,FALSE)</f>
        <v>0</v>
      </c>
      <c r="AF21" s="18">
        <f>VLOOKUP($D21,'Week 21'!$A$2:$AH$120,2,FALSE)</f>
        <v>0</v>
      </c>
      <c r="AG21" s="18">
        <f>VLOOKUP($D21,'Week 22'!$A$2:$AH$120,2,FALSE)</f>
        <v>0</v>
      </c>
      <c r="AH21" s="18">
        <f>VLOOKUP($D21,'Week 23'!$A$2:$AH$120,2,FALSE)</f>
        <v>0</v>
      </c>
      <c r="AI21" s="18">
        <f>VLOOKUP($D21,'Week 24'!$A$2:$AH$120,2,FALSE)</f>
        <v>0</v>
      </c>
      <c r="AJ21" s="18">
        <f>VLOOKUP($D21,'Week 25'!$A$2:$AH$120,2,FALSE)</f>
        <v>0</v>
      </c>
      <c r="AK21" s="18">
        <f>VLOOKUP($D21,'Week 26'!$A$2:$AH$120,2,FALSE)</f>
        <v>0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5.75" customHeight="1">
      <c r="A22" s="3" t="s">
        <v>620</v>
      </c>
      <c r="B22" s="3"/>
      <c r="C22" s="11" t="str">
        <f>HYPERLINK("https://www.digitalauthority.me/resources/fintech-startup-marketing/","Fintech Marketing Startups")</f>
        <v>Fintech Marketing Startups</v>
      </c>
      <c r="D22" s="3" t="s">
        <v>661</v>
      </c>
      <c r="E22" s="3">
        <v>40</v>
      </c>
      <c r="F22" s="3">
        <v>1</v>
      </c>
      <c r="G22" s="3">
        <v>3</v>
      </c>
      <c r="H22" s="3">
        <v>6</v>
      </c>
      <c r="I22" s="17">
        <f t="shared" si="0"/>
        <v>0</v>
      </c>
      <c r="J22" s="17">
        <f t="shared" si="1"/>
        <v>0</v>
      </c>
      <c r="K22" s="17">
        <f t="shared" si="2"/>
        <v>0</v>
      </c>
      <c r="L22" s="18" t="e">
        <f>VLOOKUP($D22,'Week 1'!$A$2:$AD$120,2,FALSE)</f>
        <v>#N/A</v>
      </c>
      <c r="M22" s="18" t="e">
        <f>VLOOKUP($D22,'Week 2'!$A$2:$AD$120,2,FALSE)</f>
        <v>#N/A</v>
      </c>
      <c r="N22" s="18" t="e">
        <f>VLOOKUP($D22,'Week 3'!$A$2:$AH$119,2,FALSE)</f>
        <v>#N/A</v>
      </c>
      <c r="O22" s="18" t="e">
        <f>VLOOKUP($D22,'Week 4'!$A$2:$AH$122,2,FALSE)</f>
        <v>#N/A</v>
      </c>
      <c r="P22" s="18" t="e">
        <f>VLOOKUP($D22,'Week 5'!$A$2:$AG$120,2,FALSE)</f>
        <v>#N/A</v>
      </c>
      <c r="Q22" s="18" t="e">
        <f>VLOOKUP($D22,'week 6'!$A$2:$AH$120,2,FALSE)</f>
        <v>#N/A</v>
      </c>
      <c r="R22" s="18" t="e">
        <f>VLOOKUP($D22,'Week 7'!$A$2:$AH$120,2,FALSE)</f>
        <v>#N/A</v>
      </c>
      <c r="S22" s="18" t="e">
        <f>VLOOKUP($D22,'Week 8'!$A$2:$AH$120,2,FALSE)</f>
        <v>#N/A</v>
      </c>
      <c r="T22" s="18" t="e">
        <f>VLOOKUP($D22,'Week 9'!$A$2:$AH$120,2,FALSE)</f>
        <v>#N/A</v>
      </c>
      <c r="U22" s="18" t="e">
        <f>VLOOKUP($D22,'Week 10'!$A$2:$AH$114,2,FALSE)</f>
        <v>#N/A</v>
      </c>
      <c r="V22" s="18" t="e">
        <f>VLOOKUP($D22,'Week 11'!$A$2:$AH$120,2,FALSE)</f>
        <v>#N/A</v>
      </c>
      <c r="W22" s="18" t="e">
        <f>VLOOKUP($D22,'Week 12'!$A$2:$AH$120,2,FALSE)</f>
        <v>#N/A</v>
      </c>
      <c r="X22" s="18" t="e">
        <f>VLOOKUP($D22,'Week 13'!$A$2:$AH$120,2,FALSE)</f>
        <v>#N/A</v>
      </c>
      <c r="Y22" s="18" t="e">
        <f>VLOOKUP($D22,'Week 14'!$A$2:$AH$120,2,FALSE)</f>
        <v>#N/A</v>
      </c>
      <c r="Z22" s="18" t="e">
        <f>VLOOKUP($D22,'Week 15'!$A$2:$AH$120,2,FALSE)</f>
        <v>#N/A</v>
      </c>
      <c r="AA22" s="18" t="e">
        <f>VLOOKUP($D22,'Week 16'!$A$2:$AH$120,2,FALSE)</f>
        <v>#N/A</v>
      </c>
      <c r="AB22" s="18" t="e">
        <f>VLOOKUP($D22,'Week 17'!$A$2:$AH$120,2,FALSE)</f>
        <v>#N/A</v>
      </c>
      <c r="AC22" s="18" t="e">
        <f>VLOOKUP($D22,'Week 18'!$A$2:$AH$120,2,FALSE)</f>
        <v>#N/A</v>
      </c>
      <c r="AD22" s="18" t="e">
        <f>VLOOKUP($D22,'Week 19'!$A$2:$AH$120,2,FALSE)</f>
        <v>#N/A</v>
      </c>
      <c r="AE22" s="18" t="e">
        <f>VLOOKUP($D22,'Week 20'!$A$2:$AH$120,2,FALSE)</f>
        <v>#N/A</v>
      </c>
      <c r="AF22" s="18" t="e">
        <f>VLOOKUP($D22,'Week 21'!$A$2:$AH$120,2,FALSE)</f>
        <v>#N/A</v>
      </c>
      <c r="AG22" s="18" t="e">
        <f>VLOOKUP($D22,'Week 22'!$A$2:$AH$120,2,FALSE)</f>
        <v>#N/A</v>
      </c>
      <c r="AH22" s="18" t="e">
        <f>VLOOKUP($D22,'Week 23'!$A$2:$AH$120,2,FALSE)</f>
        <v>#N/A</v>
      </c>
      <c r="AI22" s="18" t="e">
        <f>VLOOKUP($D22,'Week 24'!$A$2:$AH$120,2,FALSE)</f>
        <v>#N/A</v>
      </c>
      <c r="AJ22" s="18" t="e">
        <f>VLOOKUP($D22,'Week 25'!$A$2:$AH$120,2,FALSE)</f>
        <v>#N/A</v>
      </c>
      <c r="AK22" s="18" t="e">
        <f>VLOOKUP($D22,'Week 26'!$A$2:$AH$120,2,FALSE)</f>
        <v>#N/A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5.75" customHeight="1">
      <c r="A23" s="3" t="s">
        <v>682</v>
      </c>
      <c r="B23" s="3"/>
      <c r="C23" s="11" t="str">
        <f>HYPERLINK("https://www.digitalauthority.me/resources/alexa-in-healthcare/","alexa in healthcare")</f>
        <v>alexa in healthcare</v>
      </c>
      <c r="D23" s="3" t="s">
        <v>64</v>
      </c>
      <c r="E23" s="3">
        <v>18</v>
      </c>
      <c r="F23" s="3">
        <v>67</v>
      </c>
      <c r="G23" s="3">
        <v>4</v>
      </c>
      <c r="H23" s="3">
        <v>8</v>
      </c>
      <c r="I23" s="17" t="b">
        <f t="shared" si="0"/>
        <v>0</v>
      </c>
      <c r="J23" s="17" t="b">
        <f t="shared" si="1"/>
        <v>0</v>
      </c>
      <c r="K23" s="17">
        <f t="shared" si="2"/>
        <v>5</v>
      </c>
      <c r="L23" s="18" t="e">
        <f>VLOOKUP($D23,'Week 1'!$A$2:$AD$120,2,FALSE)</f>
        <v>#N/A</v>
      </c>
      <c r="M23" s="18" t="e">
        <f>VLOOKUP($D23,'Week 2'!$A$2:$AD$120,2,FALSE)</f>
        <v>#N/A</v>
      </c>
      <c r="N23" s="18" t="e">
        <f>VLOOKUP($D23,'Week 3'!$A$2:$AH$119,2,FALSE)</f>
        <v>#N/A</v>
      </c>
      <c r="O23" s="18" t="e">
        <f>VLOOKUP($D23,'Week 4'!$A$2:$AH$122,2,FALSE)</f>
        <v>#N/A</v>
      </c>
      <c r="P23" s="18" t="e">
        <f>VLOOKUP($D23,'Week 5'!$A$2:$AG$120,2,FALSE)</f>
        <v>#N/A</v>
      </c>
      <c r="Q23" s="18" t="e">
        <f>VLOOKUP($D23,'week 6'!$A$2:$AH$120,2,FALSE)</f>
        <v>#N/A</v>
      </c>
      <c r="R23" s="18" t="e">
        <f>VLOOKUP($D23,'Week 7'!$A$2:$AH$120,2,FALSE)</f>
        <v>#N/A</v>
      </c>
      <c r="S23" s="18" t="e">
        <f>VLOOKUP($D23,'Week 8'!$A$2:$AH$120,2,FALSE)</f>
        <v>#N/A</v>
      </c>
      <c r="T23" s="18" t="e">
        <f>VLOOKUP($D23,'Week 9'!$A$2:$AH$120,2,FALSE)</f>
        <v>#N/A</v>
      </c>
      <c r="U23" s="18" t="e">
        <f>VLOOKUP($D23,'Week 10'!$A$2:$AH$114,2,FALSE)</f>
        <v>#N/A</v>
      </c>
      <c r="V23" s="18" t="e">
        <f>VLOOKUP($D23,'Week 11'!$A$2:$AH$120,2,FALSE)</f>
        <v>#N/A</v>
      </c>
      <c r="W23" s="18" t="e">
        <f>VLOOKUP($D23,'Week 12'!$A$2:$AH$120,2,FALSE)</f>
        <v>#N/A</v>
      </c>
      <c r="X23" s="18" t="e">
        <f>VLOOKUP($D23,'Week 13'!$A$2:$AH$120,2,FALSE)</f>
        <v>#N/A</v>
      </c>
      <c r="Y23" s="18">
        <f>VLOOKUP($D23,'Week 14'!$A$2:$AH$120,2,FALSE)</f>
        <v>0</v>
      </c>
      <c r="Z23" s="18">
        <f>VLOOKUP($D23,'Week 15'!$A$2:$AH$120,2,FALSE)</f>
        <v>1</v>
      </c>
      <c r="AA23" s="18">
        <f>VLOOKUP($D23,'Week 16'!$A$2:$AH$120,2,FALSE)</f>
        <v>0</v>
      </c>
      <c r="AB23" s="18">
        <f>VLOOKUP($D23,'Week 17'!$A$2:$AH$120,2,FALSE)</f>
        <v>0</v>
      </c>
      <c r="AC23" s="18">
        <f>VLOOKUP($D23,'Week 18'!$A$2:$AH$120,2,FALSE)</f>
        <v>1</v>
      </c>
      <c r="AD23" s="18">
        <f>VLOOKUP($D23,'Week 19'!$A$2:$AH$120,2,FALSE)</f>
        <v>1</v>
      </c>
      <c r="AE23" s="18">
        <f>VLOOKUP($D23,'Week 20'!$A$2:$AH$120,2,FALSE)</f>
        <v>0</v>
      </c>
      <c r="AF23" s="18">
        <f>VLOOKUP($D23,'Week 21'!$A$2:$AH$120,2,FALSE)</f>
        <v>1</v>
      </c>
      <c r="AG23" s="18">
        <f>VLOOKUP($D23,'Week 22'!$A$2:$AH$120,2,FALSE)</f>
        <v>1</v>
      </c>
      <c r="AH23" s="18">
        <f>VLOOKUP($D23,'Week 23'!$A$2:$AH$120,2,FALSE)</f>
        <v>0</v>
      </c>
      <c r="AI23" s="18">
        <f>VLOOKUP($D23,'Week 24'!$A$2:$AH$120,2,FALSE)</f>
        <v>3</v>
      </c>
      <c r="AJ23" s="18">
        <f>VLOOKUP($D23,'Week 25'!$A$2:$AH$120,2,FALSE)</f>
        <v>0</v>
      </c>
      <c r="AK23" s="18">
        <f>VLOOKUP($D23,'Week 26'!$A$2:$AH$120,2,FALSE)</f>
        <v>0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5.75" customHeight="1">
      <c r="A24" s="3" t="s">
        <v>712</v>
      </c>
      <c r="B24" s="3"/>
      <c r="C24" s="11" t="str">
        <f>HYPERLINK("https://www.digitalauthority.me/resources/big-data-in-healthcare/","Big Data in healthcare")</f>
        <v>Big Data in healthcare</v>
      </c>
      <c r="D24" s="3" t="s">
        <v>72</v>
      </c>
      <c r="E24" s="3">
        <v>1100</v>
      </c>
      <c r="F24" s="3">
        <v>51</v>
      </c>
      <c r="G24" s="3">
        <v>10</v>
      </c>
      <c r="H24" s="3">
        <v>20</v>
      </c>
      <c r="I24" s="17" t="b">
        <f t="shared" si="0"/>
        <v>0</v>
      </c>
      <c r="J24" s="17" t="b">
        <f t="shared" si="1"/>
        <v>0</v>
      </c>
      <c r="K24" s="17">
        <f t="shared" si="2"/>
        <v>1</v>
      </c>
      <c r="L24" s="18" t="e">
        <f>VLOOKUP($D24,'Week 1'!$A$2:$AD$120,2,FALSE)</f>
        <v>#N/A</v>
      </c>
      <c r="M24" s="18" t="e">
        <f>VLOOKUP($D24,'Week 2'!$A$2:$AD$120,2,FALSE)</f>
        <v>#N/A</v>
      </c>
      <c r="N24" s="18" t="e">
        <f>VLOOKUP($D24,'Week 3'!$A$2:$AH$119,2,FALSE)</f>
        <v>#N/A</v>
      </c>
      <c r="O24" s="18" t="e">
        <f>VLOOKUP($D24,'Week 4'!$A$2:$AH$122,2,FALSE)</f>
        <v>#N/A</v>
      </c>
      <c r="P24" s="18" t="e">
        <f>VLOOKUP($D24,'Week 5'!$A$2:$AG$120,2,FALSE)</f>
        <v>#N/A</v>
      </c>
      <c r="Q24" s="18" t="e">
        <f>VLOOKUP($D24,'week 6'!$A$2:$AH$120,2,FALSE)</f>
        <v>#N/A</v>
      </c>
      <c r="R24" s="18" t="e">
        <f>VLOOKUP($D24,'Week 7'!$A$2:$AH$120,2,FALSE)</f>
        <v>#N/A</v>
      </c>
      <c r="S24" s="18" t="e">
        <f>VLOOKUP($D24,'Week 8'!$A$2:$AH$120,2,FALSE)</f>
        <v>#N/A</v>
      </c>
      <c r="T24" s="18" t="e">
        <f>VLOOKUP($D24,'Week 9'!$A$2:$AH$120,2,FALSE)</f>
        <v>#N/A</v>
      </c>
      <c r="U24" s="18" t="e">
        <f>VLOOKUP($D24,'Week 10'!$A$2:$AH$114,2,FALSE)</f>
        <v>#N/A</v>
      </c>
      <c r="V24" s="18" t="e">
        <f>VLOOKUP($D24,'Week 11'!$A$2:$AH$120,2,FALSE)</f>
        <v>#N/A</v>
      </c>
      <c r="W24" s="18" t="e">
        <f>VLOOKUP($D24,'Week 12'!$A$2:$AH$120,2,FALSE)</f>
        <v>#N/A</v>
      </c>
      <c r="X24" s="18" t="e">
        <f>VLOOKUP($D24,'Week 13'!$A$2:$AH$120,2,FALSE)</f>
        <v>#N/A</v>
      </c>
      <c r="Y24" s="18" t="e">
        <f>VLOOKUP($D24,'Week 14'!$A$2:$AH$120,2,FALSE)</f>
        <v>#N/A</v>
      </c>
      <c r="Z24" s="18">
        <f>VLOOKUP($D24,'Week 15'!$A$2:$AH$120,2,FALSE)</f>
        <v>0</v>
      </c>
      <c r="AA24" s="18">
        <f>VLOOKUP($D24,'Week 16'!$A$2:$AH$120,2,FALSE)</f>
        <v>0</v>
      </c>
      <c r="AB24" s="18">
        <f>VLOOKUP($D24,'Week 17'!$A$2:$AH$120,2,FALSE)</f>
        <v>0</v>
      </c>
      <c r="AC24" s="18">
        <f>VLOOKUP($D24,'Week 18'!$A$2:$AH$120,2,FALSE)</f>
        <v>0</v>
      </c>
      <c r="AD24" s="18">
        <f>VLOOKUP($D24,'Week 19'!$A$2:$AH$120,2,FALSE)</f>
        <v>0</v>
      </c>
      <c r="AE24" s="18">
        <f>VLOOKUP($D24,'Week 20'!$A$2:$AH$120,2,FALSE)</f>
        <v>0</v>
      </c>
      <c r="AF24" s="18">
        <f>VLOOKUP($D24,'Week 21'!$A$2:$AH$120,2,FALSE)</f>
        <v>0</v>
      </c>
      <c r="AG24" s="18">
        <f>VLOOKUP($D24,'Week 22'!$A$2:$AH$120,2,FALSE)</f>
        <v>1</v>
      </c>
      <c r="AH24" s="18">
        <f>VLOOKUP($D24,'Week 23'!$A$2:$AH$120,2,FALSE)</f>
        <v>1</v>
      </c>
      <c r="AI24" s="18">
        <f>VLOOKUP($D24,'Week 24'!$A$2:$AH$120,2,FALSE)</f>
        <v>1</v>
      </c>
      <c r="AJ24" s="18">
        <f>VLOOKUP($D24,'Week 25'!$A$2:$AH$120,2,FALSE)</f>
        <v>0</v>
      </c>
      <c r="AK24" s="18">
        <f>VLOOKUP($D24,'Week 26'!$A$2:$AH$120,2,FALSE)</f>
        <v>0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5.75" customHeight="1">
      <c r="A25" s="3" t="s">
        <v>712</v>
      </c>
      <c r="B25" s="3"/>
      <c r="C25" s="11" t="str">
        <f>HYPERLINK("https://www.digitalauthority.me/resources/marketing-terms-guide/","Marketing terms ")</f>
        <v xml:space="preserve">Marketing terms </v>
      </c>
      <c r="D25" s="3" t="s">
        <v>757</v>
      </c>
      <c r="E25" s="3">
        <v>3500</v>
      </c>
      <c r="F25" s="3" t="s">
        <v>726</v>
      </c>
      <c r="G25" s="3">
        <v>21</v>
      </c>
      <c r="H25" s="3">
        <v>50</v>
      </c>
      <c r="I25" s="17" t="b">
        <f t="shared" si="0"/>
        <v>0</v>
      </c>
      <c r="J25" s="17" t="b">
        <f t="shared" si="1"/>
        <v>0</v>
      </c>
      <c r="K25" s="17">
        <f t="shared" si="2"/>
        <v>0</v>
      </c>
      <c r="L25" s="18" t="e">
        <f>VLOOKUP($D25,'Week 1'!$A$2:$AD$120,2,FALSE)</f>
        <v>#N/A</v>
      </c>
      <c r="M25" s="18" t="e">
        <f>VLOOKUP($D25,'Week 2'!$A$2:$AD$120,2,FALSE)</f>
        <v>#N/A</v>
      </c>
      <c r="N25" s="18" t="e">
        <f>VLOOKUP($D25,'Week 3'!$A$2:$AH$119,2,FALSE)</f>
        <v>#N/A</v>
      </c>
      <c r="O25" s="18" t="e">
        <f>VLOOKUP($D25,'Week 4'!$A$2:$AH$122,2,FALSE)</f>
        <v>#N/A</v>
      </c>
      <c r="P25" s="18" t="e">
        <f>VLOOKUP($D25,'Week 5'!$A$2:$AG$120,2,FALSE)</f>
        <v>#N/A</v>
      </c>
      <c r="Q25" s="18" t="e">
        <f>VLOOKUP($D25,'week 6'!$A$2:$AH$120,2,FALSE)</f>
        <v>#N/A</v>
      </c>
      <c r="R25" s="18" t="e">
        <f>VLOOKUP($D25,'Week 7'!$A$2:$AH$120,2,FALSE)</f>
        <v>#N/A</v>
      </c>
      <c r="S25" s="18" t="e">
        <f>VLOOKUP($D25,'Week 8'!$A$2:$AH$120,2,FALSE)</f>
        <v>#N/A</v>
      </c>
      <c r="T25" s="18" t="e">
        <f>VLOOKUP($D25,'Week 9'!$A$2:$AH$120,2,FALSE)</f>
        <v>#N/A</v>
      </c>
      <c r="U25" s="18" t="e">
        <f>VLOOKUP($D25,'Week 10'!$A$2:$AH$114,2,FALSE)</f>
        <v>#N/A</v>
      </c>
      <c r="V25" s="18" t="e">
        <f>VLOOKUP($D25,'Week 11'!$A$2:$AH$120,2,FALSE)</f>
        <v>#N/A</v>
      </c>
      <c r="W25" s="18" t="e">
        <f>VLOOKUP($D25,'Week 12'!$A$2:$AH$120,2,FALSE)</f>
        <v>#N/A</v>
      </c>
      <c r="X25" s="18" t="e">
        <f>VLOOKUP($D25,'Week 13'!$A$2:$AH$120,2,FALSE)</f>
        <v>#N/A</v>
      </c>
      <c r="Y25" s="18" t="e">
        <f>VLOOKUP($D25,'Week 14'!$A$2:$AH$120,2,FALSE)</f>
        <v>#N/A</v>
      </c>
      <c r="Z25" s="18" t="e">
        <f>VLOOKUP($D25,'Week 15'!$A$2:$AH$120,2,FALSE)</f>
        <v>#N/A</v>
      </c>
      <c r="AA25" s="18" t="e">
        <f>VLOOKUP($D25,'Week 16'!$A$2:$AH$120,2,FALSE)</f>
        <v>#N/A</v>
      </c>
      <c r="AB25" s="18" t="e">
        <f>VLOOKUP($D25,'Week 17'!$A$2:$AH$120,2,FALSE)</f>
        <v>#N/A</v>
      </c>
      <c r="AC25" s="18" t="e">
        <f>VLOOKUP($D25,'Week 18'!$A$2:$AH$120,2,FALSE)</f>
        <v>#N/A</v>
      </c>
      <c r="AD25" s="18" t="e">
        <f>VLOOKUP($D25,'Week 19'!$A$2:$AH$120,2,FALSE)</f>
        <v>#N/A</v>
      </c>
      <c r="AE25" s="18" t="e">
        <f>VLOOKUP($D25,'Week 20'!$A$2:$AH$120,2,FALSE)</f>
        <v>#N/A</v>
      </c>
      <c r="AF25" s="18" t="e">
        <f>VLOOKUP($D25,'Week 21'!$A$2:$AH$120,2,FALSE)</f>
        <v>#N/A</v>
      </c>
      <c r="AG25" s="18" t="e">
        <f>VLOOKUP($D25,'Week 22'!$A$2:$AH$120,2,FALSE)</f>
        <v>#N/A</v>
      </c>
      <c r="AH25" s="18" t="e">
        <f>VLOOKUP($D25,'Week 23'!$A$2:$AH$120,2,FALSE)</f>
        <v>#N/A</v>
      </c>
      <c r="AI25" s="18" t="e">
        <f>VLOOKUP($D25,'Week 24'!$A$2:$AH$120,2,FALSE)</f>
        <v>#N/A</v>
      </c>
      <c r="AJ25" s="18" t="e">
        <f>VLOOKUP($D25,'Week 25'!$A$2:$AH$120,2,FALSE)</f>
        <v>#N/A</v>
      </c>
      <c r="AK25" s="18" t="e">
        <f>VLOOKUP($D25,'Week 26'!$A$2:$AH$120,2,FALSE)</f>
        <v>#N/A</v>
      </c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5.75" customHeight="1">
      <c r="A26" s="3"/>
      <c r="B26" s="3"/>
      <c r="C26" s="11" t="str">
        <f>HYPERLINK("https://www.digitalauthority.me/resources/seo-vs-sem/","Seo versus SEM guide")</f>
        <v>Seo versus SEM guide</v>
      </c>
      <c r="D26" s="3" t="s">
        <v>127</v>
      </c>
      <c r="E26" s="3">
        <v>1700</v>
      </c>
      <c r="F26" s="3">
        <v>41</v>
      </c>
      <c r="G26" s="3">
        <v>13</v>
      </c>
      <c r="H26" s="3">
        <v>25</v>
      </c>
      <c r="I26" s="17" t="b">
        <f t="shared" si="0"/>
        <v>0</v>
      </c>
      <c r="J26" s="17" t="b">
        <f t="shared" si="1"/>
        <v>0</v>
      </c>
      <c r="K26" s="17">
        <f t="shared" si="2"/>
        <v>0</v>
      </c>
      <c r="L26" s="18" t="e">
        <f>VLOOKUP($D26,'Week 1'!$A$2:$AD$120,2,FALSE)</f>
        <v>#N/A</v>
      </c>
      <c r="M26" s="18" t="e">
        <f>VLOOKUP($D26,'Week 2'!$A$2:$AD$120,2,FALSE)</f>
        <v>#N/A</v>
      </c>
      <c r="N26" s="18" t="e">
        <f>VLOOKUP($D26,'Week 3'!$A$2:$AH$119,2,FALSE)</f>
        <v>#N/A</v>
      </c>
      <c r="O26" s="18" t="e">
        <f>VLOOKUP($D26,'Week 4'!$A$2:$AH$122,2,FALSE)</f>
        <v>#N/A</v>
      </c>
      <c r="P26" s="18" t="e">
        <f>VLOOKUP($D26,'Week 5'!$A$2:$AG$120,2,FALSE)</f>
        <v>#N/A</v>
      </c>
      <c r="Q26" s="18" t="e">
        <f>VLOOKUP($D26,'week 6'!$A$2:$AH$120,2,FALSE)</f>
        <v>#N/A</v>
      </c>
      <c r="R26" s="18" t="e">
        <f>VLOOKUP($D26,'Week 7'!$A$2:$AH$120,2,FALSE)</f>
        <v>#N/A</v>
      </c>
      <c r="S26" s="18" t="e">
        <f>VLOOKUP($D26,'Week 8'!$A$2:$AH$120,2,FALSE)</f>
        <v>#N/A</v>
      </c>
      <c r="T26" s="18" t="e">
        <f>VLOOKUP($D26,'Week 9'!$A$2:$AH$120,2,FALSE)</f>
        <v>#N/A</v>
      </c>
      <c r="U26" s="18" t="e">
        <f>VLOOKUP($D26,'Week 10'!$A$2:$AH$114,2,FALSE)</f>
        <v>#N/A</v>
      </c>
      <c r="V26" s="18" t="e">
        <f>VLOOKUP($D26,'Week 11'!$A$2:$AH$120,2,FALSE)</f>
        <v>#N/A</v>
      </c>
      <c r="W26" s="18" t="e">
        <f>VLOOKUP($D26,'Week 12'!$A$2:$AH$120,2,FALSE)</f>
        <v>#N/A</v>
      </c>
      <c r="X26" s="18" t="e">
        <f>VLOOKUP($D26,'Week 13'!$A$2:$AH$120,2,FALSE)</f>
        <v>#N/A</v>
      </c>
      <c r="Y26" s="18" t="e">
        <f>VLOOKUP($D26,'Week 14'!$A$2:$AH$120,2,FALSE)</f>
        <v>#N/A</v>
      </c>
      <c r="Z26" s="18" t="e">
        <f>VLOOKUP($D26,'Week 15'!$A$2:$AH$120,2,FALSE)</f>
        <v>#N/A</v>
      </c>
      <c r="AA26" s="18" t="e">
        <f>VLOOKUP($D26,'Week 16'!$A$2:$AH$120,2,FALSE)</f>
        <v>#N/A</v>
      </c>
      <c r="AB26" s="18">
        <f>VLOOKUP($D26,'Week 17'!$A$2:$AH$120,2,FALSE)</f>
        <v>0</v>
      </c>
      <c r="AC26" s="18">
        <f>VLOOKUP($D26,'Week 18'!$A$2:$AH$120,2,FALSE)</f>
        <v>0</v>
      </c>
      <c r="AD26" s="18">
        <f>VLOOKUP($D26,'Week 19'!$A$2:$AH$120,2,FALSE)</f>
        <v>0</v>
      </c>
      <c r="AE26" s="18">
        <f>VLOOKUP($D26,'Week 20'!$A$2:$AH$120,2,FALSE)</f>
        <v>0</v>
      </c>
      <c r="AF26" s="18">
        <f>VLOOKUP($D26,'Week 21'!$A$2:$AH$120,2,FALSE)</f>
        <v>0</v>
      </c>
      <c r="AG26" s="18">
        <f>VLOOKUP($D26,'Week 22'!$A$2:$AH$120,2,FALSE)</f>
        <v>0</v>
      </c>
      <c r="AH26" s="18">
        <f>VLOOKUP($D26,'Week 23'!$A$2:$AH$120,2,FALSE)</f>
        <v>0</v>
      </c>
      <c r="AI26" s="18">
        <f>VLOOKUP($D26,'Week 24'!$A$2:$AH$120,2,FALSE)</f>
        <v>0</v>
      </c>
      <c r="AJ26" s="18">
        <f>VLOOKUP($D26,'Week 25'!$A$2:$AH$120,2,FALSE)</f>
        <v>0</v>
      </c>
      <c r="AK26" s="18">
        <f>VLOOKUP($D26,'Week 26'!$A$2:$AH$120,2,FALSE)</f>
        <v>0</v>
      </c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5.75" customHeight="1">
      <c r="A27" s="3" t="s">
        <v>828</v>
      </c>
      <c r="B27" s="3"/>
      <c r="C27" s="61" t="s">
        <v>63</v>
      </c>
      <c r="D27" s="3" t="s">
        <v>62</v>
      </c>
      <c r="E27" s="3">
        <v>3000</v>
      </c>
      <c r="F27" s="3">
        <v>52</v>
      </c>
      <c r="G27" s="3">
        <v>40</v>
      </c>
      <c r="H27" s="3">
        <v>60</v>
      </c>
      <c r="I27" s="17" t="b">
        <f t="shared" si="0"/>
        <v>0</v>
      </c>
      <c r="J27" s="17" t="b">
        <f t="shared" si="1"/>
        <v>0</v>
      </c>
      <c r="K27" s="17">
        <f t="shared" si="2"/>
        <v>1</v>
      </c>
      <c r="L27" s="18" t="e">
        <f>VLOOKUP($D27,'Week 1'!$A$2:$AD$120,2,FALSE)</f>
        <v>#N/A</v>
      </c>
      <c r="M27" s="18" t="e">
        <f>VLOOKUP($D27,'Week 2'!$A$2:$AD$120,2,FALSE)</f>
        <v>#N/A</v>
      </c>
      <c r="N27" s="18" t="e">
        <f>VLOOKUP($D27,'Week 3'!$A$2:$AH$119,2,FALSE)</f>
        <v>#N/A</v>
      </c>
      <c r="O27" s="18" t="e">
        <f>VLOOKUP($D27,'Week 4'!$A$2:$AH$122,2,FALSE)</f>
        <v>#N/A</v>
      </c>
      <c r="P27" s="18" t="e">
        <f>VLOOKUP($D27,'Week 5'!$A$2:$AG$120,2,FALSE)</f>
        <v>#N/A</v>
      </c>
      <c r="Q27" s="18" t="e">
        <f>VLOOKUP($D27,'week 6'!$A$2:$AH$120,2,FALSE)</f>
        <v>#N/A</v>
      </c>
      <c r="R27" s="18" t="e">
        <f>VLOOKUP($D27,'Week 7'!$A$2:$AH$120,2,FALSE)</f>
        <v>#N/A</v>
      </c>
      <c r="S27" s="18" t="e">
        <f>VLOOKUP($D27,'Week 8'!$A$2:$AH$120,2,FALSE)</f>
        <v>#N/A</v>
      </c>
      <c r="T27" s="18" t="e">
        <f>VLOOKUP($D27,'Week 9'!$A$2:$AH$120,2,FALSE)</f>
        <v>#N/A</v>
      </c>
      <c r="U27" s="18" t="e">
        <f>VLOOKUP($D27,'Week 10'!$A$2:$AH$114,2,FALSE)</f>
        <v>#N/A</v>
      </c>
      <c r="V27" s="18" t="e">
        <f>VLOOKUP($D27,'Week 11'!$A$2:$AH$120,2,FALSE)</f>
        <v>#N/A</v>
      </c>
      <c r="W27" s="18" t="e">
        <f>VLOOKUP($D27,'Week 12'!$A$2:$AH$120,2,FALSE)</f>
        <v>#N/A</v>
      </c>
      <c r="X27" s="18" t="e">
        <f>VLOOKUP($D27,'Week 13'!$A$2:$AH$120,2,FALSE)</f>
        <v>#N/A</v>
      </c>
      <c r="Y27" s="18" t="e">
        <f>VLOOKUP($D27,'Week 14'!$A$2:$AH$120,2,FALSE)</f>
        <v>#N/A</v>
      </c>
      <c r="Z27" s="18" t="e">
        <f>VLOOKUP($D27,'Week 15'!$A$2:$AH$120,2,FALSE)</f>
        <v>#N/A</v>
      </c>
      <c r="AA27" s="18" t="e">
        <f>VLOOKUP($D27,'Week 16'!$A$2:$AH$120,2,FALSE)</f>
        <v>#N/A</v>
      </c>
      <c r="AB27" s="18" t="e">
        <f>VLOOKUP($D27,'Week 17'!$A$2:$AH$120,2,FALSE)</f>
        <v>#N/A</v>
      </c>
      <c r="AC27" s="18" t="e">
        <f>VLOOKUP($D27,'Week 18'!$A$2:$AH$120,2,FALSE)</f>
        <v>#N/A</v>
      </c>
      <c r="AD27" s="18" t="e">
        <f>VLOOKUP($D27,'Week 19'!$A$2:$AH$120,2,FALSE)</f>
        <v>#N/A</v>
      </c>
      <c r="AE27" s="18">
        <f>VLOOKUP($D27,'Week 20'!$A$2:$AH$120,2,FALSE)</f>
        <v>1</v>
      </c>
      <c r="AF27" s="18">
        <f>VLOOKUP($D27,'Week 21'!$A$2:$AH$120,2,FALSE)</f>
        <v>0</v>
      </c>
      <c r="AG27" s="18">
        <f>VLOOKUP($D27,'Week 22'!$A$2:$AH$120,2,FALSE)</f>
        <v>0</v>
      </c>
      <c r="AH27" s="18">
        <f>VLOOKUP($D27,'Week 23'!$A$2:$AH$120,2,FALSE)</f>
        <v>0</v>
      </c>
      <c r="AI27" s="18">
        <f>VLOOKUP($D27,'Week 24'!$A$2:$AH$120,2,FALSE)</f>
        <v>2</v>
      </c>
      <c r="AJ27" s="18">
        <f>VLOOKUP($D27,'Week 25'!$A$2:$AH$120,2,FALSE)</f>
        <v>0</v>
      </c>
      <c r="AK27" s="18">
        <f>VLOOKUP($D27,'Week 26'!$A$2:$AH$120,2,FALSE)</f>
        <v>0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5.75" customHeight="1">
      <c r="A28" s="3" t="s">
        <v>873</v>
      </c>
      <c r="B28" s="3"/>
      <c r="C28" s="11" t="str">
        <f>HYPERLINK("https://www.digitalauthority.me/resources/pharma-marketing-guide/","Pharma marketing article")</f>
        <v>Pharma marketing article</v>
      </c>
      <c r="D28" s="3" t="s">
        <v>124</v>
      </c>
      <c r="E28" s="3">
        <v>500</v>
      </c>
      <c r="F28" s="3" t="s">
        <v>726</v>
      </c>
      <c r="G28" s="3">
        <v>6</v>
      </c>
      <c r="H28" s="3">
        <v>12</v>
      </c>
      <c r="I28" s="17" t="b">
        <f t="shared" si="0"/>
        <v>0</v>
      </c>
      <c r="J28" s="17" t="b">
        <f t="shared" si="1"/>
        <v>0</v>
      </c>
      <c r="K28" s="17">
        <f t="shared" si="2"/>
        <v>0</v>
      </c>
      <c r="L28" s="18" t="e">
        <f>VLOOKUP($D28,'Week 1'!$A$2:$AD$120,2,FALSE)</f>
        <v>#N/A</v>
      </c>
      <c r="M28" s="18" t="e">
        <f>VLOOKUP($D28,'Week 2'!$A$2:$AD$120,2,FALSE)</f>
        <v>#N/A</v>
      </c>
      <c r="N28" s="18" t="e">
        <f>VLOOKUP($D28,'Week 3'!$A$2:$AH$119,2,FALSE)</f>
        <v>#N/A</v>
      </c>
      <c r="O28" s="18" t="e">
        <f>VLOOKUP($D28,'Week 4'!$A$2:$AH$122,2,FALSE)</f>
        <v>#N/A</v>
      </c>
      <c r="P28" s="18" t="e">
        <f>VLOOKUP($D28,'Week 5'!$A$2:$AG$120,2,FALSE)</f>
        <v>#N/A</v>
      </c>
      <c r="Q28" s="18" t="e">
        <f>VLOOKUP($D28,'week 6'!$A$2:$AH$120,2,FALSE)</f>
        <v>#N/A</v>
      </c>
      <c r="R28" s="18" t="e">
        <f>VLOOKUP($D28,'Week 7'!$A$2:$AH$120,2,FALSE)</f>
        <v>#N/A</v>
      </c>
      <c r="S28" s="18" t="e">
        <f>VLOOKUP($D28,'Week 8'!$A$2:$AH$120,2,FALSE)</f>
        <v>#N/A</v>
      </c>
      <c r="T28" s="18" t="e">
        <f>VLOOKUP($D28,'Week 9'!$A$2:$AH$120,2,FALSE)</f>
        <v>#N/A</v>
      </c>
      <c r="U28" s="18" t="e">
        <f>VLOOKUP($D28,'Week 10'!$A$2:$AH$114,2,FALSE)</f>
        <v>#N/A</v>
      </c>
      <c r="V28" s="18" t="e">
        <f>VLOOKUP($D28,'Week 11'!$A$2:$AH$120,2,FALSE)</f>
        <v>#N/A</v>
      </c>
      <c r="W28" s="18" t="e">
        <f>VLOOKUP($D28,'Week 12'!$A$2:$AH$120,2,FALSE)</f>
        <v>#N/A</v>
      </c>
      <c r="X28" s="18" t="e">
        <f>VLOOKUP($D28,'Week 13'!$A$2:$AH$120,2,FALSE)</f>
        <v>#N/A</v>
      </c>
      <c r="Y28" s="18" t="e">
        <f>VLOOKUP($D28,'Week 14'!$A$2:$AH$120,2,FALSE)</f>
        <v>#N/A</v>
      </c>
      <c r="Z28" s="18" t="e">
        <f>VLOOKUP($D28,'Week 15'!$A$2:$AH$120,2,FALSE)</f>
        <v>#N/A</v>
      </c>
      <c r="AA28" s="18" t="e">
        <f>VLOOKUP($D28,'Week 16'!$A$2:$AH$120,2,FALSE)</f>
        <v>#N/A</v>
      </c>
      <c r="AB28" s="18" t="e">
        <f>VLOOKUP($D28,'Week 17'!$A$2:$AH$120,2,FALSE)</f>
        <v>#N/A</v>
      </c>
      <c r="AC28" s="18" t="e">
        <f>VLOOKUP($D28,'Week 18'!$A$2:$AH$120,2,FALSE)</f>
        <v>#N/A</v>
      </c>
      <c r="AD28" s="18" t="e">
        <f>VLOOKUP($D28,'Week 19'!$A$2:$AH$120,2,FALSE)</f>
        <v>#N/A</v>
      </c>
      <c r="AE28" s="18" t="e">
        <f>VLOOKUP($D28,'Week 20'!$A$2:$AH$120,2,FALSE)</f>
        <v>#N/A</v>
      </c>
      <c r="AF28" s="18" t="e">
        <f>VLOOKUP($D28,'Week 21'!$A$2:$AH$120,2,FALSE)</f>
        <v>#N/A</v>
      </c>
      <c r="AG28" s="18">
        <f>VLOOKUP($D28,'Week 22'!$A$2:$AH$120,2,FALSE)</f>
        <v>0</v>
      </c>
      <c r="AH28" s="18">
        <f>VLOOKUP($D28,'Week 23'!$A$2:$AH$120,2,FALSE)</f>
        <v>0</v>
      </c>
      <c r="AI28" s="18">
        <f>VLOOKUP($D28,'Week 24'!$A$2:$AH$120,2,FALSE)</f>
        <v>0</v>
      </c>
      <c r="AJ28" s="18">
        <f>VLOOKUP($D28,'Week 25'!$A$2:$AH$120,2,FALSE)</f>
        <v>0</v>
      </c>
      <c r="AK28" s="18">
        <f>VLOOKUP($D28,'Week 26'!$A$2:$AH$120,2,FALSE)</f>
        <v>0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5.75" customHeight="1">
      <c r="A29" s="3" t="s">
        <v>873</v>
      </c>
      <c r="B29" s="3"/>
      <c r="C29" s="11" t="str">
        <f>HYPERLINK("https://www.digitalauthority.me/resources/hotel-digital-marketing-tips/","hotel marketing guide")</f>
        <v>hotel marketing guide</v>
      </c>
      <c r="D29" s="3" t="s">
        <v>106</v>
      </c>
      <c r="E29" s="3">
        <v>2300</v>
      </c>
      <c r="F29" s="3" t="s">
        <v>726</v>
      </c>
      <c r="G29" s="3">
        <v>17</v>
      </c>
      <c r="H29" s="3">
        <v>30</v>
      </c>
      <c r="I29" s="17" t="b">
        <f t="shared" si="0"/>
        <v>0</v>
      </c>
      <c r="J29" s="17" t="b">
        <f t="shared" si="1"/>
        <v>0</v>
      </c>
      <c r="K29" s="17">
        <f t="shared" si="2"/>
        <v>1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>
        <f>VLOOKUP($D29,'Week 22'!$A$2:$AH$120,2,FALSE)</f>
        <v>1</v>
      </c>
      <c r="AH29" s="18">
        <f>VLOOKUP($D29,'Week 23'!$A$2:$AH$120,2,FALSE)</f>
        <v>3</v>
      </c>
      <c r="AI29" s="18">
        <f>VLOOKUP($D29,'Week 24'!$A$2:$AH$120,2,FALSE)</f>
        <v>0</v>
      </c>
      <c r="AJ29" s="18">
        <f>VLOOKUP($D29,'Week 25'!$A$2:$AH$120,2,FALSE)</f>
        <v>0</v>
      </c>
      <c r="AK29" s="18">
        <f>VLOOKUP($D29,'Week 26'!$A$2:$AH$120,2,FALSE)</f>
        <v>0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5.75" customHeight="1">
      <c r="A30" s="3" t="s">
        <v>939</v>
      </c>
      <c r="B30" s="3"/>
      <c r="C30" s="11" t="str">
        <f>HYPERLINK("https://www.digitalauthority.me/resources/guide-to-data-driven-marketing/","Data Driven Marketing Guide")</f>
        <v>Data Driven Marketing Guide</v>
      </c>
      <c r="D30" s="3" t="s">
        <v>133</v>
      </c>
      <c r="E30" s="3">
        <v>1800</v>
      </c>
      <c r="F30" s="3"/>
      <c r="G30" s="3">
        <v>15</v>
      </c>
      <c r="H30" s="3">
        <v>25</v>
      </c>
      <c r="I30" s="17" t="b">
        <f t="shared" si="0"/>
        <v>0</v>
      </c>
      <c r="J30" s="17">
        <f t="shared" si="1"/>
        <v>0</v>
      </c>
      <c r="K30" s="17">
        <f t="shared" si="2"/>
        <v>0</v>
      </c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 t="e">
        <f>VLOOKUP($D30,'Week 22'!$A$2:$AH$120,2,FALSE)</f>
        <v>#N/A</v>
      </c>
      <c r="AH30" s="18" t="e">
        <f>VLOOKUP($D30,'Week 23'!$A$2:$AH$120,2,FALSE)</f>
        <v>#N/A</v>
      </c>
      <c r="AI30" s="18">
        <f>VLOOKUP($D30,'Week 24'!$A$2:$AH$120,2,FALSE)</f>
        <v>0</v>
      </c>
      <c r="AJ30" s="18">
        <f>VLOOKUP($D30,'Week 25'!$A$2:$AH$120,2,FALSE)</f>
        <v>0</v>
      </c>
      <c r="AK30" s="18">
        <f>VLOOKUP($D30,'Week 26'!$A$2:$AH$120,2,FALSE)</f>
        <v>0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5.75" customHeight="1">
      <c r="A31" s="3" t="s">
        <v>939</v>
      </c>
      <c r="B31" s="3"/>
      <c r="C31" s="30" t="str">
        <f>HYPERLINK("https://www.digitalauthority.me/resources/outsource-mobile-app-development/","Outsource mobile app development")</f>
        <v>Outsource mobile app development</v>
      </c>
      <c r="D31" s="3" t="s">
        <v>134</v>
      </c>
      <c r="E31" s="3">
        <v>100</v>
      </c>
      <c r="F31" s="3" t="s">
        <v>726</v>
      </c>
      <c r="G31" s="3">
        <v>7</v>
      </c>
      <c r="H31" s="3">
        <v>14</v>
      </c>
      <c r="I31" s="17" t="b">
        <f t="shared" si="0"/>
        <v>0</v>
      </c>
      <c r="J31" s="17" t="b">
        <f t="shared" si="1"/>
        <v>0</v>
      </c>
      <c r="K31" s="17">
        <f t="shared" si="2"/>
        <v>0</v>
      </c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 t="e">
        <f>VLOOKUP($D31,'Week 22'!$A$2:$AH$120,2,FALSE)</f>
        <v>#N/A</v>
      </c>
      <c r="AH31" s="18" t="e">
        <f>VLOOKUP($D31,'Week 23'!$A$2:$AH$120,2,FALSE)</f>
        <v>#N/A</v>
      </c>
      <c r="AI31" s="18">
        <f>VLOOKUP($D31,'Week 24'!$A$2:$AH$120,2,FALSE)</f>
        <v>0</v>
      </c>
      <c r="AJ31" s="18">
        <f>VLOOKUP($D31,'Week 25'!$A$2:$AH$120,2,FALSE)</f>
        <v>0</v>
      </c>
      <c r="AK31" s="18">
        <f>VLOOKUP($D31,'Week 26'!$A$2:$AH$120,2,FALSE)</f>
        <v>0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5.75" customHeight="1">
      <c r="A32" s="3"/>
      <c r="B32" s="3"/>
      <c r="C32" s="3"/>
      <c r="D32" s="3"/>
      <c r="E32" s="3"/>
      <c r="F32" s="3"/>
      <c r="G32" s="3"/>
      <c r="H32" s="3"/>
      <c r="I32" s="17"/>
      <c r="J32" s="17"/>
      <c r="K32" s="17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 t="e">
        <f>VLOOKUP($D32,'Week 23'!$A$2:$AH$120,2,FALSE)</f>
        <v>#N/A</v>
      </c>
      <c r="AI32" s="18" t="e">
        <f>VLOOKUP($D32,'Week 24'!$A$2:$AH$120,2,FALSE)</f>
        <v>#N/A</v>
      </c>
      <c r="AJ32" s="18" t="e">
        <f>VLOOKUP($D32,'Week 25'!$A$2:$AH$120,2,FALSE)</f>
        <v>#N/A</v>
      </c>
      <c r="AK32" s="18" t="e">
        <f>VLOOKUP($D32,'Week 26'!$A$2:$AH$120,2,FALSE)</f>
        <v>#N/A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5.75" customHeight="1">
      <c r="A33" s="3"/>
      <c r="B33" s="3"/>
      <c r="C33" s="3"/>
      <c r="D33" s="3"/>
      <c r="E33" s="3"/>
      <c r="F33" s="3"/>
      <c r="G33" s="3"/>
      <c r="H33" s="3"/>
      <c r="I33" s="17"/>
      <c r="J33" s="17"/>
      <c r="K33" s="17">
        <f t="shared" ref="K33:K132" si="3">SUMIF(L33:AG33,"&lt;&gt;#N/A")</f>
        <v>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 t="e">
        <f>VLOOKUP($D33,'Week 22'!$A$2:$AH$120,2,FALSE)</f>
        <v>#N/A</v>
      </c>
      <c r="AH33" s="18" t="e">
        <f>VLOOKUP($D33,'Week 23'!$A$2:$AH$120,2,FALSE)</f>
        <v>#N/A</v>
      </c>
      <c r="AI33" s="18" t="e">
        <f>VLOOKUP($D33,'Week 24'!$A$2:$AH$120,2,FALSE)</f>
        <v>#N/A</v>
      </c>
      <c r="AJ33" s="18" t="e">
        <f>VLOOKUP($D33,'Week 25'!$A$2:$AH$120,2,FALSE)</f>
        <v>#N/A</v>
      </c>
      <c r="AK33" s="18" t="e">
        <f>VLOOKUP($D33,'Week 26'!$A$2:$AH$120,2,FALSE)</f>
        <v>#N/A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5.75" customHeight="1">
      <c r="A34" s="3"/>
      <c r="B34" s="3"/>
      <c r="C34" s="3"/>
      <c r="D34" s="3"/>
      <c r="E34" s="3"/>
      <c r="F34" s="3"/>
      <c r="G34" s="3"/>
      <c r="H34" s="3"/>
      <c r="I34" s="17"/>
      <c r="J34" s="17"/>
      <c r="K34" s="17">
        <f t="shared" si="3"/>
        <v>0</v>
      </c>
      <c r="L34" s="18" t="e">
        <f>VLOOKUP($D34,'Week 1'!$A$2:$AD$120,2,FALSE)</f>
        <v>#N/A</v>
      </c>
      <c r="M34" s="18" t="e">
        <f>VLOOKUP($D34,'Week 2'!$A$2:$AD$120,2,FALSE)</f>
        <v>#N/A</v>
      </c>
      <c r="N34" s="18" t="e">
        <f>VLOOKUP($D34,'Week 3'!$A$2:$AH$119,2,FALSE)</f>
        <v>#N/A</v>
      </c>
      <c r="O34" s="18" t="e">
        <f>VLOOKUP($D34,'Week 4'!$A$2:$AH$122,2,FALSE)</f>
        <v>#N/A</v>
      </c>
      <c r="P34" s="18" t="e">
        <f>VLOOKUP($D34,'Week 5'!$A$2:$AG$120,2,FALSE)</f>
        <v>#N/A</v>
      </c>
      <c r="Q34" s="18" t="e">
        <f>VLOOKUP($D34,'week 6'!$A$2:$AH$120,2,FALSE)</f>
        <v>#N/A</v>
      </c>
      <c r="R34" s="18" t="e">
        <f>VLOOKUP($D34,'Week 7'!$A$2:$AH$120,2,FALSE)</f>
        <v>#N/A</v>
      </c>
      <c r="S34" s="18" t="e">
        <f>VLOOKUP($D34,'Week 8'!$A$2:$AH$120,2,FALSE)</f>
        <v>#N/A</v>
      </c>
      <c r="T34" s="18" t="e">
        <f>VLOOKUP($D34,'Week 9'!$A$2:$AH$120,2,FALSE)</f>
        <v>#N/A</v>
      </c>
      <c r="U34" s="18" t="e">
        <f>VLOOKUP($D34,'Week 10'!$A$2:$AH$114,2,FALSE)</f>
        <v>#N/A</v>
      </c>
      <c r="V34" s="18" t="e">
        <f>VLOOKUP($D34,'Week 11'!$A$2:$AH$120,2,FALSE)</f>
        <v>#N/A</v>
      </c>
      <c r="W34" s="18" t="e">
        <f>VLOOKUP($D34,'Week 12'!$A$2:$AH$120,2,FALSE)</f>
        <v>#N/A</v>
      </c>
      <c r="X34" s="18" t="e">
        <f>VLOOKUP($D34,'Week 13'!$A$2:$AH$120,2,FALSE)</f>
        <v>#N/A</v>
      </c>
      <c r="Y34" s="18" t="e">
        <f>VLOOKUP($D34,'Week 14'!$A$2:$AH$120,2,FALSE)</f>
        <v>#N/A</v>
      </c>
      <c r="Z34" s="18" t="e">
        <f>VLOOKUP($D34,'Week 15'!$A$2:$AH$120,2,FALSE)</f>
        <v>#N/A</v>
      </c>
      <c r="AA34" s="18" t="e">
        <f>VLOOKUP($D34,'Week 16'!$A$2:$AH$120,2,FALSE)</f>
        <v>#N/A</v>
      </c>
      <c r="AB34" s="18" t="e">
        <f>VLOOKUP($D34,'Week 17'!$A$2:$AH$120,2,FALSE)</f>
        <v>#N/A</v>
      </c>
      <c r="AC34" s="18" t="e">
        <f>VLOOKUP($D34,'Week 18'!$A$2:$AH$120,2,FALSE)</f>
        <v>#N/A</v>
      </c>
      <c r="AD34" s="18" t="e">
        <f>VLOOKUP($D34,'Week 19'!$A$2:$AH$120,2,FALSE)</f>
        <v>#N/A</v>
      </c>
      <c r="AE34" s="18" t="e">
        <f>VLOOKUP($D34,'Week 20'!$A$2:$AH$120,2,FALSE)</f>
        <v>#N/A</v>
      </c>
      <c r="AF34" s="18" t="e">
        <f>VLOOKUP($D34,'Week 21'!$A$2:$AH$120,2,FALSE)</f>
        <v>#N/A</v>
      </c>
      <c r="AG34" s="18" t="e">
        <f>VLOOKUP($D34,'Week 22'!$A$2:$AH$120,2,FALSE)</f>
        <v>#N/A</v>
      </c>
      <c r="AH34" s="18" t="e">
        <f>VLOOKUP($D34,'Week 23'!$A$2:$AH$120,2,FALSE)</f>
        <v>#N/A</v>
      </c>
      <c r="AI34" s="18" t="e">
        <f>VLOOKUP($D34,'Week 24'!$A$2:$AH$120,2,FALSE)</f>
        <v>#N/A</v>
      </c>
      <c r="AJ34" s="18" t="e">
        <f>VLOOKUP($D34,'Week 25'!$A$2:$AH$120,2,FALSE)</f>
        <v>#N/A</v>
      </c>
      <c r="AK34" s="18" t="e">
        <f>VLOOKUP($D34,'Week 26'!$A$2:$AH$120,2,FALSE)</f>
        <v>#N/A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5.75" customHeight="1">
      <c r="A35" s="187" t="s">
        <v>978</v>
      </c>
      <c r="B35" s="185"/>
      <c r="C35" s="185"/>
      <c r="D35" s="185"/>
      <c r="E35" s="107"/>
      <c r="F35" s="107"/>
      <c r="G35" s="107"/>
      <c r="H35" s="107"/>
      <c r="I35" s="107"/>
      <c r="J35" s="107"/>
      <c r="K35" s="17">
        <f t="shared" si="3"/>
        <v>0</v>
      </c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8" t="e">
        <f>VLOOKUP($D35,'Week 13'!$A$2:$AH$120,2,FALSE)</f>
        <v>#N/A</v>
      </c>
      <c r="Y35" s="108" t="e">
        <f>VLOOKUP($D35,'Week 14'!$A$2:$AH$120,2,FALSE)</f>
        <v>#N/A</v>
      </c>
      <c r="Z35" s="107"/>
      <c r="AA35" s="107"/>
      <c r="AB35" s="107"/>
      <c r="AC35" s="107"/>
      <c r="AD35" s="18" t="e">
        <f>VLOOKUP($D35,'Week 19'!$A$2:$AH$120,2,FALSE)</f>
        <v>#N/A</v>
      </c>
      <c r="AE35" s="18" t="e">
        <f>VLOOKUP($D35,'Week 20'!$A$2:$AH$120,2,FALSE)</f>
        <v>#N/A</v>
      </c>
      <c r="AF35" s="18" t="e">
        <f>VLOOKUP($D35,'Week 21'!$A$2:$AH$120,2,FALSE)</f>
        <v>#N/A</v>
      </c>
      <c r="AG35" s="18" t="e">
        <f>VLOOKUP($D35,'Week 22'!$A$2:$AH$120,2,FALSE)</f>
        <v>#N/A</v>
      </c>
      <c r="AH35" s="18" t="e">
        <f>VLOOKUP($D35,'Week 23'!$A$2:$AH$120,2,FALSE)</f>
        <v>#N/A</v>
      </c>
      <c r="AI35" s="18" t="e">
        <f>VLOOKUP($D35,'Week 24'!$A$2:$AH$120,2,FALSE)</f>
        <v>#N/A</v>
      </c>
      <c r="AJ35" s="18" t="e">
        <f>VLOOKUP($D35,'Week 25'!$A$2:$AH$120,2,FALSE)</f>
        <v>#N/A</v>
      </c>
      <c r="AK35" s="18" t="e">
        <f>VLOOKUP($D35,'Week 26'!$A$2:$AH$120,2,FALSE)</f>
        <v>#N/A</v>
      </c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</row>
    <row r="36" spans="1:52" ht="15.75" customHeight="1">
      <c r="A36" s="186" t="s">
        <v>726</v>
      </c>
      <c r="B36" s="186" t="s">
        <v>57</v>
      </c>
      <c r="C36" s="186" t="s">
        <v>983</v>
      </c>
      <c r="D36" s="3" t="s">
        <v>85</v>
      </c>
      <c r="E36" s="58">
        <v>8900</v>
      </c>
      <c r="F36" s="16" t="s">
        <v>371</v>
      </c>
      <c r="G36" s="16">
        <v>24</v>
      </c>
      <c r="H36" s="3">
        <v>50</v>
      </c>
      <c r="I36" s="17" t="b">
        <f t="shared" ref="I36:I72" si="4">IF(F36=1,(K36/H36))</f>
        <v>0</v>
      </c>
      <c r="J36" s="17" t="b">
        <f t="shared" ref="J36:J72" si="5">IF(F36&lt;=10,(K36/G36))</f>
        <v>0</v>
      </c>
      <c r="K36" s="17">
        <f t="shared" si="3"/>
        <v>1</v>
      </c>
      <c r="L36" s="18" t="e">
        <f>VLOOKUP($D36,'Week 1'!$A$2:$AD$120,2,FALSE)</f>
        <v>#N/A</v>
      </c>
      <c r="M36" s="18" t="e">
        <f>VLOOKUP($D36,'Week 2'!$A$2:$AD$123,2,FALSE)</f>
        <v>#N/A</v>
      </c>
      <c r="N36" s="18" t="e">
        <f>VLOOKUP($D36,'Week 3'!$A$2:$AH$119,2,FALSE)</f>
        <v>#N/A</v>
      </c>
      <c r="O36" s="18">
        <f>VLOOKUP($D36,'Week 4'!$A$2:$AH$122,2,FALSE)</f>
        <v>1</v>
      </c>
      <c r="P36" s="18">
        <f>VLOOKUP($D36,'Week 5'!$A$2:$AG$120,2,FALSE)</f>
        <v>0</v>
      </c>
      <c r="Q36" s="18">
        <f>VLOOKUP($D36,'week 6'!$A$2:$AH$120,2,FALSE)</f>
        <v>0</v>
      </c>
      <c r="R36" s="18">
        <f>VLOOKUP($D36,'Week 7'!$A$2:$AH$120,2,FALSE)</f>
        <v>0</v>
      </c>
      <c r="S36" s="18">
        <f>VLOOKUP($D36,'Week 8'!$A$2:$AH$120,2,FALSE)</f>
        <v>0</v>
      </c>
      <c r="T36" s="18">
        <f>VLOOKUP($D36,'Week 9'!$A$2:$AH$120,2,FALSE)</f>
        <v>0</v>
      </c>
      <c r="U36" s="18">
        <f>VLOOKUP($D36,'Week 9'!$A$2:$AH$120,2,FALSE)</f>
        <v>0</v>
      </c>
      <c r="V36" s="18">
        <f>VLOOKUP($D36,'Week 9'!$A$2:$AH$120,2,FALSE)</f>
        <v>0</v>
      </c>
      <c r="W36" s="18">
        <f>VLOOKUP($D36,'Week 9'!$A$2:$AH$120,2,FALSE)</f>
        <v>0</v>
      </c>
      <c r="X36" s="18">
        <f>VLOOKUP($D36,'Week 13'!$A$2:$AH$120,2,FALSE)</f>
        <v>0</v>
      </c>
      <c r="Y36" s="18">
        <f>VLOOKUP($D36,'Week 14'!$A$2:$AH$120,2,FALSE)</f>
        <v>0</v>
      </c>
      <c r="Z36" s="18">
        <f>VLOOKUP($D36,'Week 15'!$A$2:$AH$120,2,FALSE)</f>
        <v>0</v>
      </c>
      <c r="AA36" s="18">
        <f>VLOOKUP($D36,'Week 16'!$A$2:$AH$120,2,FALSE)</f>
        <v>0</v>
      </c>
      <c r="AB36" s="18">
        <f>VLOOKUP($D36,'Week 17'!$A$2:$AH$120,2,FALSE)</f>
        <v>0</v>
      </c>
      <c r="AC36" s="18">
        <f>VLOOKUP($D36,'Week 18'!$A$2:$AH$120,2,FALSE)</f>
        <v>0</v>
      </c>
      <c r="AD36" s="18">
        <f>VLOOKUP($D36,'Week 19'!$A$2:$AH$120,2,FALSE)</f>
        <v>0</v>
      </c>
      <c r="AE36" s="18">
        <f>VLOOKUP($D36,'Week 20'!$A$2:$AH$120,2,FALSE)</f>
        <v>0</v>
      </c>
      <c r="AF36" s="18">
        <f>VLOOKUP($D36,'Week 21'!$A$2:$AH$120,2,FALSE)</f>
        <v>0</v>
      </c>
      <c r="AG36" s="18">
        <f>VLOOKUP($D36,'Week 22'!$A$2:$AH$120,2,FALSE)</f>
        <v>0</v>
      </c>
      <c r="AH36" s="18">
        <f>VLOOKUP($D36,'Week 23'!$A$2:$AH$120,2,FALSE)</f>
        <v>0</v>
      </c>
      <c r="AI36" s="18">
        <f>VLOOKUP($D36,'Week 24'!$A$2:$AH$120,2,FALSE)</f>
        <v>0</v>
      </c>
      <c r="AJ36" s="18">
        <f>VLOOKUP($D36,'Week 25'!$A$2:$AH$120,2,FALSE)</f>
        <v>0</v>
      </c>
      <c r="AK36" s="18">
        <f>VLOOKUP($D36,'Week 26'!$A$2:$AH$120,2,FALSE)</f>
        <v>0</v>
      </c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</row>
    <row r="37" spans="1:52" ht="15.75" customHeight="1">
      <c r="A37" s="185"/>
      <c r="B37" s="185"/>
      <c r="C37" s="185"/>
      <c r="D37" s="3" t="s">
        <v>84</v>
      </c>
      <c r="E37" s="58">
        <v>3200</v>
      </c>
      <c r="F37" s="16" t="s">
        <v>371</v>
      </c>
      <c r="G37" s="16">
        <v>20</v>
      </c>
      <c r="H37" s="3">
        <v>40</v>
      </c>
      <c r="I37" s="17" t="b">
        <f t="shared" si="4"/>
        <v>0</v>
      </c>
      <c r="J37" s="17" t="b">
        <f t="shared" si="5"/>
        <v>0</v>
      </c>
      <c r="K37" s="17">
        <f t="shared" si="3"/>
        <v>3</v>
      </c>
      <c r="L37" s="18" t="e">
        <f>VLOOKUP($D37,'Week 1'!$A$2:$AD$120,2,FALSE)</f>
        <v>#N/A</v>
      </c>
      <c r="M37" s="18" t="e">
        <f>VLOOKUP($D37,'Week 2'!$A$2:$AD$120,2,FALSE)</f>
        <v>#N/A</v>
      </c>
      <c r="N37" s="18" t="e">
        <f>VLOOKUP($D37,'Week 3'!$A$2:$AH$119,2,FALSE)</f>
        <v>#N/A</v>
      </c>
      <c r="O37" s="18" t="e">
        <f>VLOOKUP($D37,'Week 4'!$A$2:$AH$122,2,FALSE)</f>
        <v>#N/A</v>
      </c>
      <c r="P37" s="18">
        <f>VLOOKUP($D37,'Week 5'!$A$2:$AG$120,2,FALSE)</f>
        <v>1</v>
      </c>
      <c r="Q37" s="18">
        <f>VLOOKUP($D37,'week 6'!$A$2:$AH$120,2,FALSE)</f>
        <v>0</v>
      </c>
      <c r="R37" s="18">
        <f>VLOOKUP($D37,'Week 7'!$A$2:$AH$120,2,FALSE)</f>
        <v>1</v>
      </c>
      <c r="S37" s="18">
        <f>VLOOKUP($D37,'Week 8'!$A$2:$AH$120,2,FALSE)</f>
        <v>0</v>
      </c>
      <c r="T37" s="18">
        <f>VLOOKUP($D37,'Week 9'!$A$2:$AH$120,2,FALSE)</f>
        <v>0</v>
      </c>
      <c r="U37" s="18">
        <f>VLOOKUP($D37,'Week 9'!$A$2:$AH$120,2,FALSE)</f>
        <v>0</v>
      </c>
      <c r="V37" s="18">
        <f>VLOOKUP($D37,'Week 9'!$A$2:$AH$120,2,FALSE)</f>
        <v>0</v>
      </c>
      <c r="W37" s="18">
        <f>VLOOKUP($D37,'Week 9'!$A$2:$AH$120,2,FALSE)</f>
        <v>0</v>
      </c>
      <c r="X37" s="18">
        <f>VLOOKUP($D37,'Week 13'!$A$2:$AH$120,2,FALSE)</f>
        <v>1</v>
      </c>
      <c r="Y37" s="18">
        <f>VLOOKUP($D37,'Week 14'!$A$2:$AH$120,2,FALSE)</f>
        <v>0</v>
      </c>
      <c r="Z37" s="18">
        <f>VLOOKUP($D37,'Week 15'!$A$2:$AH$120,2,FALSE)</f>
        <v>0</v>
      </c>
      <c r="AA37" s="18">
        <f>VLOOKUP($D37,'Week 16'!$A$2:$AH$120,2,FALSE)</f>
        <v>0</v>
      </c>
      <c r="AB37" s="18">
        <f>VLOOKUP($D37,'Week 17'!$A$2:$AH$120,2,FALSE)</f>
        <v>0</v>
      </c>
      <c r="AC37" s="18">
        <f>VLOOKUP($D37,'Week 18'!$A$2:$AH$120,2,FALSE)</f>
        <v>0</v>
      </c>
      <c r="AD37" s="18">
        <f>VLOOKUP($D37,'Week 19'!$A$2:$AH$120,2,FALSE)</f>
        <v>0</v>
      </c>
      <c r="AE37" s="18">
        <f>VLOOKUP($D37,'Week 20'!$A$2:$AH$120,2,FALSE)</f>
        <v>0</v>
      </c>
      <c r="AF37" s="18">
        <f>VLOOKUP($D37,'Week 21'!$A$2:$AH$120,2,FALSE)</f>
        <v>0</v>
      </c>
      <c r="AG37" s="18">
        <f>VLOOKUP($D37,'Week 22'!$A$2:$AH$120,2,FALSE)</f>
        <v>0</v>
      </c>
      <c r="AH37" s="18">
        <f>VLOOKUP($D37,'Week 23'!$A$2:$AH$120,2,FALSE)</f>
        <v>0</v>
      </c>
      <c r="AI37" s="18">
        <f>VLOOKUP($D37,'Week 24'!$A$2:$AH$120,2,FALSE)</f>
        <v>0</v>
      </c>
      <c r="AJ37" s="18">
        <f>VLOOKUP($D37,'Week 25'!$A$2:$AH$120,2,FALSE)</f>
        <v>0</v>
      </c>
      <c r="AK37" s="18">
        <f>VLOOKUP($D37,'Week 26'!$A$2:$AH$120,2,FALSE)</f>
        <v>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</row>
    <row r="38" spans="1:52" ht="15.75" customHeight="1">
      <c r="A38" s="185"/>
      <c r="B38" s="185"/>
      <c r="C38" s="185"/>
      <c r="D38" s="3" t="s">
        <v>1017</v>
      </c>
      <c r="E38" s="58">
        <v>10</v>
      </c>
      <c r="F38" s="16">
        <v>22</v>
      </c>
      <c r="G38" s="16">
        <v>7</v>
      </c>
      <c r="H38" s="3">
        <v>14</v>
      </c>
      <c r="I38" s="17" t="b">
        <f t="shared" si="4"/>
        <v>0</v>
      </c>
      <c r="J38" s="17" t="b">
        <f t="shared" si="5"/>
        <v>0</v>
      </c>
      <c r="K38" s="17">
        <f t="shared" si="3"/>
        <v>1</v>
      </c>
      <c r="L38" s="18" t="e">
        <f>VLOOKUP($D38,'Week 1'!$A$2:$AD$120,2,FALSE)</f>
        <v>#N/A</v>
      </c>
      <c r="M38" s="18" t="e">
        <f>VLOOKUP($D38,'Week 2'!$A$2:$AD$120,2,FALSE)</f>
        <v>#N/A</v>
      </c>
      <c r="N38" s="18" t="e">
        <f>VLOOKUP($D38,'Week 3'!$A$2:$AH$119,2,FALSE)</f>
        <v>#N/A</v>
      </c>
      <c r="O38" s="18" t="e">
        <f>VLOOKUP($D38,'Week 4'!$A$2:$AH$122,2,FALSE)</f>
        <v>#N/A</v>
      </c>
      <c r="P38" s="18">
        <f>VLOOKUP($D38,'Week 5'!$A$2:$AG$120,2,FALSE)</f>
        <v>0</v>
      </c>
      <c r="Q38" s="18">
        <f>VLOOKUP($D38,'week 6'!$A$2:$AH$120,2,FALSE)</f>
        <v>0</v>
      </c>
      <c r="R38" s="18">
        <f>VLOOKUP($D38,'Week 7'!$A$2:$AH$120,2,FALSE)</f>
        <v>0</v>
      </c>
      <c r="S38" s="18">
        <f>VLOOKUP($D38,'Week 8'!$A$2:$AH$120,2,FALSE)</f>
        <v>1</v>
      </c>
      <c r="T38" s="18">
        <f>VLOOKUP($D38,'Week 9'!$A$2:$AH$120,2,FALSE)</f>
        <v>0</v>
      </c>
      <c r="U38" s="18">
        <f>VLOOKUP($D38,'Week 9'!$A$2:$AH$120,2,FALSE)</f>
        <v>0</v>
      </c>
      <c r="V38" s="18">
        <f>VLOOKUP($D38,'Week 9'!$A$2:$AH$120,2,FALSE)</f>
        <v>0</v>
      </c>
      <c r="W38" s="18">
        <f>VLOOKUP($D38,'Week 9'!$A$2:$AH$120,2,FALSE)</f>
        <v>0</v>
      </c>
      <c r="X38" s="18">
        <f>VLOOKUP($D38,'Week 13'!$A$2:$AH$120,2,FALSE)</f>
        <v>0</v>
      </c>
      <c r="Y38" s="18">
        <f>VLOOKUP($D38,'Week 14'!$A$2:$AH$120,2,FALSE)</f>
        <v>0</v>
      </c>
      <c r="Z38" s="18">
        <f>VLOOKUP($D38,'Week 15'!$A$2:$AH$120,2,FALSE)</f>
        <v>0</v>
      </c>
      <c r="AA38" s="18">
        <f>VLOOKUP($D38,'Week 16'!$A$2:$AH$120,2,FALSE)</f>
        <v>0</v>
      </c>
      <c r="AB38" s="18">
        <f>VLOOKUP($D38,'Week 17'!$A$2:$AH$120,2,FALSE)</f>
        <v>0</v>
      </c>
      <c r="AC38" s="18">
        <f>VLOOKUP($D38,'Week 18'!$A$2:$AH$120,2,FALSE)</f>
        <v>0</v>
      </c>
      <c r="AD38" s="18">
        <f>VLOOKUP($D38,'Week 19'!$A$2:$AH$120,2,FALSE)</f>
        <v>0</v>
      </c>
      <c r="AE38" s="18">
        <f>VLOOKUP($D38,'Week 20'!$A$2:$AH$120,2,FALSE)</f>
        <v>0</v>
      </c>
      <c r="AF38" s="18">
        <f>VLOOKUP($D38,'Week 21'!$A$2:$AH$120,2,FALSE)</f>
        <v>0</v>
      </c>
      <c r="AG38" s="18">
        <f>VLOOKUP($D38,'Week 22'!$A$2:$AH$120,2,FALSE)</f>
        <v>0</v>
      </c>
      <c r="AH38" s="18">
        <f>VLOOKUP($D38,'Week 23'!$A$2:$AH$120,2,FALSE)</f>
        <v>0</v>
      </c>
      <c r="AI38" s="18">
        <f>VLOOKUP($D38,'Week 24'!$A$2:$AH$120,2,FALSE)</f>
        <v>0</v>
      </c>
      <c r="AJ38" s="18">
        <f>VLOOKUP($D38,'Week 25'!$A$2:$AH$120,2,FALSE)</f>
        <v>0</v>
      </c>
      <c r="AK38" s="18">
        <f>VLOOKUP($D38,'Week 26'!$A$2:$AH$120,2,FALSE)</f>
        <v>0</v>
      </c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</row>
    <row r="39" spans="1:52" ht="15.75" customHeight="1">
      <c r="A39" s="185"/>
      <c r="B39" s="185"/>
      <c r="C39" s="185"/>
      <c r="D39" s="3" t="s">
        <v>131</v>
      </c>
      <c r="E39" s="58">
        <v>47000</v>
      </c>
      <c r="F39" s="16" t="s">
        <v>371</v>
      </c>
      <c r="G39" s="16">
        <v>40</v>
      </c>
      <c r="H39" s="3">
        <v>80</v>
      </c>
      <c r="I39" s="17" t="b">
        <f t="shared" si="4"/>
        <v>0</v>
      </c>
      <c r="J39" s="17" t="b">
        <f t="shared" si="5"/>
        <v>0</v>
      </c>
      <c r="K39" s="17">
        <f t="shared" si="3"/>
        <v>1</v>
      </c>
      <c r="L39" s="18" t="e">
        <f>VLOOKUP($D39,'Week 1'!$A$2:$AD$120,2,FALSE)</f>
        <v>#N/A</v>
      </c>
      <c r="M39" s="18">
        <f>VLOOKUP($D39,'Week 2'!$A$2:$AD$120,2,FALSE)</f>
        <v>0</v>
      </c>
      <c r="N39" s="18">
        <f>VLOOKUP($D39,'Week 3'!$A$2:$AH$119,2,FALSE)</f>
        <v>1</v>
      </c>
      <c r="O39" s="18">
        <f>VLOOKUP($D39,'Week 4'!$A$2:$AH$122,2,FALSE)</f>
        <v>0</v>
      </c>
      <c r="P39" s="18">
        <f>VLOOKUP($D39,'Week 5'!$A$2:$AG$120,2,FALSE)</f>
        <v>0</v>
      </c>
      <c r="Q39" s="18">
        <f>VLOOKUP($D39,'week 6'!$A$2:$AH$120,2,FALSE)</f>
        <v>0</v>
      </c>
      <c r="R39" s="18">
        <f>VLOOKUP($D39,'Week 7'!$A$2:$AH$120,2,FALSE)</f>
        <v>0</v>
      </c>
      <c r="S39" s="18">
        <f>VLOOKUP($D39,'Week 8'!$A$2:$AH$120,2,FALSE)</f>
        <v>0</v>
      </c>
      <c r="T39" s="18">
        <f>VLOOKUP($D39,'Week 9'!$A$2:$AH$120,2,FALSE)</f>
        <v>0</v>
      </c>
      <c r="U39" s="18">
        <f>VLOOKUP($D39,'Week 9'!$A$2:$AH$120,2,FALSE)</f>
        <v>0</v>
      </c>
      <c r="V39" s="18">
        <f>VLOOKUP($D39,'Week 9'!$A$2:$AH$120,2,FALSE)</f>
        <v>0</v>
      </c>
      <c r="W39" s="18">
        <f>VLOOKUP($D39,'Week 9'!$A$2:$AH$120,2,FALSE)</f>
        <v>0</v>
      </c>
      <c r="X39" s="18">
        <f>VLOOKUP($D39,'Week 13'!$A$2:$AH$120,2,FALSE)</f>
        <v>0</v>
      </c>
      <c r="Y39" s="18">
        <f>VLOOKUP($D39,'Week 14'!$A$2:$AH$120,2,FALSE)</f>
        <v>0</v>
      </c>
      <c r="Z39" s="18">
        <f>VLOOKUP($D39,'Week 15'!$A$2:$AH$120,2,FALSE)</f>
        <v>0</v>
      </c>
      <c r="AA39" s="18">
        <f>VLOOKUP($D39,'Week 16'!$A$2:$AH$120,2,FALSE)</f>
        <v>0</v>
      </c>
      <c r="AB39" s="18">
        <f>VLOOKUP($D39,'Week 17'!$A$2:$AH$120,2,FALSE)</f>
        <v>0</v>
      </c>
      <c r="AC39" s="18">
        <f>VLOOKUP($D39,'Week 18'!$A$2:$AH$120,2,FALSE)</f>
        <v>0</v>
      </c>
      <c r="AD39" s="18">
        <f>VLOOKUP($D39,'Week 19'!$A$2:$AH$120,2,FALSE)</f>
        <v>0</v>
      </c>
      <c r="AE39" s="18">
        <f>VLOOKUP($D39,'Week 20'!$A$2:$AH$120,2,FALSE)</f>
        <v>0</v>
      </c>
      <c r="AF39" s="18">
        <f>VLOOKUP($D39,'Week 21'!$A$2:$AH$120,2,FALSE)</f>
        <v>0</v>
      </c>
      <c r="AG39" s="18">
        <f>VLOOKUP($D39,'Week 22'!$A$2:$AH$120,2,FALSE)</f>
        <v>0</v>
      </c>
      <c r="AH39" s="18">
        <f>VLOOKUP($D39,'Week 23'!$A$2:$AH$120,2,FALSE)</f>
        <v>1</v>
      </c>
      <c r="AI39" s="18">
        <f>VLOOKUP($D39,'Week 24'!$A$2:$AH$120,2,FALSE)</f>
        <v>0</v>
      </c>
      <c r="AJ39" s="18">
        <f>VLOOKUP($D39,'Week 25'!$A$2:$AH$120,2,FALSE)</f>
        <v>0</v>
      </c>
      <c r="AK39" s="18">
        <f>VLOOKUP($D39,'Week 26'!$A$2:$AH$120,2,FALSE)</f>
        <v>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</row>
    <row r="40" spans="1:52" ht="15.75" customHeight="1">
      <c r="A40" s="112" t="s">
        <v>726</v>
      </c>
      <c r="B40" s="112" t="s">
        <v>57</v>
      </c>
      <c r="C40" s="184" t="s">
        <v>1050</v>
      </c>
      <c r="D40" s="3" t="s">
        <v>79</v>
      </c>
      <c r="E40" s="3">
        <v>70</v>
      </c>
      <c r="F40" s="16">
        <v>17</v>
      </c>
      <c r="G40" s="16">
        <v>8</v>
      </c>
      <c r="H40" s="3">
        <v>16</v>
      </c>
      <c r="I40" s="17" t="b">
        <f t="shared" si="4"/>
        <v>0</v>
      </c>
      <c r="J40" s="17" t="b">
        <f t="shared" si="5"/>
        <v>0</v>
      </c>
      <c r="K40" s="17">
        <f t="shared" si="3"/>
        <v>5</v>
      </c>
      <c r="L40" s="18" t="e">
        <f>VLOOKUP($D40,'Week 1'!$A$2:$AD$120,2,FALSE)</f>
        <v>#N/A</v>
      </c>
      <c r="M40" s="18">
        <f>VLOOKUP($D40,'Week 2'!$A$2:$AD$120,2,FALSE)</f>
        <v>1</v>
      </c>
      <c r="N40" s="18">
        <f>VLOOKUP($D40,'Week 3'!$A$2:$AH$119,2,FALSE)</f>
        <v>1</v>
      </c>
      <c r="O40" s="18">
        <f>VLOOKUP($D40,'Week 4'!$A$2:$AH$122,2,FALSE)</f>
        <v>0</v>
      </c>
      <c r="P40" s="18">
        <f>VLOOKUP($D40,'Week 5'!$A$2:$AG$120,2,FALSE)</f>
        <v>1</v>
      </c>
      <c r="Q40" s="18">
        <f>VLOOKUP($D40,'week 6'!$A$2:$AH$120,2,FALSE)</f>
        <v>0</v>
      </c>
      <c r="R40" s="18">
        <f>VLOOKUP($D40,'Week 7'!$A$2:$AH$120,2,FALSE)</f>
        <v>1</v>
      </c>
      <c r="S40" s="18">
        <f>VLOOKUP($D40,'Week 8'!$A$2:$AH$120,2,FALSE)</f>
        <v>0</v>
      </c>
      <c r="T40" s="18">
        <f>VLOOKUP($D40,'Week 9'!$A$2:$AH$120,2,FALSE)</f>
        <v>0</v>
      </c>
      <c r="U40" s="18">
        <f>VLOOKUP($D40,'Week 9'!$A$2:$AH$120,2,FALSE)</f>
        <v>0</v>
      </c>
      <c r="V40" s="18">
        <f>VLOOKUP($D40,'Week 9'!$A$2:$AH$120,2,FALSE)</f>
        <v>0</v>
      </c>
      <c r="W40" s="18">
        <f>VLOOKUP($D40,'Week 9'!$A$2:$AH$120,2,FALSE)</f>
        <v>0</v>
      </c>
      <c r="X40" s="18">
        <f>VLOOKUP($D40,'Week 13'!$A$2:$AH$120,2,FALSE)</f>
        <v>0</v>
      </c>
      <c r="Y40" s="18">
        <f>VLOOKUP($D40,'Week 14'!$A$2:$AH$120,2,FALSE)</f>
        <v>0</v>
      </c>
      <c r="Z40" s="18">
        <f>VLOOKUP($D40,'Week 15'!$A$2:$AH$120,2,FALSE)</f>
        <v>0</v>
      </c>
      <c r="AA40" s="18">
        <f>VLOOKUP($D40,'Week 16'!$A$2:$AH$120,2,FALSE)</f>
        <v>0</v>
      </c>
      <c r="AB40" s="18">
        <f>VLOOKUP($D40,'Week 17'!$A$2:$AH$120,2,FALSE)</f>
        <v>0</v>
      </c>
      <c r="AC40" s="18">
        <f>VLOOKUP($D40,'Week 18'!$A$2:$AH$120,2,FALSE)</f>
        <v>0</v>
      </c>
      <c r="AD40" s="18">
        <f>VLOOKUP($D40,'Week 19'!$A$2:$AH$120,2,FALSE)</f>
        <v>1</v>
      </c>
      <c r="AE40" s="18">
        <f>VLOOKUP($D40,'Week 20'!$A$2:$AH$120,2,FALSE)</f>
        <v>0</v>
      </c>
      <c r="AF40" s="18">
        <f>VLOOKUP($D40,'Week 21'!$A$2:$AH$120,2,FALSE)</f>
        <v>0</v>
      </c>
      <c r="AG40" s="18">
        <f>VLOOKUP($D40,'Week 22'!$A$2:$AH$120,2,FALSE)</f>
        <v>0</v>
      </c>
      <c r="AH40" s="18">
        <f>VLOOKUP($D40,'Week 23'!$A$2:$AH$120,2,FALSE)</f>
        <v>0</v>
      </c>
      <c r="AI40" s="18">
        <f>VLOOKUP($D40,'Week 24'!$A$2:$AH$120,2,FALSE)</f>
        <v>0</v>
      </c>
      <c r="AJ40" s="18">
        <f>VLOOKUP($D40,'Week 25'!$A$2:$AH$120,2,FALSE)</f>
        <v>0</v>
      </c>
      <c r="AK40" s="18">
        <f>VLOOKUP($D40,'Week 26'!$A$2:$AH$120,2,FALSE)</f>
        <v>0</v>
      </c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</row>
    <row r="41" spans="1:52" ht="15.75" customHeight="1">
      <c r="A41" s="112" t="s">
        <v>726</v>
      </c>
      <c r="B41" s="112" t="s">
        <v>57</v>
      </c>
      <c r="C41" s="185"/>
      <c r="D41" s="3" t="s">
        <v>1065</v>
      </c>
      <c r="E41" s="3">
        <v>300</v>
      </c>
      <c r="F41" s="15">
        <v>41</v>
      </c>
      <c r="G41" s="16">
        <v>30</v>
      </c>
      <c r="H41" s="3">
        <v>60</v>
      </c>
      <c r="I41" s="17" t="b">
        <f t="shared" si="4"/>
        <v>0</v>
      </c>
      <c r="J41" s="17" t="b">
        <f t="shared" si="5"/>
        <v>0</v>
      </c>
      <c r="K41" s="17">
        <f t="shared" si="3"/>
        <v>0</v>
      </c>
      <c r="L41" s="18" t="e">
        <f>VLOOKUP($D41,'Week 1'!$A$2:$AD$120,2,FALSE)</f>
        <v>#N/A</v>
      </c>
      <c r="M41" s="18" t="e">
        <f>VLOOKUP($D41,'Week 2'!$A$2:$AD$120,2,FALSE)</f>
        <v>#N/A</v>
      </c>
      <c r="N41" s="18" t="e">
        <f>VLOOKUP($D41,'Week 3'!$A$2:$AH$119,2,FALSE)</f>
        <v>#N/A</v>
      </c>
      <c r="O41" s="18" t="e">
        <f>VLOOKUP($D41,'Week 4'!$A$2:$AH$122,2,FALSE)</f>
        <v>#N/A</v>
      </c>
      <c r="P41" s="18" t="e">
        <f>VLOOKUP($D41,'Week 5'!$A$2:$AG$120,2,FALSE)</f>
        <v>#N/A</v>
      </c>
      <c r="Q41" s="18" t="e">
        <f>VLOOKUP($D41,'week 6'!$A$2:$AH$120,2,FALSE)</f>
        <v>#N/A</v>
      </c>
      <c r="R41" s="18" t="e">
        <f>VLOOKUP($D41,'Week 7'!$A$2:$AH$120,2,FALSE)</f>
        <v>#N/A</v>
      </c>
      <c r="S41" s="18" t="e">
        <f>VLOOKUP($D41,'Week 8'!$A$2:$AH$120,2,FALSE)</f>
        <v>#N/A</v>
      </c>
      <c r="T41" s="18" t="e">
        <f>VLOOKUP($D41,'Week 9'!$A$2:$AH$120,2,FALSE)</f>
        <v>#N/A</v>
      </c>
      <c r="U41" s="18" t="e">
        <f>VLOOKUP($D41,'Week 9'!$A$2:$AH$120,2,FALSE)</f>
        <v>#N/A</v>
      </c>
      <c r="V41" s="18" t="e">
        <f>VLOOKUP($D41,'Week 9'!$A$2:$AH$120,2,FALSE)</f>
        <v>#N/A</v>
      </c>
      <c r="W41" s="18" t="e">
        <f>VLOOKUP($D41,'Week 9'!$A$2:$AH$120,2,FALSE)</f>
        <v>#N/A</v>
      </c>
      <c r="X41" s="18" t="e">
        <f>VLOOKUP($D41,'Week 13'!$A$2:$AH$120,2,FALSE)</f>
        <v>#N/A</v>
      </c>
      <c r="Y41" s="18" t="e">
        <f>VLOOKUP($D41,'Week 14'!$A$2:$AH$120,2,FALSE)</f>
        <v>#N/A</v>
      </c>
      <c r="Z41" s="18" t="e">
        <f>VLOOKUP($D41,'Week 15'!$A$2:$AH$120,2,FALSE)</f>
        <v>#N/A</v>
      </c>
      <c r="AA41" s="18" t="e">
        <f>VLOOKUP($D41,'Week 16'!$A$2:$AH$120,2,FALSE)</f>
        <v>#N/A</v>
      </c>
      <c r="AB41" s="18" t="e">
        <f>VLOOKUP($D41,'Week 17'!$A$2:$AH$120,2,FALSE)</f>
        <v>#N/A</v>
      </c>
      <c r="AC41" s="18" t="e">
        <f>VLOOKUP($D41,'Week 18'!$A$2:$AH$120,2,FALSE)</f>
        <v>#N/A</v>
      </c>
      <c r="AD41" s="18" t="e">
        <f>VLOOKUP($D41,'Week 19'!$A$2:$AH$120,2,FALSE)</f>
        <v>#N/A</v>
      </c>
      <c r="AE41" s="18" t="e">
        <f>VLOOKUP($D41,'Week 20'!$A$2:$AH$120,2,FALSE)</f>
        <v>#N/A</v>
      </c>
      <c r="AF41" s="18" t="e">
        <f>VLOOKUP($D41,'Week 21'!$A$2:$AH$120,2,FALSE)</f>
        <v>#N/A</v>
      </c>
      <c r="AG41" s="18" t="e">
        <f>VLOOKUP($D41,'Week 22'!$A$2:$AH$120,2,FALSE)</f>
        <v>#N/A</v>
      </c>
      <c r="AH41" s="18" t="e">
        <f>VLOOKUP($D41,'Week 23'!$A$2:$AH$120,2,FALSE)</f>
        <v>#N/A</v>
      </c>
      <c r="AI41" s="18" t="e">
        <f>VLOOKUP($D41,'Week 24'!$A$2:$AH$120,2,FALSE)</f>
        <v>#N/A</v>
      </c>
      <c r="AJ41" s="18" t="e">
        <f>VLOOKUP($D41,'Week 25'!$A$2:$AH$120,2,FALSE)</f>
        <v>#N/A</v>
      </c>
      <c r="AK41" s="18" t="e">
        <f>VLOOKUP($D41,'Week 26'!$A$2:$AH$120,2,FALSE)</f>
        <v>#N/A</v>
      </c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</row>
    <row r="42" spans="1:52" ht="15.75" customHeight="1">
      <c r="A42" s="112" t="s">
        <v>726</v>
      </c>
      <c r="B42" s="112" t="s">
        <v>57</v>
      </c>
      <c r="C42" s="185"/>
      <c r="D42" s="3" t="s">
        <v>76</v>
      </c>
      <c r="E42" s="58">
        <v>40</v>
      </c>
      <c r="F42" s="16" t="s">
        <v>371</v>
      </c>
      <c r="G42" s="16">
        <v>35</v>
      </c>
      <c r="H42" s="3">
        <v>70</v>
      </c>
      <c r="I42" s="17" t="b">
        <f t="shared" si="4"/>
        <v>0</v>
      </c>
      <c r="J42" s="17" t="b">
        <f t="shared" si="5"/>
        <v>0</v>
      </c>
      <c r="K42" s="17">
        <f t="shared" si="3"/>
        <v>1</v>
      </c>
      <c r="L42" s="18" t="e">
        <f>VLOOKUP($D42,'Week 1'!$A$2:$AD$120,2,FALSE)</f>
        <v>#N/A</v>
      </c>
      <c r="M42" s="18">
        <f>VLOOKUP($D42,'Week 2'!$A$2:$AD$120,2,FALSE)</f>
        <v>1</v>
      </c>
      <c r="N42" s="18">
        <f>VLOOKUP($D42,'Week 3'!$A$2:$AH$119,2,FALSE)</f>
        <v>0</v>
      </c>
      <c r="O42" s="18">
        <f>VLOOKUP($D42,'Week 4'!$A$2:$AH$122,2,FALSE)</f>
        <v>0</v>
      </c>
      <c r="P42" s="18">
        <f>VLOOKUP($D42,'Week 5'!$A$2:$AG$120,2,FALSE)</f>
        <v>0</v>
      </c>
      <c r="Q42" s="18">
        <f>VLOOKUP($D42,'week 6'!$A$2:$AH$120,2,FALSE)</f>
        <v>0</v>
      </c>
      <c r="R42" s="18">
        <f>VLOOKUP($D42,'Week 7'!$A$2:$AH$120,2,FALSE)</f>
        <v>0</v>
      </c>
      <c r="S42" s="18">
        <f>VLOOKUP($D42,'Week 8'!$A$2:$AH$120,2,FALSE)</f>
        <v>0</v>
      </c>
      <c r="T42" s="18">
        <f>VLOOKUP($D42,'Week 9'!$A$2:$AH$120,2,FALSE)</f>
        <v>0</v>
      </c>
      <c r="U42" s="18">
        <f>VLOOKUP($D42,'Week 9'!$A$2:$AH$120,2,FALSE)</f>
        <v>0</v>
      </c>
      <c r="V42" s="18">
        <f>VLOOKUP($D42,'Week 9'!$A$2:$AH$120,2,FALSE)</f>
        <v>0</v>
      </c>
      <c r="W42" s="18">
        <f>VLOOKUP($D42,'Week 9'!$A$2:$AH$120,2,FALSE)</f>
        <v>0</v>
      </c>
      <c r="X42" s="18">
        <f>VLOOKUP($D42,'Week 13'!$A$2:$AH$120,2,FALSE)</f>
        <v>0</v>
      </c>
      <c r="Y42" s="18">
        <f>VLOOKUP($D42,'Week 14'!$A$2:$AH$120,2,FALSE)</f>
        <v>0</v>
      </c>
      <c r="Z42" s="18">
        <f>VLOOKUP($D42,'Week 15'!$A$2:$AH$120,2,FALSE)</f>
        <v>0</v>
      </c>
      <c r="AA42" s="18">
        <f>VLOOKUP($D42,'Week 16'!$A$2:$AH$120,2,FALSE)</f>
        <v>0</v>
      </c>
      <c r="AB42" s="18">
        <f>VLOOKUP($D42,'Week 17'!$A$2:$AH$120,2,FALSE)</f>
        <v>0</v>
      </c>
      <c r="AC42" s="18">
        <f>VLOOKUP($D42,'Week 18'!$A$2:$AH$120,2,FALSE)</f>
        <v>0</v>
      </c>
      <c r="AD42" s="18">
        <f>VLOOKUP($D42,'Week 19'!$A$2:$AH$120,2,FALSE)</f>
        <v>0</v>
      </c>
      <c r="AE42" s="18">
        <f>VLOOKUP($D42,'Week 20'!$A$2:$AH$120,2,FALSE)</f>
        <v>0</v>
      </c>
      <c r="AF42" s="18">
        <f>VLOOKUP($D42,'Week 21'!$A$2:$AH$120,2,FALSE)</f>
        <v>0</v>
      </c>
      <c r="AG42" s="18">
        <f>VLOOKUP($D42,'Week 22'!$A$2:$AH$120,2,FALSE)</f>
        <v>0</v>
      </c>
      <c r="AH42" s="18">
        <f>VLOOKUP($D42,'Week 23'!$A$2:$AH$120,2,FALSE)</f>
        <v>0</v>
      </c>
      <c r="AI42" s="18">
        <f>VLOOKUP($D42,'Week 24'!$A$2:$AH$120,2,FALSE)</f>
        <v>0</v>
      </c>
      <c r="AJ42" s="18">
        <f>VLOOKUP($D42,'Week 25'!$A$2:$AH$120,2,FALSE)</f>
        <v>0</v>
      </c>
      <c r="AK42" s="18">
        <f>VLOOKUP($D42,'Week 26'!$A$2:$AH$120,2,FALSE)</f>
        <v>0</v>
      </c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</row>
    <row r="43" spans="1:52" ht="15.75" customHeight="1">
      <c r="A43" s="112"/>
      <c r="B43" s="112"/>
      <c r="C43" s="185"/>
      <c r="D43" s="3" t="s">
        <v>82</v>
      </c>
      <c r="E43" s="58">
        <v>30</v>
      </c>
      <c r="F43" s="16" t="s">
        <v>371</v>
      </c>
      <c r="G43" s="16">
        <v>6</v>
      </c>
      <c r="H43" s="3">
        <v>15</v>
      </c>
      <c r="I43" s="17" t="b">
        <f t="shared" si="4"/>
        <v>0</v>
      </c>
      <c r="J43" s="17" t="b">
        <f t="shared" si="5"/>
        <v>0</v>
      </c>
      <c r="K43" s="17">
        <f t="shared" si="3"/>
        <v>1</v>
      </c>
      <c r="L43" s="18" t="e">
        <f>VLOOKUP($D43,'Week 1'!$A$2:$AD$120,2,FALSE)</f>
        <v>#N/A</v>
      </c>
      <c r="M43" s="18" t="e">
        <f>VLOOKUP($D43,'Week 2'!$A$2:$AD$120,2,FALSE)</f>
        <v>#N/A</v>
      </c>
      <c r="N43" s="18" t="e">
        <f>VLOOKUP($D43,'Week 3'!$A$2:$AH$119,2,FALSE)</f>
        <v>#N/A</v>
      </c>
      <c r="O43" s="18" t="e">
        <f>VLOOKUP($D43,'Week 4'!$A$2:$AH$122,2,FALSE)</f>
        <v>#N/A</v>
      </c>
      <c r="P43" s="18" t="e">
        <f>VLOOKUP($D43,'Week 5'!$A$2:$AG$120,2,FALSE)</f>
        <v>#N/A</v>
      </c>
      <c r="Q43" s="18">
        <f>VLOOKUP($D43,'week 6'!$A$2:$AH$120,2,FALSE)</f>
        <v>0</v>
      </c>
      <c r="R43" s="18">
        <f>VLOOKUP($D43,'Week 7'!$A$2:$AH$120,2,FALSE)</f>
        <v>0</v>
      </c>
      <c r="S43" s="18">
        <f>VLOOKUP($D43,'Week 8'!$A$2:$AH$120,2,FALSE)</f>
        <v>0</v>
      </c>
      <c r="T43" s="18">
        <f>VLOOKUP($D43,'Week 9'!$A$2:$AH$120,2,FALSE)</f>
        <v>0</v>
      </c>
      <c r="U43" s="18">
        <f>VLOOKUP($D43,'Week 9'!$A$2:$AH$120,2,FALSE)</f>
        <v>0</v>
      </c>
      <c r="V43" s="18">
        <f>VLOOKUP($D43,'Week 9'!$A$2:$AH$120,2,FALSE)</f>
        <v>0</v>
      </c>
      <c r="W43" s="18">
        <f>VLOOKUP($D43,'Week 9'!$A$2:$AH$120,2,FALSE)</f>
        <v>0</v>
      </c>
      <c r="X43" s="18">
        <f>VLOOKUP($D43,'Week 13'!$A$2:$AH$120,2,FALSE)</f>
        <v>0</v>
      </c>
      <c r="Y43" s="18">
        <f>VLOOKUP($D43,'Week 14'!$A$2:$AH$120,2,FALSE)</f>
        <v>0</v>
      </c>
      <c r="Z43" s="18">
        <f>VLOOKUP($D43,'Week 15'!$A$2:$AH$120,2,FALSE)</f>
        <v>0</v>
      </c>
      <c r="AA43" s="18">
        <f>VLOOKUP($D43,'Week 16'!$A$2:$AH$120,2,FALSE)</f>
        <v>1</v>
      </c>
      <c r="AB43" s="18">
        <f>VLOOKUP($D43,'Week 17'!$A$2:$AH$120,2,FALSE)</f>
        <v>0</v>
      </c>
      <c r="AC43" s="18">
        <f>VLOOKUP($D43,'Week 18'!$A$2:$AH$120,2,FALSE)</f>
        <v>0</v>
      </c>
      <c r="AD43" s="18">
        <f>VLOOKUP($D43,'Week 19'!$A$2:$AH$120,2,FALSE)</f>
        <v>0</v>
      </c>
      <c r="AE43" s="18">
        <f>VLOOKUP($D43,'Week 20'!$A$2:$AH$120,2,FALSE)</f>
        <v>0</v>
      </c>
      <c r="AF43" s="18">
        <f>VLOOKUP($D43,'Week 21'!$A$2:$AH$120,2,FALSE)</f>
        <v>0</v>
      </c>
      <c r="AG43" s="18">
        <f>VLOOKUP($D43,'Week 22'!$A$2:$AH$120,2,FALSE)</f>
        <v>0</v>
      </c>
      <c r="AH43" s="18">
        <f>VLOOKUP($D43,'Week 23'!$A$2:$AH$120,2,FALSE)</f>
        <v>0</v>
      </c>
      <c r="AI43" s="18">
        <f>VLOOKUP($D43,'Week 24'!$A$2:$AH$120,2,FALSE)</f>
        <v>0</v>
      </c>
      <c r="AJ43" s="18">
        <f>VLOOKUP($D43,'Week 25'!$A$2:$AH$120,2,FALSE)</f>
        <v>0</v>
      </c>
      <c r="AK43" s="18">
        <f>VLOOKUP($D43,'Week 26'!$A$2:$AH$120,2,FALSE)</f>
        <v>0</v>
      </c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</row>
    <row r="44" spans="1:52" ht="15.75" customHeight="1">
      <c r="A44" s="112"/>
      <c r="B44" s="112"/>
      <c r="C44" s="185"/>
      <c r="D44" s="3" t="s">
        <v>81</v>
      </c>
      <c r="E44" s="58">
        <v>60</v>
      </c>
      <c r="F44" s="16" t="s">
        <v>371</v>
      </c>
      <c r="G44" s="16">
        <v>7</v>
      </c>
      <c r="H44" s="3">
        <v>15</v>
      </c>
      <c r="I44" s="17" t="b">
        <f t="shared" si="4"/>
        <v>0</v>
      </c>
      <c r="J44" s="17" t="b">
        <f t="shared" si="5"/>
        <v>0</v>
      </c>
      <c r="K44" s="17">
        <f t="shared" si="3"/>
        <v>0</v>
      </c>
      <c r="L44" s="18" t="e">
        <f>VLOOKUP($D44,'Week 1'!$A$2:$AD$120,2,FALSE)</f>
        <v>#N/A</v>
      </c>
      <c r="M44" s="18" t="e">
        <f>VLOOKUP($D44,'Week 2'!$A$2:$AD$120,2,FALSE)</f>
        <v>#N/A</v>
      </c>
      <c r="N44" s="18" t="e">
        <f>VLOOKUP($D44,'Week 3'!$A$2:$AH$119,2,FALSE)</f>
        <v>#N/A</v>
      </c>
      <c r="O44" s="18" t="e">
        <f>VLOOKUP($D44,'Week 4'!$A$2:$AH$122,2,FALSE)</f>
        <v>#N/A</v>
      </c>
      <c r="P44" s="18" t="e">
        <f>VLOOKUP($D44,'Week 5'!$A$2:$AG$120,2,FALSE)</f>
        <v>#N/A</v>
      </c>
      <c r="Q44" s="18">
        <f>VLOOKUP($D44,'week 6'!$A$2:$AH$120,2,FALSE)</f>
        <v>0</v>
      </c>
      <c r="R44" s="18">
        <f>VLOOKUP($D44,'Week 7'!$A$2:$AH$120,2,FALSE)</f>
        <v>0</v>
      </c>
      <c r="S44" s="18">
        <f>VLOOKUP($D44,'Week 8'!$A$2:$AH$120,2,FALSE)</f>
        <v>0</v>
      </c>
      <c r="T44" s="18">
        <f>VLOOKUP($D44,'Week 9'!$A$2:$AH$120,2,FALSE)</f>
        <v>0</v>
      </c>
      <c r="U44" s="18">
        <f>VLOOKUP($D44,'Week 9'!$A$2:$AH$120,2,FALSE)</f>
        <v>0</v>
      </c>
      <c r="V44" s="18">
        <f>VLOOKUP($D44,'Week 9'!$A$2:$AH$120,2,FALSE)</f>
        <v>0</v>
      </c>
      <c r="W44" s="18">
        <f>VLOOKUP($D44,'Week 9'!$A$2:$AH$120,2,FALSE)</f>
        <v>0</v>
      </c>
      <c r="X44" s="18">
        <f>VLOOKUP($D44,'Week 13'!$A$2:$AH$120,2,FALSE)</f>
        <v>0</v>
      </c>
      <c r="Y44" s="18">
        <f>VLOOKUP($D44,'Week 14'!$A$2:$AH$120,2,FALSE)</f>
        <v>0</v>
      </c>
      <c r="Z44" s="18">
        <f>VLOOKUP($D44,'Week 15'!$A$2:$AH$120,2,FALSE)</f>
        <v>0</v>
      </c>
      <c r="AA44" s="18">
        <f>VLOOKUP($D44,'Week 16'!$A$2:$AH$120,2,FALSE)</f>
        <v>0</v>
      </c>
      <c r="AB44" s="18">
        <f>VLOOKUP($D44,'Week 17'!$A$2:$AH$120,2,FALSE)</f>
        <v>0</v>
      </c>
      <c r="AC44" s="18">
        <f>VLOOKUP($D44,'Week 18'!$A$2:$AH$120,2,FALSE)</f>
        <v>0</v>
      </c>
      <c r="AD44" s="18">
        <f>VLOOKUP($D44,'Week 19'!$A$2:$AH$120,2,FALSE)</f>
        <v>0</v>
      </c>
      <c r="AE44" s="18">
        <f>VLOOKUP($D44,'Week 20'!$A$2:$AH$120,2,FALSE)</f>
        <v>0</v>
      </c>
      <c r="AF44" s="18">
        <f>VLOOKUP($D44,'Week 21'!$A$2:$AH$120,2,FALSE)</f>
        <v>0</v>
      </c>
      <c r="AG44" s="18">
        <f>VLOOKUP($D44,'Week 22'!$A$2:$AH$120,2,FALSE)</f>
        <v>0</v>
      </c>
      <c r="AH44" s="18">
        <f>VLOOKUP($D44,'Week 23'!$A$2:$AH$120,2,FALSE)</f>
        <v>0</v>
      </c>
      <c r="AI44" s="18">
        <f>VLOOKUP($D44,'Week 24'!$A$2:$AH$120,2,FALSE)</f>
        <v>0</v>
      </c>
      <c r="AJ44" s="18">
        <f>VLOOKUP($D44,'Week 25'!$A$2:$AH$120,2,FALSE)</f>
        <v>0</v>
      </c>
      <c r="AK44" s="18">
        <f>VLOOKUP($D44,'Week 26'!$A$2:$AH$120,2,FALSE)</f>
        <v>0</v>
      </c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/>
      <c r="AY44" s="113"/>
      <c r="AZ44" s="113"/>
    </row>
    <row r="45" spans="1:52" ht="15.75" customHeight="1">
      <c r="A45" s="112" t="s">
        <v>726</v>
      </c>
      <c r="B45" s="112" t="s">
        <v>57</v>
      </c>
      <c r="C45" s="185"/>
      <c r="D45" s="3" t="s">
        <v>1122</v>
      </c>
      <c r="E45" s="58">
        <v>600</v>
      </c>
      <c r="F45" s="16" t="s">
        <v>371</v>
      </c>
      <c r="G45" s="16">
        <v>10</v>
      </c>
      <c r="H45" s="3">
        <v>20</v>
      </c>
      <c r="I45" s="17" t="b">
        <f t="shared" si="4"/>
        <v>0</v>
      </c>
      <c r="J45" s="17" t="b">
        <f t="shared" si="5"/>
        <v>0</v>
      </c>
      <c r="K45" s="17">
        <f t="shared" si="3"/>
        <v>0</v>
      </c>
      <c r="L45" s="18" t="e">
        <f>VLOOKUP($D45,'Week 1'!$A$2:$AD$120,2,FALSE)</f>
        <v>#N/A</v>
      </c>
      <c r="M45" s="18" t="e">
        <f>VLOOKUP($D45,'Week 2'!$A$2:$AD$120,2,FALSE)</f>
        <v>#N/A</v>
      </c>
      <c r="N45" s="18" t="e">
        <f>VLOOKUP($D45,'Week 3'!$A$2:$AH$119,2,FALSE)</f>
        <v>#N/A</v>
      </c>
      <c r="O45" s="18" t="e">
        <f>VLOOKUP($D45,'Week 4'!$A$2:$AH$122,2,FALSE)</f>
        <v>#N/A</v>
      </c>
      <c r="P45" s="18" t="e">
        <f>VLOOKUP($D45,'Week 5'!$A$2:$AG$120,2,FALSE)</f>
        <v>#N/A</v>
      </c>
      <c r="Q45" s="18" t="e">
        <f>VLOOKUP($D45,'week 6'!$A$2:$AH$120,2,FALSE)</f>
        <v>#N/A</v>
      </c>
      <c r="R45" s="18" t="e">
        <f>VLOOKUP($D45,'Week 7'!$A$2:$AH$120,2,FALSE)</f>
        <v>#N/A</v>
      </c>
      <c r="S45" s="18" t="e">
        <f>VLOOKUP($D45,'Week 8'!$A$2:$AH$120,2,FALSE)</f>
        <v>#N/A</v>
      </c>
      <c r="T45" s="18" t="e">
        <f>VLOOKUP($D45,'Week 9'!$A$2:$AH$120,2,FALSE)</f>
        <v>#N/A</v>
      </c>
      <c r="U45" s="18" t="e">
        <f>VLOOKUP($D45,'Week 9'!$A$2:$AH$120,2,FALSE)</f>
        <v>#N/A</v>
      </c>
      <c r="V45" s="18" t="e">
        <f>VLOOKUP($D45,'Week 9'!$A$2:$AH$120,2,FALSE)</f>
        <v>#N/A</v>
      </c>
      <c r="W45" s="18" t="e">
        <f>VLOOKUP($D45,'Week 9'!$A$2:$AH$120,2,FALSE)</f>
        <v>#N/A</v>
      </c>
      <c r="X45" s="18" t="e">
        <f>VLOOKUP($D45,'Week 13'!$A$2:$AH$120,2,FALSE)</f>
        <v>#N/A</v>
      </c>
      <c r="Y45" s="18" t="e">
        <f>VLOOKUP($D45,'Week 14'!$A$2:$AH$120,2,FALSE)</f>
        <v>#N/A</v>
      </c>
      <c r="Z45" s="18" t="e">
        <f>VLOOKUP($D45,'Week 15'!$A$2:$AH$120,2,FALSE)</f>
        <v>#N/A</v>
      </c>
      <c r="AA45" s="18" t="e">
        <f>VLOOKUP($D45,'Week 16'!$A$2:$AH$120,2,FALSE)</f>
        <v>#N/A</v>
      </c>
      <c r="AB45" s="18" t="e">
        <f>VLOOKUP($D45,'Week 17'!$A$2:$AH$120,2,FALSE)</f>
        <v>#N/A</v>
      </c>
      <c r="AC45" s="18" t="e">
        <f>VLOOKUP($D45,'Week 18'!$A$2:$AH$120,2,FALSE)</f>
        <v>#N/A</v>
      </c>
      <c r="AD45" s="18" t="e">
        <f>VLOOKUP($D45,'Week 19'!$A$2:$AH$120,2,FALSE)</f>
        <v>#N/A</v>
      </c>
      <c r="AE45" s="18" t="e">
        <f>VLOOKUP($D45,'Week 20'!$A$2:$AH$120,2,FALSE)</f>
        <v>#N/A</v>
      </c>
      <c r="AF45" s="18" t="e">
        <f>VLOOKUP($D45,'Week 21'!$A$2:$AH$120,2,FALSE)</f>
        <v>#N/A</v>
      </c>
      <c r="AG45" s="18" t="e">
        <f>VLOOKUP($D45,'Week 22'!$A$2:$AH$120,2,FALSE)</f>
        <v>#N/A</v>
      </c>
      <c r="AH45" s="18" t="e">
        <f>VLOOKUP($D45,'Week 23'!$A$2:$AH$120,2,FALSE)</f>
        <v>#N/A</v>
      </c>
      <c r="AI45" s="18" t="e">
        <f>VLOOKUP($D45,'Week 24'!$A$2:$AH$120,2,FALSE)</f>
        <v>#N/A</v>
      </c>
      <c r="AJ45" s="18" t="e">
        <f>VLOOKUP($D45,'Week 25'!$A$2:$AH$120,2,FALSE)</f>
        <v>#N/A</v>
      </c>
      <c r="AK45" s="18" t="e">
        <f>VLOOKUP($D45,'Week 26'!$A$2:$AH$120,2,FALSE)</f>
        <v>#N/A</v>
      </c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</row>
    <row r="46" spans="1:52" ht="15.75" customHeight="1">
      <c r="A46" s="112" t="s">
        <v>726</v>
      </c>
      <c r="B46" s="112" t="s">
        <v>1138</v>
      </c>
      <c r="C46" s="184" t="s">
        <v>1139</v>
      </c>
      <c r="D46" s="3" t="s">
        <v>95</v>
      </c>
      <c r="E46" s="58">
        <v>400</v>
      </c>
      <c r="F46" s="16">
        <v>91</v>
      </c>
      <c r="G46" s="16">
        <v>12</v>
      </c>
      <c r="H46" s="3">
        <v>6</v>
      </c>
      <c r="I46" s="17" t="b">
        <f t="shared" si="4"/>
        <v>0</v>
      </c>
      <c r="J46" s="17" t="b">
        <f t="shared" si="5"/>
        <v>0</v>
      </c>
      <c r="K46" s="17">
        <f t="shared" si="3"/>
        <v>12</v>
      </c>
      <c r="L46" s="18" t="e">
        <f>VLOOKUP($D46,'Week 1'!$A$2:$AD$120,2,FALSE)</f>
        <v>#N/A</v>
      </c>
      <c r="M46" s="18" t="e">
        <f>VLOOKUP($D46,'Week 2'!$A$2:$AD$120,2,FALSE)</f>
        <v>#N/A</v>
      </c>
      <c r="N46" s="18" t="e">
        <f>VLOOKUP($D46,'Week 3'!$A$2:$AH$119,2,FALSE)</f>
        <v>#N/A</v>
      </c>
      <c r="O46" s="18">
        <f>VLOOKUP($D46,'Week 4'!$A$2:$AH$122,2,FALSE)</f>
        <v>3</v>
      </c>
      <c r="P46" s="18">
        <f>VLOOKUP($D46,'Week 5'!$A$2:$AG$120,2,FALSE)</f>
        <v>8</v>
      </c>
      <c r="Q46" s="18">
        <f>VLOOKUP($D46,'week 6'!$A$2:$AH$120,2,FALSE)</f>
        <v>1</v>
      </c>
      <c r="R46" s="18">
        <f>VLOOKUP($D46,'Week 7'!$A$2:$AH$120,2,FALSE)</f>
        <v>0</v>
      </c>
      <c r="S46" s="18">
        <f>VLOOKUP($D46,'Week 8'!$A$2:$AH$120,2,FALSE)</f>
        <v>0</v>
      </c>
      <c r="T46" s="18">
        <f>VLOOKUP($D46,'Week 9'!$A$2:$AH$120,2,FALSE)</f>
        <v>0</v>
      </c>
      <c r="U46" s="18">
        <f>VLOOKUP($D46,'Week 9'!$A$2:$AH$120,2,FALSE)</f>
        <v>0</v>
      </c>
      <c r="V46" s="18">
        <f>VLOOKUP($D46,'Week 9'!$A$2:$AH$120,2,FALSE)</f>
        <v>0</v>
      </c>
      <c r="W46" s="18">
        <f>VLOOKUP($D46,'Week 9'!$A$2:$AH$120,2,FALSE)</f>
        <v>0</v>
      </c>
      <c r="X46" s="18">
        <f>VLOOKUP($D46,'Week 13'!$A$2:$AH$120,2,FALSE)</f>
        <v>0</v>
      </c>
      <c r="Y46" s="18">
        <f>VLOOKUP($D46,'Week 14'!$A$2:$AH$120,2,FALSE)</f>
        <v>0</v>
      </c>
      <c r="Z46" s="18">
        <f>VLOOKUP($D46,'Week 15'!$A$2:$AH$120,2,FALSE)</f>
        <v>0</v>
      </c>
      <c r="AA46" s="18">
        <f>VLOOKUP($D46,'Week 16'!$A$2:$AH$120,2,FALSE)</f>
        <v>0</v>
      </c>
      <c r="AB46" s="18">
        <f>VLOOKUP($D46,'Week 17'!$A$2:$AH$120,2,FALSE)</f>
        <v>0</v>
      </c>
      <c r="AC46" s="18">
        <f>VLOOKUP($D46,'Week 18'!$A$2:$AH$120,2,FALSE)</f>
        <v>0</v>
      </c>
      <c r="AD46" s="18">
        <f>VLOOKUP($D46,'Week 19'!$A$2:$AH$120,2,FALSE)</f>
        <v>0</v>
      </c>
      <c r="AE46" s="18">
        <f>VLOOKUP($D46,'Week 20'!$A$2:$AH$120,2,FALSE)</f>
        <v>0</v>
      </c>
      <c r="AF46" s="18">
        <f>VLOOKUP($D46,'Week 21'!$A$2:$AH$120,2,FALSE)</f>
        <v>0</v>
      </c>
      <c r="AG46" s="18">
        <f>VLOOKUP($D46,'Week 22'!$A$2:$AH$120,2,FALSE)</f>
        <v>0</v>
      </c>
      <c r="AH46" s="18">
        <f>VLOOKUP($D46,'Week 23'!$A$2:$AH$120,2,FALSE)</f>
        <v>0</v>
      </c>
      <c r="AI46" s="18">
        <f>VLOOKUP($D46,'Week 24'!$A$2:$AH$120,2,FALSE)</f>
        <v>0</v>
      </c>
      <c r="AJ46" s="18">
        <f>VLOOKUP($D46,'Week 25'!$A$2:$AH$120,2,FALSE)</f>
        <v>0</v>
      </c>
      <c r="AK46" s="18">
        <f>VLOOKUP($D46,'Week 26'!$A$2:$AH$120,2,FALSE)</f>
        <v>0</v>
      </c>
      <c r="AL46" s="113"/>
      <c r="AM46" s="113"/>
      <c r="AN46" s="113"/>
      <c r="AO46" s="113"/>
      <c r="AP46" s="113"/>
      <c r="AQ46" s="113"/>
      <c r="AR46" s="113"/>
      <c r="AS46" s="113"/>
      <c r="AT46" s="113"/>
      <c r="AU46" s="113"/>
      <c r="AV46" s="113"/>
      <c r="AW46" s="113"/>
      <c r="AX46" s="113"/>
      <c r="AY46" s="113"/>
      <c r="AZ46" s="113"/>
    </row>
    <row r="47" spans="1:52" ht="15.75" customHeight="1">
      <c r="A47" s="112" t="s">
        <v>726</v>
      </c>
      <c r="B47" s="112" t="s">
        <v>1138</v>
      </c>
      <c r="C47" s="185"/>
      <c r="D47" s="3" t="s">
        <v>92</v>
      </c>
      <c r="E47" s="58">
        <v>1900</v>
      </c>
      <c r="F47" s="16" t="s">
        <v>371</v>
      </c>
      <c r="G47" s="16">
        <v>5</v>
      </c>
      <c r="H47" s="3">
        <v>20</v>
      </c>
      <c r="I47" s="17" t="b">
        <f t="shared" si="4"/>
        <v>0</v>
      </c>
      <c r="J47" s="17" t="b">
        <f t="shared" si="5"/>
        <v>0</v>
      </c>
      <c r="K47" s="17">
        <f t="shared" si="3"/>
        <v>8</v>
      </c>
      <c r="L47" s="18" t="e">
        <f>VLOOKUP($D47,'Week 1'!$A$2:$AD$120,2,FALSE)</f>
        <v>#N/A</v>
      </c>
      <c r="M47" s="18" t="e">
        <f>VLOOKUP($D47,'Week 2'!$A$2:$AD$120,2,FALSE)</f>
        <v>#N/A</v>
      </c>
      <c r="N47" s="18">
        <f>VLOOKUP($D47,'Week 3'!$A$2:$AH$119,2,FALSE)</f>
        <v>1</v>
      </c>
      <c r="O47" s="18">
        <f>VLOOKUP($D47,'Week 4'!$A$2:$AH$122,2,FALSE)</f>
        <v>0</v>
      </c>
      <c r="P47" s="18">
        <f>VLOOKUP($D47,'Week 5'!$A$2:$AG$120,2,FALSE)</f>
        <v>1</v>
      </c>
      <c r="Q47" s="18">
        <f>VLOOKUP($D47,'week 6'!$A$2:$AH$120,2,FALSE)</f>
        <v>1</v>
      </c>
      <c r="R47" s="18">
        <f>VLOOKUP($D47,'Week 7'!$A$2:$AH$120,2,FALSE)</f>
        <v>0</v>
      </c>
      <c r="S47" s="18">
        <f>VLOOKUP($D47,'Week 8'!$A$2:$AH$120,2,FALSE)</f>
        <v>1</v>
      </c>
      <c r="T47" s="18">
        <f>VLOOKUP($D47,'Week 9'!$A$2:$AH$120,2,FALSE)</f>
        <v>1</v>
      </c>
      <c r="U47" s="18">
        <f>VLOOKUP($D47,'Week 9'!$A$2:$AH$120,2,FALSE)</f>
        <v>1</v>
      </c>
      <c r="V47" s="18">
        <f>VLOOKUP($D47,'Week 9'!$A$2:$AH$120,2,FALSE)</f>
        <v>1</v>
      </c>
      <c r="W47" s="18">
        <f>VLOOKUP($D47,'Week 9'!$A$2:$AH$120,2,FALSE)</f>
        <v>1</v>
      </c>
      <c r="X47" s="18">
        <f>VLOOKUP($D47,'Week 13'!$A$2:$AH$120,2,FALSE)</f>
        <v>0</v>
      </c>
      <c r="Y47" s="18">
        <f>VLOOKUP($D47,'Week 14'!$A$2:$AH$120,2,FALSE)</f>
        <v>0</v>
      </c>
      <c r="Z47" s="18">
        <f>VLOOKUP($D47,'Week 15'!$A$2:$AH$120,2,FALSE)</f>
        <v>0</v>
      </c>
      <c r="AA47" s="18">
        <f>VLOOKUP($D47,'Week 16'!$A$2:$AH$120,2,FALSE)</f>
        <v>0</v>
      </c>
      <c r="AB47" s="18">
        <f>VLOOKUP($D47,'Week 17'!$A$2:$AH$120,2,FALSE)</f>
        <v>0</v>
      </c>
      <c r="AC47" s="18">
        <f>VLOOKUP($D47,'Week 18'!$A$2:$AH$120,2,FALSE)</f>
        <v>0</v>
      </c>
      <c r="AD47" s="18">
        <f>VLOOKUP($D47,'Week 19'!$A$2:$AH$120,2,FALSE)</f>
        <v>0</v>
      </c>
      <c r="AE47" s="18">
        <f>VLOOKUP($D47,'Week 20'!$A$2:$AH$120,2,FALSE)</f>
        <v>0</v>
      </c>
      <c r="AF47" s="18">
        <f>VLOOKUP($D47,'Week 21'!$A$2:$AH$120,2,FALSE)</f>
        <v>0</v>
      </c>
      <c r="AG47" s="18">
        <f>VLOOKUP($D47,'Week 22'!$A$2:$AH$120,2,FALSE)</f>
        <v>0</v>
      </c>
      <c r="AH47" s="18">
        <f>VLOOKUP($D47,'Week 23'!$A$2:$AH$120,2,FALSE)</f>
        <v>0</v>
      </c>
      <c r="AI47" s="18">
        <f>VLOOKUP($D47,'Week 24'!$A$2:$AH$120,2,FALSE)</f>
        <v>0</v>
      </c>
      <c r="AJ47" s="18">
        <f>VLOOKUP($D47,'Week 25'!$A$2:$AH$120,2,FALSE)</f>
        <v>0</v>
      </c>
      <c r="AK47" s="18">
        <f>VLOOKUP($D47,'Week 26'!$A$2:$AH$120,2,FALSE)</f>
        <v>0</v>
      </c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</row>
    <row r="48" spans="1:52" ht="15.75" customHeight="1">
      <c r="A48" s="112" t="s">
        <v>726</v>
      </c>
      <c r="B48" s="112" t="s">
        <v>1138</v>
      </c>
      <c r="C48" s="185"/>
      <c r="D48" s="3" t="s">
        <v>93</v>
      </c>
      <c r="E48" s="58">
        <v>100</v>
      </c>
      <c r="F48" s="16">
        <v>97</v>
      </c>
      <c r="G48" s="16">
        <v>2</v>
      </c>
      <c r="H48" s="3">
        <v>8</v>
      </c>
      <c r="I48" s="17" t="b">
        <f t="shared" si="4"/>
        <v>0</v>
      </c>
      <c r="J48" s="17" t="b">
        <f t="shared" si="5"/>
        <v>0</v>
      </c>
      <c r="K48" s="17">
        <f t="shared" si="3"/>
        <v>0</v>
      </c>
      <c r="L48" s="18" t="e">
        <f>VLOOKUP($D48,'Week 1'!$A$2:$AD$120,2,FALSE)</f>
        <v>#N/A</v>
      </c>
      <c r="M48" s="18" t="e">
        <f>VLOOKUP($D48,'Week 2'!$A$2:$AD$120,2,FALSE)</f>
        <v>#N/A</v>
      </c>
      <c r="N48" s="18" t="e">
        <f>VLOOKUP($D48,'Week 3'!$A$2:$AH$119,2,FALSE)</f>
        <v>#N/A</v>
      </c>
      <c r="O48" s="18" t="e">
        <f>VLOOKUP($D48,'Week 4'!$A$2:$AH$122,2,FALSE)</f>
        <v>#N/A</v>
      </c>
      <c r="P48" s="18">
        <f>VLOOKUP($D48,'Week 5'!$A$2:$AG$120,2,FALSE)</f>
        <v>0</v>
      </c>
      <c r="Q48" s="18">
        <f>VLOOKUP($D48,'week 6'!$A$2:$AH$120,2,FALSE)</f>
        <v>0</v>
      </c>
      <c r="R48" s="18">
        <f>VLOOKUP($D48,'Week 7'!$A$2:$AH$120,2,FALSE)</f>
        <v>0</v>
      </c>
      <c r="S48" s="18">
        <f>VLOOKUP($D48,'Week 8'!$A$2:$AH$120,2,FALSE)</f>
        <v>0</v>
      </c>
      <c r="T48" s="18">
        <f>VLOOKUP($D48,'Week 9'!$A$2:$AH$120,2,FALSE)</f>
        <v>0</v>
      </c>
      <c r="U48" s="18">
        <f>VLOOKUP($D48,'Week 9'!$A$2:$AH$120,2,FALSE)</f>
        <v>0</v>
      </c>
      <c r="V48" s="18">
        <f>VLOOKUP($D48,'Week 9'!$A$2:$AH$120,2,FALSE)</f>
        <v>0</v>
      </c>
      <c r="W48" s="18">
        <f>VLOOKUP($D48,'Week 9'!$A$2:$AH$120,2,FALSE)</f>
        <v>0</v>
      </c>
      <c r="X48" s="18">
        <f>VLOOKUP($D48,'Week 13'!$A$2:$AH$120,2,FALSE)</f>
        <v>0</v>
      </c>
      <c r="Y48" s="18">
        <f>VLOOKUP($D48,'Week 14'!$A$2:$AH$120,2,FALSE)</f>
        <v>0</v>
      </c>
      <c r="Z48" s="18">
        <f>VLOOKUP($D48,'Week 15'!$A$2:$AH$120,2,FALSE)</f>
        <v>0</v>
      </c>
      <c r="AA48" s="18">
        <f>VLOOKUP($D48,'Week 16'!$A$2:$AH$120,2,FALSE)</f>
        <v>0</v>
      </c>
      <c r="AB48" s="18">
        <f>VLOOKUP($D48,'Week 17'!$A$2:$AH$120,2,FALSE)</f>
        <v>0</v>
      </c>
      <c r="AC48" s="18">
        <f>VLOOKUP($D48,'Week 18'!$A$2:$AH$120,2,FALSE)</f>
        <v>0</v>
      </c>
      <c r="AD48" s="18">
        <f>VLOOKUP($D48,'Week 19'!$A$2:$AH$120,2,FALSE)</f>
        <v>0</v>
      </c>
      <c r="AE48" s="18">
        <f>VLOOKUP($D48,'Week 20'!$A$2:$AH$120,2,FALSE)</f>
        <v>0</v>
      </c>
      <c r="AF48" s="18">
        <f>VLOOKUP($D48,'Week 21'!$A$2:$AH$120,2,FALSE)</f>
        <v>0</v>
      </c>
      <c r="AG48" s="18">
        <f>VLOOKUP($D48,'Week 22'!$A$2:$AH$120,2,FALSE)</f>
        <v>0</v>
      </c>
      <c r="AH48" s="18">
        <f>VLOOKUP($D48,'Week 23'!$A$2:$AH$120,2,FALSE)</f>
        <v>0</v>
      </c>
      <c r="AI48" s="18">
        <f>VLOOKUP($D48,'Week 24'!$A$2:$AH$120,2,FALSE)</f>
        <v>0</v>
      </c>
      <c r="AJ48" s="18">
        <f>VLOOKUP($D48,'Week 25'!$A$2:$AH$120,2,FALSE)</f>
        <v>0</v>
      </c>
      <c r="AK48" s="18">
        <f>VLOOKUP($D48,'Week 26'!$A$2:$AH$120,2,FALSE)</f>
        <v>0</v>
      </c>
      <c r="AL48" s="113"/>
      <c r="AM48" s="113"/>
      <c r="AN48" s="113"/>
      <c r="AO48" s="113"/>
      <c r="AP48" s="113"/>
      <c r="AQ48" s="113"/>
      <c r="AR48" s="113"/>
      <c r="AS48" s="113"/>
      <c r="AT48" s="113"/>
      <c r="AU48" s="113"/>
      <c r="AV48" s="113"/>
      <c r="AW48" s="113"/>
      <c r="AX48" s="113"/>
      <c r="AY48" s="113"/>
      <c r="AZ48" s="113"/>
    </row>
    <row r="49" spans="1:52" ht="15.75" customHeight="1">
      <c r="A49" s="123">
        <v>43383</v>
      </c>
      <c r="B49" s="112" t="s">
        <v>57</v>
      </c>
      <c r="C49" s="11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D49" s="112" t="s">
        <v>102</v>
      </c>
      <c r="E49" s="112">
        <v>900</v>
      </c>
      <c r="F49" s="15">
        <v>14</v>
      </c>
      <c r="G49" s="124">
        <v>15</v>
      </c>
      <c r="H49" s="112">
        <v>30</v>
      </c>
      <c r="I49" s="17" t="b">
        <f t="shared" si="4"/>
        <v>0</v>
      </c>
      <c r="J49" s="17" t="b">
        <f t="shared" si="5"/>
        <v>0</v>
      </c>
      <c r="K49" s="17">
        <f t="shared" si="3"/>
        <v>18</v>
      </c>
      <c r="L49" s="113">
        <f>VLOOKUP($D49,'Week 1'!$A$2:$AD$120,2,FALSE)</f>
        <v>9</v>
      </c>
      <c r="M49" s="113">
        <f>VLOOKUP($D49,'Week 2'!$A$2:$AD$123,2,FALSE)</f>
        <v>6</v>
      </c>
      <c r="N49" s="113">
        <f>VLOOKUP($D49,'Week 3'!$A$2:$AH$119,2,FALSE)</f>
        <v>0</v>
      </c>
      <c r="O49" s="113">
        <f>VLOOKUP($D49,'Week 4'!$A$2:$AH$122,2,FALSE)</f>
        <v>1</v>
      </c>
      <c r="P49" s="113">
        <f>VLOOKUP($D49,'Week 5'!$A$2:$AG$120,2,FALSE)</f>
        <v>0</v>
      </c>
      <c r="Q49" s="113">
        <f>VLOOKUP($D49,'week 6'!$A$2:$AH$120,2,FALSE)</f>
        <v>0</v>
      </c>
      <c r="R49" s="113">
        <f>VLOOKUP($D49,'Week 7'!$A$2:$AH$120,2,FALSE)</f>
        <v>0</v>
      </c>
      <c r="S49" s="18">
        <f>VLOOKUP($D49,'Week 8'!$A$2:$AH$120,2,FALSE)</f>
        <v>0</v>
      </c>
      <c r="T49" s="18">
        <f>VLOOKUP($D49,'Week 9'!$A$2:$AH$120,2,FALSE)</f>
        <v>0</v>
      </c>
      <c r="U49" s="18">
        <f>VLOOKUP($D49,'Week 9'!$A$2:$AH$120,2,FALSE)</f>
        <v>0</v>
      </c>
      <c r="V49" s="18">
        <f>VLOOKUP($D49,'Week 9'!$A$2:$AH$120,2,FALSE)</f>
        <v>0</v>
      </c>
      <c r="W49" s="18">
        <f>VLOOKUP($D49,'Week 9'!$A$2:$AH$120,2,FALSE)</f>
        <v>0</v>
      </c>
      <c r="X49" s="18">
        <f>VLOOKUP($D49,'Week 13'!$A$2:$AH$120,2,FALSE)</f>
        <v>1</v>
      </c>
      <c r="Y49" s="18">
        <f>VLOOKUP($D49,'Week 14'!$A$2:$AH$120,2,FALSE)</f>
        <v>0</v>
      </c>
      <c r="Z49" s="18">
        <f>VLOOKUP($D49,'Week 15'!$A$2:$AH$120,2,FALSE)</f>
        <v>0</v>
      </c>
      <c r="AA49" s="18">
        <f>VLOOKUP($D49,'Week 16'!$A$2:$AH$120,2,FALSE)</f>
        <v>0</v>
      </c>
      <c r="AB49" s="18">
        <f>VLOOKUP($D49,'Week 17'!$A$2:$AH$120,2,FALSE)</f>
        <v>1</v>
      </c>
      <c r="AC49" s="18">
        <f>VLOOKUP($D49,'Week 18'!$A$2:$AH$120,2,FALSE)</f>
        <v>0</v>
      </c>
      <c r="AD49" s="18">
        <f>VLOOKUP($D49,'Week 19'!$A$2:$AH$120,2,FALSE)</f>
        <v>0</v>
      </c>
      <c r="AE49" s="18">
        <f>VLOOKUP($D49,'Week 20'!$A$2:$AH$120,2,FALSE)</f>
        <v>0</v>
      </c>
      <c r="AF49" s="18">
        <f>VLOOKUP($D49,'Week 21'!$A$2:$AH$120,2,FALSE)</f>
        <v>0</v>
      </c>
      <c r="AG49" s="18">
        <f>VLOOKUP($D49,'Week 22'!$A$2:$AH$120,2,FALSE)</f>
        <v>0</v>
      </c>
      <c r="AH49" s="18">
        <f>VLOOKUP($D49,'Week 23'!$A$2:$AH$120,2,FALSE)</f>
        <v>0</v>
      </c>
      <c r="AI49" s="18">
        <f>VLOOKUP($D49,'Week 24'!$A$2:$AH$120,2,FALSE)</f>
        <v>1</v>
      </c>
      <c r="AJ49" s="18">
        <f>VLOOKUP($D49,'Week 25'!$A$2:$AH$120,2,FALSE)</f>
        <v>0</v>
      </c>
      <c r="AK49" s="18">
        <f>VLOOKUP($D49,'Week 26'!$A$2:$AH$120,2,FALSE)</f>
        <v>0</v>
      </c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</row>
    <row r="50" spans="1:52" ht="15.75" customHeight="1">
      <c r="A50" s="125">
        <v>43406</v>
      </c>
      <c r="B50" s="3" t="s">
        <v>57</v>
      </c>
      <c r="C50" s="11" t="str">
        <f>HYPERLINK("https://www.digitalauthority.me/insights/2018-cardiovascular-health-technologies-doctors-02-11-2018","7 cardiovascular health technologies doctors should know about in 2018
")</f>
        <v>7 cardiovascular health technologies doctors should know about in 2018_x000D_</v>
      </c>
      <c r="D50" s="3" t="s">
        <v>91</v>
      </c>
      <c r="E50" s="3">
        <v>500</v>
      </c>
      <c r="F50" s="15">
        <v>71</v>
      </c>
      <c r="G50" s="16">
        <v>16</v>
      </c>
      <c r="H50" s="3">
        <v>32</v>
      </c>
      <c r="I50" s="17" t="b">
        <f t="shared" si="4"/>
        <v>0</v>
      </c>
      <c r="J50" s="17" t="b">
        <f t="shared" si="5"/>
        <v>0</v>
      </c>
      <c r="K50" s="17">
        <f t="shared" si="3"/>
        <v>23</v>
      </c>
      <c r="L50" s="18">
        <f>VLOOKUP($D50,'Week 1'!$A$2:$AD$120,2,FALSE)</f>
        <v>2</v>
      </c>
      <c r="M50" s="18">
        <f>VLOOKUP($D50,'Week 2'!$A$2:$AD$123,2,FALSE)</f>
        <v>4</v>
      </c>
      <c r="N50" s="18">
        <f>VLOOKUP($D50,'Week 3'!$A$2:$AH$119,2,FALSE)</f>
        <v>1</v>
      </c>
      <c r="O50" s="18">
        <f>VLOOKUP($D50,'Week 4'!$A$2:$AH$122,2,FALSE)</f>
        <v>2</v>
      </c>
      <c r="P50" s="18">
        <f>VLOOKUP($D50,'Week 5'!$A$2:$AG$120,2,FALSE)</f>
        <v>2</v>
      </c>
      <c r="Q50" s="18">
        <f>VLOOKUP($D50,'week 6'!$A$2:$AH$120,2,FALSE)</f>
        <v>1</v>
      </c>
      <c r="R50" s="18">
        <f>VLOOKUP($D50,'Week 7'!$A$2:$AH$120,2,FALSE)</f>
        <v>1</v>
      </c>
      <c r="S50" s="18">
        <f>VLOOKUP($D50,'Week 8'!$A$2:$AH$120,2,FALSE)</f>
        <v>9</v>
      </c>
      <c r="T50" s="18">
        <f>VLOOKUP($D50,'Week 9'!$A$2:$AH$120,2,FALSE)</f>
        <v>0</v>
      </c>
      <c r="U50" s="18">
        <f>VLOOKUP($D50,'Week 9'!$A$2:$AH$120,2,FALSE)</f>
        <v>0</v>
      </c>
      <c r="V50" s="18">
        <f>VLOOKUP($D50,'Week 9'!$A$2:$AH$120,2,FALSE)</f>
        <v>0</v>
      </c>
      <c r="W50" s="18">
        <f>VLOOKUP($D50,'Week 9'!$A$2:$AH$120,2,FALSE)</f>
        <v>0</v>
      </c>
      <c r="X50" s="18">
        <f>VLOOKUP($D50,'Week 13'!$A$2:$AH$120,2,FALSE)</f>
        <v>0</v>
      </c>
      <c r="Y50" s="18">
        <f>VLOOKUP($D50,'Week 14'!$A$2:$AH$120,2,FALSE)</f>
        <v>0</v>
      </c>
      <c r="Z50" s="18">
        <f>VLOOKUP($D50,'Week 15'!$A$2:$AH$120,2,FALSE)</f>
        <v>0</v>
      </c>
      <c r="AA50" s="18">
        <f>VLOOKUP($D50,'Week 16'!$A$2:$AH$120,2,FALSE)</f>
        <v>0</v>
      </c>
      <c r="AB50" s="18">
        <f>VLOOKUP($D50,'Week 17'!$A$2:$AH$120,2,FALSE)</f>
        <v>0</v>
      </c>
      <c r="AC50" s="18">
        <f>VLOOKUP($D50,'Week 18'!$A$2:$AH$120,2,FALSE)</f>
        <v>1</v>
      </c>
      <c r="AD50" s="18">
        <f>VLOOKUP($D50,'Week 19'!$A$2:$AH$120,2,FALSE)</f>
        <v>0</v>
      </c>
      <c r="AE50" s="18">
        <f>VLOOKUP($D50,'Week 20'!$A$2:$AH$120,2,FALSE)</f>
        <v>0</v>
      </c>
      <c r="AF50" s="18">
        <f>VLOOKUP($D50,'Week 21'!$A$2:$AH$120,2,FALSE)</f>
        <v>0</v>
      </c>
      <c r="AG50" s="18">
        <f>VLOOKUP($D50,'Week 22'!$A$2:$AH$120,2,FALSE)</f>
        <v>0</v>
      </c>
      <c r="AH50" s="18">
        <f>VLOOKUP($D50,'Week 23'!$A$2:$AH$120,2,FALSE)</f>
        <v>0</v>
      </c>
      <c r="AI50" s="18">
        <f>VLOOKUP($D50,'Week 24'!$A$2:$AH$120,2,FALSE)</f>
        <v>0</v>
      </c>
      <c r="AJ50" s="18">
        <f>VLOOKUP($D50,'Week 25'!$A$2:$AH$120,2,FALSE)</f>
        <v>0</v>
      </c>
      <c r="AK50" s="18">
        <f>VLOOKUP($D50,'Week 26'!$A$2:$AH$120,2,FALSE)</f>
        <v>0</v>
      </c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</row>
    <row r="51" spans="1:52" ht="15.75" customHeight="1">
      <c r="A51" s="125">
        <v>43414</v>
      </c>
      <c r="B51" s="3" t="s">
        <v>57</v>
      </c>
      <c r="C51" s="11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D51" s="16" t="s">
        <v>103</v>
      </c>
      <c r="E51" s="3">
        <v>150</v>
      </c>
      <c r="F51" s="15">
        <v>3</v>
      </c>
      <c r="G51" s="16">
        <v>18</v>
      </c>
      <c r="H51" s="3">
        <v>36</v>
      </c>
      <c r="I51" s="17" t="b">
        <f t="shared" si="4"/>
        <v>0</v>
      </c>
      <c r="J51" s="17">
        <f t="shared" si="5"/>
        <v>0.88888888888888884</v>
      </c>
      <c r="K51" s="17">
        <f t="shared" si="3"/>
        <v>16</v>
      </c>
      <c r="L51" s="18">
        <f>VLOOKUP($D51,'Week 1'!$A$2:$AD$120,2,FALSE)</f>
        <v>2</v>
      </c>
      <c r="M51" s="18">
        <f>VLOOKUP($D51,'Week 2'!$A$2:$AD$123,2,FALSE)</f>
        <v>5</v>
      </c>
      <c r="N51" s="18">
        <f>VLOOKUP($D51,'Week 3'!$A$2:$AH$119,2,FALSE)</f>
        <v>0</v>
      </c>
      <c r="O51" s="18">
        <f>VLOOKUP($D51,'Week 4'!$A$2:$AH$122,2,FALSE)</f>
        <v>6</v>
      </c>
      <c r="P51" s="18">
        <f>VLOOKUP($D51,'Week 5'!$A$2:$AG$120,2,FALSE)</f>
        <v>0</v>
      </c>
      <c r="Q51" s="18">
        <f>VLOOKUP($D51,'week 6'!$A$2:$AH$120,2,FALSE)</f>
        <v>0</v>
      </c>
      <c r="R51" s="18">
        <f>VLOOKUP($D51,'Week 7'!$A$2:$AH$120,2,FALSE)</f>
        <v>1</v>
      </c>
      <c r="S51" s="18">
        <f>VLOOKUP($D51,'Week 8'!$A$2:$AH$120,2,FALSE)</f>
        <v>0</v>
      </c>
      <c r="T51" s="18">
        <f>VLOOKUP($D51,'Week 9'!$A$2:$AH$120,2,FALSE)</f>
        <v>0</v>
      </c>
      <c r="U51" s="18">
        <f>VLOOKUP($D51,'Week 9'!$A$2:$AH$120,2,FALSE)</f>
        <v>0</v>
      </c>
      <c r="V51" s="18">
        <f>VLOOKUP($D51,'Week 9'!$A$2:$AH$120,2,FALSE)</f>
        <v>0</v>
      </c>
      <c r="W51" s="18">
        <f>VLOOKUP($D51,'Week 9'!$A$2:$AH$120,2,FALSE)</f>
        <v>0</v>
      </c>
      <c r="X51" s="18">
        <f>VLOOKUP($D51,'Week 13'!$A$2:$AH$120,2,FALSE)</f>
        <v>0</v>
      </c>
      <c r="Y51" s="18">
        <f>VLOOKUP($D51,'Week 14'!$A$2:$AH$120,2,FALSE)</f>
        <v>0</v>
      </c>
      <c r="Z51" s="18">
        <f>VLOOKUP($D51,'Week 15'!$A$2:$AH$120,2,FALSE)</f>
        <v>1</v>
      </c>
      <c r="AA51" s="18">
        <f>VLOOKUP($D51,'Week 16'!$A$2:$AH$120,2,FALSE)</f>
        <v>1</v>
      </c>
      <c r="AB51" s="18">
        <f>VLOOKUP($D51,'Week 17'!$A$2:$AH$120,2,FALSE)</f>
        <v>0</v>
      </c>
      <c r="AC51" s="18">
        <f>VLOOKUP($D51,'Week 18'!$A$2:$AH$120,2,FALSE)</f>
        <v>0</v>
      </c>
      <c r="AD51" s="18">
        <f>VLOOKUP($D51,'Week 19'!$A$2:$AH$120,2,FALSE)</f>
        <v>0</v>
      </c>
      <c r="AE51" s="18">
        <f>VLOOKUP($D51,'Week 20'!$A$2:$AH$120,2,FALSE)</f>
        <v>0</v>
      </c>
      <c r="AF51" s="18">
        <f>VLOOKUP($D51,'Week 21'!$A$2:$AH$120,2,FALSE)</f>
        <v>0</v>
      </c>
      <c r="AG51" s="18">
        <f>VLOOKUP($D51,'Week 22'!$A$2:$AH$120,2,FALSE)</f>
        <v>0</v>
      </c>
      <c r="AH51" s="18">
        <f>VLOOKUP($D51,'Week 23'!$A$2:$AH$120,2,FALSE)</f>
        <v>0</v>
      </c>
      <c r="AI51" s="18">
        <f>VLOOKUP($D51,'Week 24'!$A$2:$AH$120,2,FALSE)</f>
        <v>0</v>
      </c>
      <c r="AJ51" s="18">
        <f>VLOOKUP($D51,'Week 25'!$A$2:$AH$120,2,FALSE)</f>
        <v>0</v>
      </c>
      <c r="AK51" s="18">
        <f>VLOOKUP($D51,'Week 26'!$A$2:$AH$120,2,FALSE)</f>
        <v>0</v>
      </c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</row>
    <row r="52" spans="1:52" ht="15.75" customHeight="1">
      <c r="A52" s="18"/>
      <c r="B52" s="3" t="s">
        <v>57</v>
      </c>
      <c r="C52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D52" s="3" t="s">
        <v>128</v>
      </c>
      <c r="E52" s="3">
        <v>50</v>
      </c>
      <c r="F52" s="15">
        <v>1</v>
      </c>
      <c r="G52" s="16">
        <v>2</v>
      </c>
      <c r="H52" s="3">
        <v>4</v>
      </c>
      <c r="I52" s="17">
        <f t="shared" si="4"/>
        <v>0.5</v>
      </c>
      <c r="J52" s="17">
        <f t="shared" si="5"/>
        <v>1</v>
      </c>
      <c r="K52" s="17">
        <f t="shared" si="3"/>
        <v>2</v>
      </c>
      <c r="L52" s="18" t="e">
        <f>VLOOKUP($D52,'Week 1'!$A$2:$AD$120,2,FALSE)</f>
        <v>#N/A</v>
      </c>
      <c r="M52" s="18">
        <f>VLOOKUP($D52,'Week 2'!$A$2:$AD$120,2,FALSE)</f>
        <v>2</v>
      </c>
      <c r="N52" s="18">
        <f>VLOOKUP($D52,'Week 3'!$A$2:$AH$119,2,FALSE)</f>
        <v>0</v>
      </c>
      <c r="O52" s="18">
        <f>VLOOKUP($D52,'Week 4'!$A$2:$AH$122,2,FALSE)</f>
        <v>0</v>
      </c>
      <c r="P52" s="18">
        <f>VLOOKUP($D52,'Week 5'!$A$2:$AG$120,2,FALSE)</f>
        <v>0</v>
      </c>
      <c r="Q52" s="18">
        <f>VLOOKUP($D52,'week 6'!$A$2:$AH$120,2,FALSE)</f>
        <v>0</v>
      </c>
      <c r="R52" s="18">
        <f>VLOOKUP($D52,'Week 7'!$A$2:$AH$120,2,FALSE)</f>
        <v>0</v>
      </c>
      <c r="S52" s="18">
        <f>VLOOKUP($D52,'Week 8'!$A$2:$AH$120,2,FALSE)</f>
        <v>0</v>
      </c>
      <c r="T52" s="18">
        <f>VLOOKUP($D52,'Week 9'!$A$2:$AH$120,2,FALSE)</f>
        <v>0</v>
      </c>
      <c r="U52" s="18">
        <f>VLOOKUP($D52,'Week 9'!$A$2:$AH$120,2,FALSE)</f>
        <v>0</v>
      </c>
      <c r="V52" s="18">
        <f>VLOOKUP($D52,'Week 9'!$A$2:$AH$120,2,FALSE)</f>
        <v>0</v>
      </c>
      <c r="W52" s="18">
        <f>VLOOKUP($D52,'Week 9'!$A$2:$AH$120,2,FALSE)</f>
        <v>0</v>
      </c>
      <c r="X52" s="18">
        <f>VLOOKUP($D52,'Week 13'!$A$2:$AH$120,2,FALSE)</f>
        <v>0</v>
      </c>
      <c r="Y52" s="18">
        <f>VLOOKUP($D52,'Week 14'!$A$2:$AH$120,2,FALSE)</f>
        <v>0</v>
      </c>
      <c r="Z52" s="18">
        <f>VLOOKUP($D52,'Week 15'!$A$2:$AH$120,2,FALSE)</f>
        <v>0</v>
      </c>
      <c r="AA52" s="18">
        <f>VLOOKUP($D52,'Week 16'!$A$2:$AH$120,2,FALSE)</f>
        <v>0</v>
      </c>
      <c r="AB52" s="18">
        <f>VLOOKUP($D52,'Week 17'!$A$2:$AH$120,2,FALSE)</f>
        <v>0</v>
      </c>
      <c r="AC52" s="18">
        <f>VLOOKUP($D52,'Week 18'!$A$2:$AH$120,2,FALSE)</f>
        <v>0</v>
      </c>
      <c r="AD52" s="18">
        <f>VLOOKUP($D52,'Week 19'!$A$2:$AH$120,2,FALSE)</f>
        <v>0</v>
      </c>
      <c r="AE52" s="18">
        <f>VLOOKUP($D52,'Week 20'!$A$2:$AH$120,2,FALSE)</f>
        <v>0</v>
      </c>
      <c r="AF52" s="18">
        <f>VLOOKUP($D52,'Week 21'!$A$2:$AH$120,2,FALSE)</f>
        <v>0</v>
      </c>
      <c r="AG52" s="18">
        <f>VLOOKUP($D52,'Week 22'!$A$2:$AH$120,2,FALSE)</f>
        <v>0</v>
      </c>
      <c r="AH52" s="18">
        <f>VLOOKUP($D52,'Week 23'!$A$2:$AH$120,2,FALSE)</f>
        <v>0</v>
      </c>
      <c r="AI52" s="18">
        <f>VLOOKUP($D52,'Week 24'!$A$2:$AH$120,2,FALSE)</f>
        <v>0</v>
      </c>
      <c r="AJ52" s="18">
        <f>VLOOKUP($D52,'Week 25'!$A$2:$AH$120,2,FALSE)</f>
        <v>0</v>
      </c>
      <c r="AK52" s="18">
        <f>VLOOKUP($D52,'Week 26'!$A$2:$AH$120,2,FALSE)</f>
        <v>0</v>
      </c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</row>
    <row r="53" spans="1:52" ht="15.75" customHeight="1">
      <c r="A53" s="131"/>
      <c r="B53" s="3"/>
      <c r="C53" s="10"/>
      <c r="D53" s="3" t="s">
        <v>1245</v>
      </c>
      <c r="E53" s="3">
        <v>250</v>
      </c>
      <c r="F53" s="16" t="s">
        <v>371</v>
      </c>
      <c r="G53" s="16">
        <v>20</v>
      </c>
      <c r="H53" s="3">
        <v>40</v>
      </c>
      <c r="I53" s="17" t="b">
        <f t="shared" si="4"/>
        <v>0</v>
      </c>
      <c r="J53" s="17" t="b">
        <f t="shared" si="5"/>
        <v>0</v>
      </c>
      <c r="K53" s="17">
        <f t="shared" si="3"/>
        <v>0</v>
      </c>
      <c r="L53" s="18" t="e">
        <f>VLOOKUP($D53,'Week 1'!$A$2:$AD$120,2,FALSE)</f>
        <v>#N/A</v>
      </c>
      <c r="M53" s="18" t="e">
        <f>VLOOKUP($D53,'Week 2'!$A$2:$AD$120,2,FALSE)</f>
        <v>#N/A</v>
      </c>
      <c r="N53" s="18" t="e">
        <f>VLOOKUP($D53,'Week 3'!$A$2:$AH$119,2,FALSE)</f>
        <v>#N/A</v>
      </c>
      <c r="O53" s="18" t="e">
        <f>VLOOKUP($D53,'Week 4'!$A$2:$AH$122,2,FALSE)</f>
        <v>#N/A</v>
      </c>
      <c r="P53" s="18" t="e">
        <f>VLOOKUP($D53,'Week 5'!$A$2:$AG$120,2,FALSE)</f>
        <v>#N/A</v>
      </c>
      <c r="Q53" s="18" t="e">
        <f>VLOOKUP($D53,'week 6'!$A$2:$AH$120,2,FALSE)</f>
        <v>#N/A</v>
      </c>
      <c r="R53" s="18" t="e">
        <f>VLOOKUP($D53,'Week 7'!$A$2:$AH$120,2,FALSE)</f>
        <v>#N/A</v>
      </c>
      <c r="S53" s="18" t="e">
        <f>VLOOKUP($D53,'Week 8'!$A$2:$AH$120,2,FALSE)</f>
        <v>#N/A</v>
      </c>
      <c r="T53" s="18" t="e">
        <f>VLOOKUP($D53,'Week 9'!$A$2:$AH$120,2,FALSE)</f>
        <v>#N/A</v>
      </c>
      <c r="U53" s="18" t="e">
        <f>VLOOKUP($D53,'Week 9'!$A$2:$AH$120,2,FALSE)</f>
        <v>#N/A</v>
      </c>
      <c r="V53" s="18" t="e">
        <f>VLOOKUP($D53,'Week 9'!$A$2:$AH$120,2,FALSE)</f>
        <v>#N/A</v>
      </c>
      <c r="W53" s="18" t="e">
        <f>VLOOKUP($D53,'Week 9'!$A$2:$AH$120,2,FALSE)</f>
        <v>#N/A</v>
      </c>
      <c r="X53" s="18" t="e">
        <f>VLOOKUP($D53,'Week 13'!$A$2:$AH$120,2,FALSE)</f>
        <v>#N/A</v>
      </c>
      <c r="Y53" s="18" t="e">
        <f>VLOOKUP($D53,'Week 14'!$A$2:$AH$120,2,FALSE)</f>
        <v>#N/A</v>
      </c>
      <c r="Z53" s="18" t="e">
        <f>VLOOKUP($D53,'Week 15'!$A$2:$AH$120,2,FALSE)</f>
        <v>#N/A</v>
      </c>
      <c r="AA53" s="18" t="e">
        <f>VLOOKUP($D53,'Week 16'!$A$2:$AH$120,2,FALSE)</f>
        <v>#N/A</v>
      </c>
      <c r="AB53" s="18" t="e">
        <f>VLOOKUP($D53,'Week 17'!$A$2:$AH$120,2,FALSE)</f>
        <v>#N/A</v>
      </c>
      <c r="AC53" s="18" t="e">
        <f>VLOOKUP($D53,'Week 18'!$A$2:$AH$120,2,FALSE)</f>
        <v>#N/A</v>
      </c>
      <c r="AD53" s="18" t="e">
        <f>VLOOKUP($D53,'Week 19'!$A$2:$AH$120,2,FALSE)</f>
        <v>#N/A</v>
      </c>
      <c r="AE53" s="18" t="e">
        <f>VLOOKUP($D53,'Week 20'!$A$2:$AH$120,2,FALSE)</f>
        <v>#N/A</v>
      </c>
      <c r="AF53" s="18" t="e">
        <f>VLOOKUP($D53,'Week 21'!$A$2:$AH$120,2,FALSE)</f>
        <v>#N/A</v>
      </c>
      <c r="AG53" s="18" t="e">
        <f>VLOOKUP($D53,'Week 22'!$A$2:$AH$120,2,FALSE)</f>
        <v>#N/A</v>
      </c>
      <c r="AH53" s="18" t="e">
        <f>VLOOKUP($D53,'Week 23'!$A$2:$AH$120,2,FALSE)</f>
        <v>#N/A</v>
      </c>
      <c r="AI53" s="18" t="e">
        <f>VLOOKUP($D53,'Week 24'!$A$2:$AH$120,2,FALSE)</f>
        <v>#N/A</v>
      </c>
      <c r="AJ53" s="18" t="e">
        <f>VLOOKUP($D53,'Week 25'!$A$2:$AH$120,2,FALSE)</f>
        <v>#N/A</v>
      </c>
      <c r="AK53" s="18" t="e">
        <f>VLOOKUP($D53,'Week 26'!$A$2:$AH$120,2,FALSE)</f>
        <v>#N/A</v>
      </c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</row>
    <row r="54" spans="1:52" ht="15.75" customHeight="1">
      <c r="A54" s="190">
        <v>43046</v>
      </c>
      <c r="B54" s="3" t="s">
        <v>57</v>
      </c>
      <c r="C54" s="189" t="str">
        <f>HYPERLINK("https://www.digitalauthority.me/insights/financial-product-marketing-07-10-2018","5 Key Strategies for Your Financial Product Marketing Initiatives in 2019
")</f>
        <v>5 Key Strategies for Your Financial Product Marketing Initiatives in 2019_x000D_</v>
      </c>
      <c r="D54" s="3" t="s">
        <v>112</v>
      </c>
      <c r="E54" s="3">
        <v>100</v>
      </c>
      <c r="F54" s="15">
        <v>1</v>
      </c>
      <c r="G54" s="16">
        <v>2</v>
      </c>
      <c r="H54" s="3">
        <v>4</v>
      </c>
      <c r="I54" s="17">
        <f t="shared" si="4"/>
        <v>0</v>
      </c>
      <c r="J54" s="17">
        <f t="shared" si="5"/>
        <v>0</v>
      </c>
      <c r="K54" s="17">
        <f t="shared" si="3"/>
        <v>0</v>
      </c>
      <c r="L54" s="18" t="e">
        <f>VLOOKUP($D54,'Week 1'!$A$2:$AD$120,2,FALSE)</f>
        <v>#N/A</v>
      </c>
      <c r="M54" s="18">
        <f>VLOOKUP($D54,'Week 2'!$A$2:$AD$120,2,FALSE)</f>
        <v>0</v>
      </c>
      <c r="N54" s="18">
        <f>VLOOKUP($D54,'Week 3'!$A$2:$AH$119,2,FALSE)</f>
        <v>0</v>
      </c>
      <c r="O54" s="18">
        <f>VLOOKUP($D54,'Week 4'!$A$2:$AH$122,2,FALSE)</f>
        <v>0</v>
      </c>
      <c r="P54" s="18">
        <f>VLOOKUP($D54,'Week 5'!$A$2:$AG$120,2,FALSE)</f>
        <v>0</v>
      </c>
      <c r="Q54" s="18">
        <f>VLOOKUP($D54,'week 6'!$A$2:$AH$120,2,FALSE)</f>
        <v>0</v>
      </c>
      <c r="R54" s="18">
        <f>VLOOKUP($D54,'Week 7'!$A$2:$AH$120,2,FALSE)</f>
        <v>0</v>
      </c>
      <c r="S54" s="18">
        <f>VLOOKUP($D54,'Week 8'!$A$2:$AH$120,2,FALSE)</f>
        <v>0</v>
      </c>
      <c r="T54" s="18">
        <f>VLOOKUP($D54,'Week 9'!$A$2:$AH$120,2,FALSE)</f>
        <v>0</v>
      </c>
      <c r="U54" s="18">
        <f>VLOOKUP($D54,'Week 9'!$A$2:$AH$120,2,FALSE)</f>
        <v>0</v>
      </c>
      <c r="V54" s="18">
        <f>VLOOKUP($D54,'Week 9'!$A$2:$AH$120,2,FALSE)</f>
        <v>0</v>
      </c>
      <c r="W54" s="18">
        <f>VLOOKUP($D54,'Week 9'!$A$2:$AH$120,2,FALSE)</f>
        <v>0</v>
      </c>
      <c r="X54" s="18">
        <f>VLOOKUP($D54,'Week 13'!$A$2:$AH$120,2,FALSE)</f>
        <v>0</v>
      </c>
      <c r="Y54" s="18">
        <f>VLOOKUP($D54,'Week 14'!$A$2:$AH$120,2,FALSE)</f>
        <v>0</v>
      </c>
      <c r="Z54" s="18">
        <f>VLOOKUP($D54,'Week 15'!$A$2:$AH$120,2,FALSE)</f>
        <v>0</v>
      </c>
      <c r="AA54" s="18">
        <f>VLOOKUP($D54,'Week 16'!$A$2:$AH$120,2,FALSE)</f>
        <v>0</v>
      </c>
      <c r="AB54" s="18">
        <f>VLOOKUP($D54,'Week 17'!$A$2:$AH$120,2,FALSE)</f>
        <v>0</v>
      </c>
      <c r="AC54" s="18">
        <f>VLOOKUP($D54,'Week 18'!$A$2:$AH$120,2,FALSE)</f>
        <v>0</v>
      </c>
      <c r="AD54" s="18">
        <f>VLOOKUP($D54,'Week 19'!$A$2:$AH$120,2,FALSE)</f>
        <v>0</v>
      </c>
      <c r="AE54" s="18">
        <f>VLOOKUP($D54,'Week 20'!$A$2:$AH$120,2,FALSE)</f>
        <v>0</v>
      </c>
      <c r="AF54" s="18">
        <f>VLOOKUP($D54,'Week 21'!$A$2:$AH$120,2,FALSE)</f>
        <v>0</v>
      </c>
      <c r="AG54" s="18">
        <f>VLOOKUP($D54,'Week 22'!$A$2:$AH$120,2,FALSE)</f>
        <v>0</v>
      </c>
      <c r="AH54" s="18">
        <f>VLOOKUP($D54,'Week 23'!$A$2:$AH$120,2,FALSE)</f>
        <v>0</v>
      </c>
      <c r="AI54" s="18">
        <f>VLOOKUP($D54,'Week 24'!$A$2:$AH$120,2,FALSE)</f>
        <v>0</v>
      </c>
      <c r="AJ54" s="18">
        <f>VLOOKUP($D54,'Week 25'!$A$2:$AH$120,2,FALSE)</f>
        <v>0</v>
      </c>
      <c r="AK54" s="18">
        <f>VLOOKUP($D54,'Week 26'!$A$2:$AH$120,2,FALSE)</f>
        <v>0</v>
      </c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</row>
    <row r="55" spans="1:52" ht="15.75" customHeight="1">
      <c r="A55" s="185"/>
      <c r="B55" s="3" t="s">
        <v>57</v>
      </c>
      <c r="C55" s="185"/>
      <c r="D55" s="3" t="s">
        <v>970</v>
      </c>
      <c r="E55" s="3">
        <v>20</v>
      </c>
      <c r="F55" s="15">
        <v>1</v>
      </c>
      <c r="G55" s="16">
        <v>2</v>
      </c>
      <c r="H55" s="3">
        <v>4</v>
      </c>
      <c r="I55" s="17">
        <f t="shared" si="4"/>
        <v>0</v>
      </c>
      <c r="J55" s="17">
        <f t="shared" si="5"/>
        <v>0</v>
      </c>
      <c r="K55" s="17">
        <f t="shared" si="3"/>
        <v>0</v>
      </c>
      <c r="L55" s="18" t="e">
        <f>VLOOKUP($D55,'Week 1'!$A$2:$AD$120,2,FALSE)</f>
        <v>#N/A</v>
      </c>
      <c r="M55" s="18" t="e">
        <f>VLOOKUP($D55,'Week 2'!$A$2:$AD$120,2,FALSE)</f>
        <v>#N/A</v>
      </c>
      <c r="N55" s="18" t="e">
        <f>VLOOKUP($D55,'Week 3'!$A$2:$AH$119,2,FALSE)</f>
        <v>#N/A</v>
      </c>
      <c r="O55" s="18" t="e">
        <f>VLOOKUP($D55,'Week 4'!$A$2:$AH$122,2,FALSE)</f>
        <v>#N/A</v>
      </c>
      <c r="P55" s="18" t="e">
        <f>VLOOKUP($D55,'Week 5'!$A$2:$AG$120,2,FALSE)</f>
        <v>#N/A</v>
      </c>
      <c r="Q55" s="18" t="e">
        <f>VLOOKUP($D55,'week 6'!$A$2:$AH$120,2,FALSE)</f>
        <v>#N/A</v>
      </c>
      <c r="R55" s="18" t="e">
        <f>VLOOKUP($D55,'Week 7'!$A$2:$AH$120,2,FALSE)</f>
        <v>#N/A</v>
      </c>
      <c r="S55" s="18" t="e">
        <f>VLOOKUP($D55,'Week 8'!$A$2:$AH$120,2,FALSE)</f>
        <v>#N/A</v>
      </c>
      <c r="T55" s="18" t="e">
        <f>VLOOKUP($D55,'Week 9'!$A$2:$AH$120,2,FALSE)</f>
        <v>#N/A</v>
      </c>
      <c r="U55" s="18" t="e">
        <f>VLOOKUP($D55,'Week 9'!$A$2:$AH$120,2,FALSE)</f>
        <v>#N/A</v>
      </c>
      <c r="V55" s="18" t="e">
        <f>VLOOKUP($D55,'Week 9'!$A$2:$AH$120,2,FALSE)</f>
        <v>#N/A</v>
      </c>
      <c r="W55" s="18" t="e">
        <f>VLOOKUP($D55,'Week 9'!$A$2:$AH$120,2,FALSE)</f>
        <v>#N/A</v>
      </c>
      <c r="X55" s="18" t="e">
        <f>VLOOKUP($D55,'Week 13'!$A$2:$AH$120,2,FALSE)</f>
        <v>#N/A</v>
      </c>
      <c r="Y55" s="18" t="e">
        <f>VLOOKUP($D55,'Week 14'!$A$2:$AH$120,2,FALSE)</f>
        <v>#N/A</v>
      </c>
      <c r="Z55" s="18" t="e">
        <f>VLOOKUP($D55,'Week 15'!$A$2:$AH$120,2,FALSE)</f>
        <v>#N/A</v>
      </c>
      <c r="AA55" s="18" t="e">
        <f>VLOOKUP($D55,'Week 16'!$A$2:$AH$120,2,FALSE)</f>
        <v>#N/A</v>
      </c>
      <c r="AB55" s="18" t="e">
        <f>VLOOKUP($D55,'Week 17'!$A$2:$AH$120,2,FALSE)</f>
        <v>#N/A</v>
      </c>
      <c r="AC55" s="18" t="e">
        <f>VLOOKUP($D55,'Week 18'!$A$2:$AH$120,2,FALSE)</f>
        <v>#N/A</v>
      </c>
      <c r="AD55" s="18" t="e">
        <f>VLOOKUP($D55,'Week 19'!$A$2:$AH$120,2,FALSE)</f>
        <v>#N/A</v>
      </c>
      <c r="AE55" s="18" t="e">
        <f>VLOOKUP($D55,'Week 20'!$A$2:$AH$120,2,FALSE)</f>
        <v>#N/A</v>
      </c>
      <c r="AF55" s="18" t="e">
        <f>VLOOKUP($D55,'Week 21'!$A$2:$AH$120,2,FALSE)</f>
        <v>#N/A</v>
      </c>
      <c r="AG55" s="18" t="e">
        <f>VLOOKUP($D55,'Week 22'!$A$2:$AH$120,2,FALSE)</f>
        <v>#N/A</v>
      </c>
      <c r="AH55" s="18" t="e">
        <f>VLOOKUP($D55,'Week 23'!$A$2:$AH$120,2,FALSE)</f>
        <v>#N/A</v>
      </c>
      <c r="AI55" s="18" t="e">
        <f>VLOOKUP($D55,'Week 24'!$A$2:$AH$120,2,FALSE)</f>
        <v>#N/A</v>
      </c>
      <c r="AJ55" s="18" t="e">
        <f>VLOOKUP($D55,'Week 25'!$A$2:$AH$120,2,FALSE)</f>
        <v>#N/A</v>
      </c>
      <c r="AK55" s="18" t="e">
        <f>VLOOKUP($D55,'Week 26'!$A$2:$AH$120,2,FALSE)</f>
        <v>#N/A</v>
      </c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</row>
    <row r="56" spans="1:52" ht="15.75" customHeight="1">
      <c r="A56" s="188">
        <v>43345</v>
      </c>
      <c r="B56" s="186" t="s">
        <v>57</v>
      </c>
      <c r="C56" s="189" t="str">
        <f>HYPERLINK("https://www.digitalauthority.me/insights/online-reputation-management-for-doctors-guide-02-09-2018","11 online reputation management techniques for doctors (the definitive guide)
")</f>
        <v>11 online reputation management techniques for doctors (the definitive guide)_x000D_</v>
      </c>
      <c r="D56" s="3" t="s">
        <v>123</v>
      </c>
      <c r="E56" s="3">
        <v>60</v>
      </c>
      <c r="F56" s="15">
        <v>1</v>
      </c>
      <c r="G56" s="16">
        <v>12</v>
      </c>
      <c r="H56" s="3">
        <v>24</v>
      </c>
      <c r="I56" s="17">
        <f t="shared" si="4"/>
        <v>4.1666666666666664E-2</v>
      </c>
      <c r="J56" s="17">
        <f t="shared" si="5"/>
        <v>8.3333333333333329E-2</v>
      </c>
      <c r="K56" s="17">
        <f t="shared" si="3"/>
        <v>1</v>
      </c>
      <c r="L56" s="18" t="e">
        <f>VLOOKUP($D56,'Week 1'!$A$2:$AD$120,2,FALSE)</f>
        <v>#N/A</v>
      </c>
      <c r="M56" s="18">
        <f>VLOOKUP($D56,'Week 2'!$A$2:$AD$120,2,FALSE)</f>
        <v>1</v>
      </c>
      <c r="N56" s="18">
        <f>VLOOKUP($D56,'Week 3'!$A$2:$AH$119,2,FALSE)</f>
        <v>0</v>
      </c>
      <c r="O56" s="18">
        <f>VLOOKUP($D56,'Week 4'!$A$2:$AH$122,2,FALSE)</f>
        <v>0</v>
      </c>
      <c r="P56" s="18">
        <f>VLOOKUP($D56,'Week 5'!$A$2:$AG$120,2,FALSE)</f>
        <v>0</v>
      </c>
      <c r="Q56" s="18">
        <f>VLOOKUP($D56,'week 6'!$A$2:$AH$120,2,FALSE)</f>
        <v>0</v>
      </c>
      <c r="R56" s="18">
        <f>VLOOKUP($D56,'Week 7'!$A$2:$AH$120,2,FALSE)</f>
        <v>0</v>
      </c>
      <c r="S56" s="18">
        <f>VLOOKUP($D56,'Week 8'!$A$2:$AH$120,2,FALSE)</f>
        <v>0</v>
      </c>
      <c r="T56" s="18">
        <f>VLOOKUP($D56,'Week 9'!$A$2:$AH$120,2,FALSE)</f>
        <v>0</v>
      </c>
      <c r="U56" s="18">
        <f>VLOOKUP($D56,'Week 9'!$A$2:$AH$120,2,FALSE)</f>
        <v>0</v>
      </c>
      <c r="V56" s="18">
        <f>VLOOKUP($D56,'Week 9'!$A$2:$AH$120,2,FALSE)</f>
        <v>0</v>
      </c>
      <c r="W56" s="18">
        <f>VLOOKUP($D56,'Week 9'!$A$2:$AH$120,2,FALSE)</f>
        <v>0</v>
      </c>
      <c r="X56" s="18">
        <f>VLOOKUP($D56,'Week 13'!$A$2:$AH$120,2,FALSE)</f>
        <v>0</v>
      </c>
      <c r="Y56" s="18">
        <f>VLOOKUP($D56,'Week 14'!$A$2:$AH$120,2,FALSE)</f>
        <v>0</v>
      </c>
      <c r="Z56" s="18">
        <f>VLOOKUP($D56,'Week 15'!$A$2:$AH$120,2,FALSE)</f>
        <v>0</v>
      </c>
      <c r="AA56" s="18">
        <f>VLOOKUP($D56,'Week 16'!$A$2:$AH$120,2,FALSE)</f>
        <v>0</v>
      </c>
      <c r="AB56" s="18">
        <f>VLOOKUP($D56,'Week 17'!$A$2:$AH$120,2,FALSE)</f>
        <v>0</v>
      </c>
      <c r="AC56" s="18">
        <f>VLOOKUP($D56,'Week 18'!$A$2:$AH$120,2,FALSE)</f>
        <v>0</v>
      </c>
      <c r="AD56" s="18">
        <f>VLOOKUP($D56,'Week 19'!$A$2:$AH$120,2,FALSE)</f>
        <v>0</v>
      </c>
      <c r="AE56" s="18">
        <f>VLOOKUP($D56,'Week 20'!$A$2:$AH$120,2,FALSE)</f>
        <v>0</v>
      </c>
      <c r="AF56" s="18">
        <f>VLOOKUP($D56,'Week 21'!$A$2:$AH$120,2,FALSE)</f>
        <v>0</v>
      </c>
      <c r="AG56" s="18">
        <f>VLOOKUP($D56,'Week 22'!$A$2:$AH$120,2,FALSE)</f>
        <v>0</v>
      </c>
      <c r="AH56" s="18">
        <f>VLOOKUP($D56,'Week 23'!$A$2:$AH$120,2,FALSE)</f>
        <v>0</v>
      </c>
      <c r="AI56" s="18">
        <f>VLOOKUP($D56,'Week 24'!$A$2:$AH$120,2,FALSE)</f>
        <v>0</v>
      </c>
      <c r="AJ56" s="18">
        <f>VLOOKUP($D56,'Week 25'!$A$2:$AH$120,2,FALSE)</f>
        <v>0</v>
      </c>
      <c r="AK56" s="18">
        <f>VLOOKUP($D56,'Week 26'!$A$2:$AH$120,2,FALSE)</f>
        <v>0</v>
      </c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</row>
    <row r="57" spans="1:52" ht="15.75" customHeight="1">
      <c r="A57" s="185"/>
      <c r="B57" s="185"/>
      <c r="C57" s="185"/>
      <c r="D57" s="3" t="s">
        <v>122</v>
      </c>
      <c r="E57" s="3">
        <v>60</v>
      </c>
      <c r="F57" s="15">
        <v>1</v>
      </c>
      <c r="G57" s="16">
        <v>11</v>
      </c>
      <c r="H57" s="3">
        <v>22</v>
      </c>
      <c r="I57" s="17">
        <f t="shared" si="4"/>
        <v>0.5</v>
      </c>
      <c r="J57" s="17">
        <f t="shared" si="5"/>
        <v>1</v>
      </c>
      <c r="K57" s="17">
        <f t="shared" si="3"/>
        <v>11</v>
      </c>
      <c r="L57" s="18">
        <f>VLOOKUP($D57,'Week 1'!$A$2:$AD$120,2,FALSE)</f>
        <v>3</v>
      </c>
      <c r="M57" s="18">
        <f>VLOOKUP($D57,'Week 2'!$A$2:$AD$120,2,FALSE)</f>
        <v>0</v>
      </c>
      <c r="N57" s="18">
        <f>VLOOKUP($D57,'Week 3'!$A$2:$AH$119,2,FALSE)</f>
        <v>2</v>
      </c>
      <c r="O57" s="18">
        <f>VLOOKUP($D57,'Week 4'!$A$2:$AH$122,2,FALSE)</f>
        <v>1</v>
      </c>
      <c r="P57" s="18">
        <f>VLOOKUP($D57,'Week 5'!$A$2:$AG$120,2,FALSE)</f>
        <v>1</v>
      </c>
      <c r="Q57" s="18">
        <f>VLOOKUP($D57,'week 6'!$A$2:$AH$120,2,FALSE)</f>
        <v>3</v>
      </c>
      <c r="R57" s="18">
        <f>VLOOKUP($D57,'Week 7'!$A$2:$AH$120,2,FALSE)</f>
        <v>0</v>
      </c>
      <c r="S57" s="18">
        <f>VLOOKUP($D57,'Week 8'!$A$2:$AH$120,2,FALSE)</f>
        <v>0</v>
      </c>
      <c r="T57" s="18">
        <f>VLOOKUP($D57,'Week 9'!$A$2:$AH$120,2,FALSE)</f>
        <v>0</v>
      </c>
      <c r="U57" s="18">
        <f>VLOOKUP($D57,'Week 9'!$A$2:$AH$120,2,FALSE)</f>
        <v>0</v>
      </c>
      <c r="V57" s="18">
        <f>VLOOKUP($D57,'Week 9'!$A$2:$AH$120,2,FALSE)</f>
        <v>0</v>
      </c>
      <c r="W57" s="18">
        <f>VLOOKUP($D57,'Week 9'!$A$2:$AH$120,2,FALSE)</f>
        <v>0</v>
      </c>
      <c r="X57" s="18">
        <f>VLOOKUP($D57,'Week 13'!$A$2:$AH$120,2,FALSE)</f>
        <v>0</v>
      </c>
      <c r="Y57" s="18">
        <f>VLOOKUP($D57,'Week 14'!$A$2:$AH$120,2,FALSE)</f>
        <v>0</v>
      </c>
      <c r="Z57" s="18">
        <f>VLOOKUP($D57,'Week 15'!$A$2:$AH$120,2,FALSE)</f>
        <v>0</v>
      </c>
      <c r="AA57" s="18">
        <f>VLOOKUP($D57,'Week 16'!$A$2:$AH$120,2,FALSE)</f>
        <v>1</v>
      </c>
      <c r="AB57" s="18">
        <f>VLOOKUP($D57,'Week 17'!$A$2:$AH$120,2,FALSE)</f>
        <v>0</v>
      </c>
      <c r="AC57" s="18">
        <f>VLOOKUP($D57,'Week 18'!$A$2:$AH$120,2,FALSE)</f>
        <v>0</v>
      </c>
      <c r="AD57" s="18">
        <f>VLOOKUP($D57,'Week 19'!$A$2:$AH$120,2,FALSE)</f>
        <v>0</v>
      </c>
      <c r="AE57" s="18">
        <f>VLOOKUP($D57,'Week 20'!$A$2:$AH$120,2,FALSE)</f>
        <v>0</v>
      </c>
      <c r="AF57" s="18">
        <f>VLOOKUP($D57,'Week 21'!$A$2:$AH$120,2,FALSE)</f>
        <v>0</v>
      </c>
      <c r="AG57" s="18">
        <f>VLOOKUP($D57,'Week 22'!$A$2:$AH$120,2,FALSE)</f>
        <v>0</v>
      </c>
      <c r="AH57" s="18">
        <f>VLOOKUP($D57,'Week 23'!$A$2:$AH$120,2,FALSE)</f>
        <v>0</v>
      </c>
      <c r="AI57" s="18">
        <f>VLOOKUP($D57,'Week 24'!$A$2:$AH$120,2,FALSE)</f>
        <v>0</v>
      </c>
      <c r="AJ57" s="18">
        <f>VLOOKUP($D57,'Week 25'!$A$2:$AH$120,2,FALSE)</f>
        <v>0</v>
      </c>
      <c r="AK57" s="18">
        <f>VLOOKUP($D57,'Week 26'!$A$2:$AH$120,2,FALSE)</f>
        <v>0</v>
      </c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</row>
    <row r="58" spans="1:52" ht="15.75" customHeight="1">
      <c r="A58" s="185"/>
      <c r="B58" s="185"/>
      <c r="C58" s="185"/>
      <c r="D58" s="3" t="s">
        <v>1326</v>
      </c>
      <c r="E58" s="3">
        <v>90</v>
      </c>
      <c r="F58" s="15">
        <v>1</v>
      </c>
      <c r="G58" s="16">
        <v>3</v>
      </c>
      <c r="H58" s="3">
        <v>6</v>
      </c>
      <c r="I58" s="17">
        <f t="shared" si="4"/>
        <v>0</v>
      </c>
      <c r="J58" s="17">
        <f t="shared" si="5"/>
        <v>0</v>
      </c>
      <c r="K58" s="17">
        <f t="shared" si="3"/>
        <v>0</v>
      </c>
      <c r="L58" s="18" t="e">
        <f>VLOOKUP($D58,'Week 1'!$A$2:$AD$120,2,FALSE)</f>
        <v>#N/A</v>
      </c>
      <c r="M58" s="18" t="e">
        <f>VLOOKUP($D58,'Week 2'!$A$2:$AD$120,2,FALSE)</f>
        <v>#N/A</v>
      </c>
      <c r="N58" s="18" t="e">
        <f>VLOOKUP($D58,'Week 3'!$A$2:$AH$119,2,FALSE)</f>
        <v>#N/A</v>
      </c>
      <c r="O58" s="18" t="e">
        <f>VLOOKUP($D58,'Week 4'!$A$2:$AH$122,2,FALSE)</f>
        <v>#N/A</v>
      </c>
      <c r="P58" s="18" t="e">
        <f>VLOOKUP($D58,'Week 5'!$A$2:$AG$120,2,FALSE)</f>
        <v>#N/A</v>
      </c>
      <c r="Q58" s="18" t="e">
        <f>VLOOKUP($D58,'week 6'!$A$2:$AH$120,2,FALSE)</f>
        <v>#N/A</v>
      </c>
      <c r="R58" s="18" t="e">
        <f>VLOOKUP($D58,'Week 7'!$A$2:$AH$120,2,FALSE)</f>
        <v>#N/A</v>
      </c>
      <c r="S58" s="18" t="e">
        <f>VLOOKUP($D58,'Week 8'!$A$2:$AH$120,2,FALSE)</f>
        <v>#N/A</v>
      </c>
      <c r="T58" s="18" t="e">
        <f>VLOOKUP($D58,'Week 9'!$A$2:$AH$120,2,FALSE)</f>
        <v>#N/A</v>
      </c>
      <c r="U58" s="18" t="e">
        <f>VLOOKUP($D58,'Week 9'!$A$2:$AH$120,2,FALSE)</f>
        <v>#N/A</v>
      </c>
      <c r="V58" s="18" t="e">
        <f>VLOOKUP($D58,'Week 9'!$A$2:$AH$120,2,FALSE)</f>
        <v>#N/A</v>
      </c>
      <c r="W58" s="18" t="e">
        <f>VLOOKUP($D58,'Week 9'!$A$2:$AH$120,2,FALSE)</f>
        <v>#N/A</v>
      </c>
      <c r="X58" s="18" t="e">
        <f>VLOOKUP($D58,'Week 13'!$A$2:$AH$120,2,FALSE)</f>
        <v>#N/A</v>
      </c>
      <c r="Y58" s="18" t="e">
        <f>VLOOKUP($D58,'Week 14'!$A$2:$AH$120,2,FALSE)</f>
        <v>#N/A</v>
      </c>
      <c r="Z58" s="18" t="e">
        <f>VLOOKUP($D58,'Week 15'!$A$2:$AH$120,2,FALSE)</f>
        <v>#N/A</v>
      </c>
      <c r="AA58" s="18" t="e">
        <f>VLOOKUP($D58,'Week 16'!$A$2:$AH$120,2,FALSE)</f>
        <v>#N/A</v>
      </c>
      <c r="AB58" s="18" t="e">
        <f>VLOOKUP($D58,'Week 17'!$A$2:$AH$120,2,FALSE)</f>
        <v>#N/A</v>
      </c>
      <c r="AC58" s="18" t="e">
        <f>VLOOKUP($D58,'Week 18'!$A$2:$AH$120,2,FALSE)</f>
        <v>#N/A</v>
      </c>
      <c r="AD58" s="18" t="e">
        <f>VLOOKUP($D58,'Week 19'!$A$2:$AH$120,2,FALSE)</f>
        <v>#N/A</v>
      </c>
      <c r="AE58" s="18" t="e">
        <f>VLOOKUP($D58,'Week 20'!$A$2:$AH$120,2,FALSE)</f>
        <v>#N/A</v>
      </c>
      <c r="AF58" s="18" t="e">
        <f>VLOOKUP($D58,'Week 21'!$A$2:$AH$120,2,FALSE)</f>
        <v>#N/A</v>
      </c>
      <c r="AG58" s="18" t="e">
        <f>VLOOKUP($D58,'Week 22'!$A$2:$AH$120,2,FALSE)</f>
        <v>#N/A</v>
      </c>
      <c r="AH58" s="18" t="e">
        <f>VLOOKUP($D58,'Week 23'!$A$2:$AH$120,2,FALSE)</f>
        <v>#N/A</v>
      </c>
      <c r="AI58" s="18" t="e">
        <f>VLOOKUP($D58,'Week 24'!$A$2:$AH$120,2,FALSE)</f>
        <v>#N/A</v>
      </c>
      <c r="AJ58" s="18" t="e">
        <f>VLOOKUP($D58,'Week 25'!$A$2:$AH$120,2,FALSE)</f>
        <v>#N/A</v>
      </c>
      <c r="AK58" s="18" t="e">
        <f>VLOOKUP($D58,'Week 26'!$A$2:$AH$120,2,FALSE)</f>
        <v>#N/A</v>
      </c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</row>
    <row r="59" spans="1:52" ht="15.75" customHeight="1">
      <c r="A59" s="185"/>
      <c r="B59" s="185"/>
      <c r="C59" s="185"/>
      <c r="D59" s="3" t="s">
        <v>89</v>
      </c>
      <c r="E59" s="3">
        <v>60</v>
      </c>
      <c r="F59" s="15">
        <v>1</v>
      </c>
      <c r="G59" s="16">
        <v>8</v>
      </c>
      <c r="H59" s="3">
        <v>10</v>
      </c>
      <c r="I59" s="17">
        <f t="shared" si="4"/>
        <v>0.2</v>
      </c>
      <c r="J59" s="17">
        <f t="shared" si="5"/>
        <v>0.25</v>
      </c>
      <c r="K59" s="17">
        <f t="shared" si="3"/>
        <v>2</v>
      </c>
      <c r="L59" s="18" t="e">
        <f>VLOOKUP($D59,'Week 1'!$A$2:$AD$120,2,FALSE)</f>
        <v>#N/A</v>
      </c>
      <c r="M59" s="18">
        <f>VLOOKUP($D59,'Week 2'!$A$2:$AD$120,2,FALSE)</f>
        <v>1</v>
      </c>
      <c r="N59" s="18">
        <f>VLOOKUP($D59,'Week 3'!$A$2:$AH$119,2,FALSE)</f>
        <v>0</v>
      </c>
      <c r="O59" s="18">
        <f>VLOOKUP($D59,'Week 4'!$A$2:$AH$122,2,FALSE)</f>
        <v>0</v>
      </c>
      <c r="P59" s="18">
        <f>VLOOKUP($D59,'Week 5'!$A$2:$AG$120,2,FALSE)</f>
        <v>0</v>
      </c>
      <c r="Q59" s="18">
        <f>VLOOKUP($D59,'week 6'!$A$2:$AH$120,2,FALSE)</f>
        <v>0</v>
      </c>
      <c r="R59" s="18">
        <f>VLOOKUP($D59,'Week 7'!$A$2:$AH$120,2,FALSE)</f>
        <v>0</v>
      </c>
      <c r="S59" s="18">
        <f>VLOOKUP($D59,'Week 8'!$A$2:$AH$120,2,FALSE)</f>
        <v>1</v>
      </c>
      <c r="T59" s="18">
        <f>VLOOKUP($D59,'Week 9'!$A$2:$AH$120,2,FALSE)</f>
        <v>0</v>
      </c>
      <c r="U59" s="18">
        <f>VLOOKUP($D59,'Week 9'!$A$2:$AH$120,2,FALSE)</f>
        <v>0</v>
      </c>
      <c r="V59" s="18">
        <f>VLOOKUP($D59,'Week 9'!$A$2:$AH$120,2,FALSE)</f>
        <v>0</v>
      </c>
      <c r="W59" s="18">
        <f>VLOOKUP($D59,'Week 9'!$A$2:$AH$120,2,FALSE)</f>
        <v>0</v>
      </c>
      <c r="X59" s="18">
        <f>VLOOKUP($D59,'Week 13'!$A$2:$AH$120,2,FALSE)</f>
        <v>0</v>
      </c>
      <c r="Y59" s="18">
        <f>VLOOKUP($D59,'Week 14'!$A$2:$AH$120,2,FALSE)</f>
        <v>0</v>
      </c>
      <c r="Z59" s="18">
        <f>VLOOKUP($D59,'Week 15'!$A$2:$AH$120,2,FALSE)</f>
        <v>0</v>
      </c>
      <c r="AA59" s="18">
        <f>VLOOKUP($D59,'Week 16'!$A$2:$AH$120,2,FALSE)</f>
        <v>0</v>
      </c>
      <c r="AB59" s="18">
        <f>VLOOKUP($D59,'Week 17'!$A$2:$AH$120,2,FALSE)</f>
        <v>0</v>
      </c>
      <c r="AC59" s="18">
        <f>VLOOKUP($D59,'Week 18'!$A$2:$AH$120,2,FALSE)</f>
        <v>0</v>
      </c>
      <c r="AD59" s="18">
        <f>VLOOKUP($D59,'Week 19'!$A$2:$AH$120,2,FALSE)</f>
        <v>0</v>
      </c>
      <c r="AE59" s="18">
        <f>VLOOKUP($D59,'Week 20'!$A$2:$AH$120,2,FALSE)</f>
        <v>0</v>
      </c>
      <c r="AF59" s="18">
        <f>VLOOKUP($D59,'Week 21'!$A$2:$AH$120,2,FALSE)</f>
        <v>0</v>
      </c>
      <c r="AG59" s="18">
        <f>VLOOKUP($D59,'Week 22'!$A$2:$AH$120,2,FALSE)</f>
        <v>0</v>
      </c>
      <c r="AH59" s="18">
        <f>VLOOKUP($D59,'Week 23'!$A$2:$AH$120,2,FALSE)</f>
        <v>0</v>
      </c>
      <c r="AI59" s="18">
        <f>VLOOKUP($D59,'Week 24'!$A$2:$AH$120,2,FALSE)</f>
        <v>0</v>
      </c>
      <c r="AJ59" s="18">
        <f>VLOOKUP($D59,'Week 25'!$A$2:$AH$120,2,FALSE)</f>
        <v>0</v>
      </c>
      <c r="AK59" s="18">
        <f>VLOOKUP($D59,'Week 26'!$A$2:$AH$120,2,FALSE)</f>
        <v>0</v>
      </c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</row>
    <row r="60" spans="1:52" ht="15.75" customHeight="1">
      <c r="A60" s="185"/>
      <c r="B60" s="185"/>
      <c r="C60" s="185"/>
      <c r="D60" s="3" t="s">
        <v>1353</v>
      </c>
      <c r="E60" s="3">
        <v>40</v>
      </c>
      <c r="F60" s="16">
        <v>1</v>
      </c>
      <c r="G60" s="16">
        <v>2</v>
      </c>
      <c r="H60" s="3">
        <v>4</v>
      </c>
      <c r="I60" s="17">
        <f t="shared" si="4"/>
        <v>0</v>
      </c>
      <c r="J60" s="17">
        <f t="shared" si="5"/>
        <v>0</v>
      </c>
      <c r="K60" s="17">
        <f t="shared" si="3"/>
        <v>0</v>
      </c>
      <c r="L60" s="18" t="e">
        <f>VLOOKUP($D60,'Week 1'!$A$2:$AD$120,2,FALSE)</f>
        <v>#N/A</v>
      </c>
      <c r="M60" s="18" t="e">
        <f>VLOOKUP($D60,'Week 2'!$A$2:$AD$120,2,FALSE)</f>
        <v>#N/A</v>
      </c>
      <c r="N60" s="18" t="e">
        <f>VLOOKUP($D60,'Week 3'!$A$2:$AH$119,2,FALSE)</f>
        <v>#N/A</v>
      </c>
      <c r="O60" s="18" t="e">
        <f>VLOOKUP($D60,'Week 4'!$A$2:$AH$122,2,FALSE)</f>
        <v>#N/A</v>
      </c>
      <c r="P60" s="18" t="e">
        <f>VLOOKUP($D60,'Week 5'!$A$2:$AG$120,2,FALSE)</f>
        <v>#N/A</v>
      </c>
      <c r="Q60" s="18" t="e">
        <f>VLOOKUP($D60,'week 6'!$A$2:$AH$120,2,FALSE)</f>
        <v>#N/A</v>
      </c>
      <c r="R60" s="18" t="e">
        <f>VLOOKUP($D60,'Week 7'!$A$2:$AH$120,2,FALSE)</f>
        <v>#N/A</v>
      </c>
      <c r="S60" s="18" t="e">
        <f>VLOOKUP($D60,'Week 8'!$A$2:$AH$120,2,FALSE)</f>
        <v>#N/A</v>
      </c>
      <c r="T60" s="18" t="e">
        <f>VLOOKUP($D60,'Week 9'!$A$2:$AH$120,2,FALSE)</f>
        <v>#N/A</v>
      </c>
      <c r="U60" s="18" t="e">
        <f>VLOOKUP($D60,'Week 9'!$A$2:$AH$120,2,FALSE)</f>
        <v>#N/A</v>
      </c>
      <c r="V60" s="18" t="e">
        <f>VLOOKUP($D60,'Week 9'!$A$2:$AH$120,2,FALSE)</f>
        <v>#N/A</v>
      </c>
      <c r="W60" s="18" t="e">
        <f>VLOOKUP($D60,'Week 9'!$A$2:$AH$120,2,FALSE)</f>
        <v>#N/A</v>
      </c>
      <c r="X60" s="18" t="e">
        <f>VLOOKUP($D60,'Week 13'!$A$2:$AH$120,2,FALSE)</f>
        <v>#N/A</v>
      </c>
      <c r="Y60" s="18" t="e">
        <f>VLOOKUP($D60,'Week 14'!$A$2:$AH$120,2,FALSE)</f>
        <v>#N/A</v>
      </c>
      <c r="Z60" s="18" t="e">
        <f>VLOOKUP($D60,'Week 15'!$A$2:$AH$120,2,FALSE)</f>
        <v>#N/A</v>
      </c>
      <c r="AA60" s="18" t="e">
        <f>VLOOKUP($D60,'Week 16'!$A$2:$AH$120,2,FALSE)</f>
        <v>#N/A</v>
      </c>
      <c r="AB60" s="18" t="e">
        <f>VLOOKUP($D60,'Week 17'!$A$2:$AH$120,2,FALSE)</f>
        <v>#N/A</v>
      </c>
      <c r="AC60" s="18" t="e">
        <f>VLOOKUP($D60,'Week 18'!$A$2:$AH$120,2,FALSE)</f>
        <v>#N/A</v>
      </c>
      <c r="AD60" s="18" t="e">
        <f>VLOOKUP($D60,'Week 19'!$A$2:$AH$120,2,FALSE)</f>
        <v>#N/A</v>
      </c>
      <c r="AE60" s="18" t="e">
        <f>VLOOKUP($D60,'Week 20'!$A$2:$AH$120,2,FALSE)</f>
        <v>#N/A</v>
      </c>
      <c r="AF60" s="18" t="e">
        <f>VLOOKUP($D60,'Week 21'!$A$2:$AH$120,2,FALSE)</f>
        <v>#N/A</v>
      </c>
      <c r="AG60" s="18" t="e">
        <f>VLOOKUP($D60,'Week 22'!$A$2:$AH$120,2,FALSE)</f>
        <v>#N/A</v>
      </c>
      <c r="AH60" s="18" t="e">
        <f>VLOOKUP($D60,'Week 23'!$A$2:$AH$120,2,FALSE)</f>
        <v>#N/A</v>
      </c>
      <c r="AI60" s="18" t="e">
        <f>VLOOKUP($D60,'Week 24'!$A$2:$AH$120,2,FALSE)</f>
        <v>#N/A</v>
      </c>
      <c r="AJ60" s="18" t="e">
        <f>VLOOKUP($D60,'Week 25'!$A$2:$AH$120,2,FALSE)</f>
        <v>#N/A</v>
      </c>
      <c r="AK60" s="18" t="e">
        <f>VLOOKUP($D60,'Week 26'!$A$2:$AH$120,2,FALSE)</f>
        <v>#N/A</v>
      </c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</row>
    <row r="61" spans="1:52" ht="15.75" customHeight="1">
      <c r="A61" s="145">
        <v>43046</v>
      </c>
      <c r="B61" s="3" t="s">
        <v>57</v>
      </c>
      <c r="C61" s="11" t="str">
        <f>HYPERLINK("https://www.digitalauthority.me/insights/5-secrets-digital-transformation-healthcare-07-11-2017","5 Secrets To the Digital Transformation In Healthcare
")</f>
        <v>5 Secrets To the Digital Transformation In Healthcare_x000D_</v>
      </c>
      <c r="D61" s="3" t="s">
        <v>88</v>
      </c>
      <c r="E61" s="3">
        <v>30</v>
      </c>
      <c r="F61" s="16">
        <v>1</v>
      </c>
      <c r="G61" s="16">
        <v>7</v>
      </c>
      <c r="H61" s="3">
        <v>14</v>
      </c>
      <c r="I61" s="17">
        <f t="shared" si="4"/>
        <v>0.5</v>
      </c>
      <c r="J61" s="17">
        <f t="shared" si="5"/>
        <v>1</v>
      </c>
      <c r="K61" s="17">
        <f t="shared" si="3"/>
        <v>7</v>
      </c>
      <c r="L61" s="18">
        <f>VLOOKUP($D61,'Week 1'!$A$2:$AD$120,2,FALSE)</f>
        <v>1</v>
      </c>
      <c r="M61" s="18">
        <f>VLOOKUP($D61,'Week 2'!$A$2:$AD$123,2,FALSE)</f>
        <v>1</v>
      </c>
      <c r="N61" s="18">
        <f>VLOOKUP($D61,'Week 3'!$A$2:$AH$119,2,FALSE)</f>
        <v>0</v>
      </c>
      <c r="O61" s="18">
        <f>VLOOKUP($D61,'Week 4'!$A$2:$AH$122,2,FALSE)</f>
        <v>0</v>
      </c>
      <c r="P61" s="18">
        <f>VLOOKUP($D61,'Week 5'!$A$2:$AG$120,2,FALSE)</f>
        <v>0</v>
      </c>
      <c r="Q61" s="18">
        <f>VLOOKUP($D61,'week 6'!$A$2:$AH$120,2,FALSE)</f>
        <v>0</v>
      </c>
      <c r="R61" s="18">
        <f>VLOOKUP($D61,'Week 7'!$A$2:$AH$120,2,FALSE)</f>
        <v>0</v>
      </c>
      <c r="S61" s="18">
        <f>VLOOKUP($D61,'Week 8'!$A$2:$AH$120,2,FALSE)</f>
        <v>2</v>
      </c>
      <c r="T61" s="18">
        <f>VLOOKUP($D61,'Week 9'!$A$2:$AH$120,2,FALSE)</f>
        <v>0</v>
      </c>
      <c r="U61" s="18">
        <f>VLOOKUP($D61,'Week 9'!$A$2:$AH$120,2,FALSE)</f>
        <v>0</v>
      </c>
      <c r="V61" s="18">
        <f>VLOOKUP($D61,'Week 9'!$A$2:$AH$120,2,FALSE)</f>
        <v>0</v>
      </c>
      <c r="W61" s="18">
        <f>VLOOKUP($D61,'Week 9'!$A$2:$AH$120,2,FALSE)</f>
        <v>0</v>
      </c>
      <c r="X61" s="18">
        <f>VLOOKUP($D61,'Week 13'!$A$2:$AH$120,2,FALSE)</f>
        <v>2</v>
      </c>
      <c r="Y61" s="18">
        <f>VLOOKUP($D61,'Week 14'!$A$2:$AH$120,2,FALSE)</f>
        <v>1</v>
      </c>
      <c r="Z61" s="18">
        <f>VLOOKUP($D61,'Week 15'!$A$2:$AH$120,2,FALSE)</f>
        <v>0</v>
      </c>
      <c r="AA61" s="18">
        <f>VLOOKUP($D61,'Week 16'!$A$2:$AH$120,2,FALSE)</f>
        <v>0</v>
      </c>
      <c r="AB61" s="18">
        <f>VLOOKUP($D61,'Week 17'!$A$2:$AH$120,2,FALSE)</f>
        <v>0</v>
      </c>
      <c r="AC61" s="18">
        <f>VLOOKUP($D61,'Week 18'!$A$2:$AH$120,2,FALSE)</f>
        <v>0</v>
      </c>
      <c r="AD61" s="18">
        <f>VLOOKUP($D61,'Week 19'!$A$2:$AH$120,2,FALSE)</f>
        <v>0</v>
      </c>
      <c r="AE61" s="18">
        <f>VLOOKUP($D61,'Week 20'!$A$2:$AH$120,2,FALSE)</f>
        <v>0</v>
      </c>
      <c r="AF61" s="18">
        <f>VLOOKUP($D61,'Week 21'!$A$2:$AH$120,2,FALSE)</f>
        <v>0</v>
      </c>
      <c r="AG61" s="18">
        <f>VLOOKUP($D61,'Week 22'!$A$2:$AH$120,2,FALSE)</f>
        <v>0</v>
      </c>
      <c r="AH61" s="18">
        <f>VLOOKUP($D61,'Week 23'!$A$2:$AH$120,2,FALSE)</f>
        <v>0</v>
      </c>
      <c r="AI61" s="18">
        <f>VLOOKUP($D61,'Week 24'!$A$2:$AH$120,2,FALSE)</f>
        <v>0</v>
      </c>
      <c r="AJ61" s="18">
        <f>VLOOKUP($D61,'Week 25'!$A$2:$AH$120,2,FALSE)</f>
        <v>0</v>
      </c>
      <c r="AK61" s="18">
        <f>VLOOKUP($D61,'Week 26'!$A$2:$AH$120,2,FALSE)</f>
        <v>0</v>
      </c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</row>
    <row r="62" spans="1:52" ht="15.75" customHeight="1">
      <c r="A62" s="191">
        <v>43031</v>
      </c>
      <c r="B62" s="186" t="s">
        <v>57</v>
      </c>
      <c r="C62" s="189" t="str">
        <f>HYPERLINK("https://www.digitalauthority.me/insights/user-experience-optimization-ab-multivariate-testing-23-10-2017","User Experience Optimization Through A/B and Multivariate Testing")</f>
        <v>User Experience Optimization Through A/B and Multivariate Testing</v>
      </c>
      <c r="D62" s="3" t="s">
        <v>1400</v>
      </c>
      <c r="E62" s="3">
        <v>37</v>
      </c>
      <c r="F62" s="16">
        <v>33</v>
      </c>
      <c r="G62" s="16">
        <v>30</v>
      </c>
      <c r="H62" s="3">
        <v>60</v>
      </c>
      <c r="I62" s="17" t="b">
        <f t="shared" si="4"/>
        <v>0</v>
      </c>
      <c r="J62" s="17" t="b">
        <f t="shared" si="5"/>
        <v>0</v>
      </c>
      <c r="K62" s="17">
        <f t="shared" si="3"/>
        <v>0</v>
      </c>
      <c r="L62" s="18" t="e">
        <f>VLOOKUP($D62,'Week 1'!$A$2:$AD$120,2,FALSE)</f>
        <v>#N/A</v>
      </c>
      <c r="M62" s="18" t="e">
        <f>VLOOKUP($D62,'Week 2'!$A$2:$AD$120,2,FALSE)</f>
        <v>#N/A</v>
      </c>
      <c r="N62" s="18" t="e">
        <f>VLOOKUP($D62,'Week 3'!$A$2:$AH$119,2,FALSE)</f>
        <v>#N/A</v>
      </c>
      <c r="O62" s="18" t="e">
        <f>VLOOKUP($D62,'Week 4'!$A$2:$AH$122,2,FALSE)</f>
        <v>#N/A</v>
      </c>
      <c r="P62" s="18" t="e">
        <f>VLOOKUP($D62,'Week 5'!$A$2:$AG$120,2,FALSE)</f>
        <v>#N/A</v>
      </c>
      <c r="Q62" s="18" t="e">
        <f>VLOOKUP($D62,'week 6'!$A$2:$AH$120,2,FALSE)</f>
        <v>#N/A</v>
      </c>
      <c r="R62" s="18" t="e">
        <f>VLOOKUP($D62,'Week 7'!$A$2:$AH$120,2,FALSE)</f>
        <v>#N/A</v>
      </c>
      <c r="S62" s="18" t="e">
        <f>VLOOKUP($D62,'Week 8'!$A$2:$AH$120,2,FALSE)</f>
        <v>#N/A</v>
      </c>
      <c r="T62" s="18" t="e">
        <f>VLOOKUP($D62,'Week 9'!$A$2:$AH$120,2,FALSE)</f>
        <v>#N/A</v>
      </c>
      <c r="U62" s="18" t="e">
        <f>VLOOKUP($D62,'Week 9'!$A$2:$AH$120,2,FALSE)</f>
        <v>#N/A</v>
      </c>
      <c r="V62" s="18" t="e">
        <f>VLOOKUP($D62,'Week 9'!$A$2:$AH$120,2,FALSE)</f>
        <v>#N/A</v>
      </c>
      <c r="W62" s="18" t="e">
        <f>VLOOKUP($D62,'Week 9'!$A$2:$AH$120,2,FALSE)</f>
        <v>#N/A</v>
      </c>
      <c r="X62" s="18" t="e">
        <f>VLOOKUP($D62,'Week 13'!$A$2:$AH$120,2,FALSE)</f>
        <v>#N/A</v>
      </c>
      <c r="Y62" s="18" t="e">
        <f>VLOOKUP($D62,'Week 14'!$A$2:$AH$120,2,FALSE)</f>
        <v>#N/A</v>
      </c>
      <c r="Z62" s="18" t="e">
        <f>VLOOKUP($D62,'Week 15'!$A$2:$AH$120,2,FALSE)</f>
        <v>#N/A</v>
      </c>
      <c r="AA62" s="18" t="e">
        <f>VLOOKUP($D62,'Week 16'!$A$2:$AH$120,2,FALSE)</f>
        <v>#N/A</v>
      </c>
      <c r="AB62" s="18" t="e">
        <f>VLOOKUP($D62,'Week 17'!$A$2:$AH$120,2,FALSE)</f>
        <v>#N/A</v>
      </c>
      <c r="AC62" s="18" t="e">
        <f>VLOOKUP($D62,'Week 18'!$A$2:$AH$120,2,FALSE)</f>
        <v>#N/A</v>
      </c>
      <c r="AD62" s="18" t="e">
        <f>VLOOKUP($D62,'Week 19'!$A$2:$AH$120,2,FALSE)</f>
        <v>#N/A</v>
      </c>
      <c r="AE62" s="18" t="e">
        <f>VLOOKUP($D62,'Week 20'!$A$2:$AH$120,2,FALSE)</f>
        <v>#N/A</v>
      </c>
      <c r="AF62" s="18" t="e">
        <f>VLOOKUP($D62,'Week 21'!$A$2:$AH$120,2,FALSE)</f>
        <v>#N/A</v>
      </c>
      <c r="AG62" s="18" t="e">
        <f>VLOOKUP($D62,'Week 22'!$A$2:$AH$120,2,FALSE)</f>
        <v>#N/A</v>
      </c>
      <c r="AH62" s="18" t="e">
        <f>VLOOKUP($D62,'Week 23'!$A$2:$AH$120,2,FALSE)</f>
        <v>#N/A</v>
      </c>
      <c r="AI62" s="18" t="e">
        <f>VLOOKUP($D62,'Week 24'!$A$2:$AH$120,2,FALSE)</f>
        <v>#N/A</v>
      </c>
      <c r="AJ62" s="18" t="e">
        <f>VLOOKUP($D62,'Week 25'!$A$2:$AH$120,2,FALSE)</f>
        <v>#N/A</v>
      </c>
      <c r="AK62" s="18" t="e">
        <f>VLOOKUP($D62,'Week 26'!$A$2:$AH$120,2,FALSE)</f>
        <v>#N/A</v>
      </c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</row>
    <row r="63" spans="1:52" ht="15.75" customHeight="1">
      <c r="A63" s="185"/>
      <c r="B63" s="185"/>
      <c r="C63" s="185"/>
      <c r="D63" s="3" t="s">
        <v>1422</v>
      </c>
      <c r="E63" s="3">
        <v>35</v>
      </c>
      <c r="F63" s="16">
        <v>27</v>
      </c>
      <c r="G63" s="16">
        <v>6</v>
      </c>
      <c r="H63" s="3">
        <v>12</v>
      </c>
      <c r="I63" s="17" t="b">
        <f t="shared" si="4"/>
        <v>0</v>
      </c>
      <c r="J63" s="17" t="b">
        <f t="shared" si="5"/>
        <v>0</v>
      </c>
      <c r="K63" s="17">
        <f t="shared" si="3"/>
        <v>0</v>
      </c>
      <c r="L63" s="18" t="e">
        <f>VLOOKUP($D63,'Week 1'!$A$2:$AD$120,2,FALSE)</f>
        <v>#N/A</v>
      </c>
      <c r="M63" s="18" t="e">
        <f>VLOOKUP($D63,'Week 2'!$A$2:$AD$120,2,FALSE)</f>
        <v>#N/A</v>
      </c>
      <c r="N63" s="18" t="e">
        <f>VLOOKUP($D63,'Week 3'!$A$2:$AH$119,2,FALSE)</f>
        <v>#N/A</v>
      </c>
      <c r="O63" s="18" t="e">
        <f>VLOOKUP($D63,'Week 4'!$A$2:$AH$122,2,FALSE)</f>
        <v>#N/A</v>
      </c>
      <c r="P63" s="18" t="e">
        <f>VLOOKUP($D63,'Week 5'!$A$2:$AG$120,2,FALSE)</f>
        <v>#N/A</v>
      </c>
      <c r="Q63" s="18" t="e">
        <f>VLOOKUP($D63,'week 6'!$A$2:$AH$120,2,FALSE)</f>
        <v>#N/A</v>
      </c>
      <c r="R63" s="18" t="e">
        <f>VLOOKUP($D63,'Week 7'!$A$2:$AH$120,2,FALSE)</f>
        <v>#N/A</v>
      </c>
      <c r="S63" s="18" t="e">
        <f>VLOOKUP($D63,'Week 8'!$A$2:$AH$120,2,FALSE)</f>
        <v>#N/A</v>
      </c>
      <c r="T63" s="18" t="e">
        <f>VLOOKUP($D63,'Week 9'!$A$2:$AH$120,2,FALSE)</f>
        <v>#N/A</v>
      </c>
      <c r="U63" s="18" t="e">
        <f>VLOOKUP($D63,'Week 9'!$A$2:$AH$120,2,FALSE)</f>
        <v>#N/A</v>
      </c>
      <c r="V63" s="18" t="e">
        <f>VLOOKUP($D63,'Week 9'!$A$2:$AH$120,2,FALSE)</f>
        <v>#N/A</v>
      </c>
      <c r="W63" s="18" t="e">
        <f>VLOOKUP($D63,'Week 9'!$A$2:$AH$120,2,FALSE)</f>
        <v>#N/A</v>
      </c>
      <c r="X63" s="18" t="e">
        <f>VLOOKUP($D63,'Week 13'!$A$2:$AH$120,2,FALSE)</f>
        <v>#N/A</v>
      </c>
      <c r="Y63" s="18" t="e">
        <f>VLOOKUP($D63,'Week 14'!$A$2:$AH$120,2,FALSE)</f>
        <v>#N/A</v>
      </c>
      <c r="Z63" s="18" t="e">
        <f>VLOOKUP($D63,'Week 15'!$A$2:$AH$120,2,FALSE)</f>
        <v>#N/A</v>
      </c>
      <c r="AA63" s="18" t="e">
        <f>VLOOKUP($D63,'Week 16'!$A$2:$AH$120,2,FALSE)</f>
        <v>#N/A</v>
      </c>
      <c r="AB63" s="18" t="e">
        <f>VLOOKUP($D63,'Week 17'!$A$2:$AH$120,2,FALSE)</f>
        <v>#N/A</v>
      </c>
      <c r="AC63" s="18" t="e">
        <f>VLOOKUP($D63,'Week 18'!$A$2:$AH$120,2,FALSE)</f>
        <v>#N/A</v>
      </c>
      <c r="AD63" s="18" t="e">
        <f>VLOOKUP($D63,'Week 19'!$A$2:$AH$120,2,FALSE)</f>
        <v>#N/A</v>
      </c>
      <c r="AE63" s="18" t="e">
        <f>VLOOKUP($D63,'Week 20'!$A$2:$AH$120,2,FALSE)</f>
        <v>#N/A</v>
      </c>
      <c r="AF63" s="18" t="e">
        <f>VLOOKUP($D63,'Week 21'!$A$2:$AH$120,2,FALSE)</f>
        <v>#N/A</v>
      </c>
      <c r="AG63" s="18" t="e">
        <f>VLOOKUP($D63,'Week 22'!$A$2:$AH$120,2,FALSE)</f>
        <v>#N/A</v>
      </c>
      <c r="AH63" s="18" t="e">
        <f>VLOOKUP($D63,'Week 23'!$A$2:$AH$120,2,FALSE)</f>
        <v>#N/A</v>
      </c>
      <c r="AI63" s="18" t="e">
        <f>VLOOKUP($D63,'Week 24'!$A$2:$AH$120,2,FALSE)</f>
        <v>#N/A</v>
      </c>
      <c r="AJ63" s="18" t="e">
        <f>VLOOKUP($D63,'Week 25'!$A$2:$AH$120,2,FALSE)</f>
        <v>#N/A</v>
      </c>
      <c r="AK63" s="18" t="e">
        <f>VLOOKUP($D63,'Week 26'!$A$2:$AH$120,2,FALSE)</f>
        <v>#N/A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</row>
    <row r="64" spans="1:52" ht="15.75" customHeight="1">
      <c r="A64" s="185"/>
      <c r="B64" s="185"/>
      <c r="C64" s="185"/>
      <c r="D64" s="3" t="s">
        <v>1439</v>
      </c>
      <c r="E64" s="3">
        <v>46</v>
      </c>
      <c r="F64" s="16">
        <v>34</v>
      </c>
      <c r="G64" s="16">
        <v>20</v>
      </c>
      <c r="H64" s="3">
        <v>40</v>
      </c>
      <c r="I64" s="17" t="b">
        <f t="shared" si="4"/>
        <v>0</v>
      </c>
      <c r="J64" s="17" t="b">
        <f t="shared" si="5"/>
        <v>0</v>
      </c>
      <c r="K64" s="17">
        <f t="shared" si="3"/>
        <v>0</v>
      </c>
      <c r="L64" s="18" t="e">
        <f>VLOOKUP($D64,'Week 1'!$A$2:$AD$120,2,FALSE)</f>
        <v>#N/A</v>
      </c>
      <c r="M64" s="18" t="e">
        <f>VLOOKUP($D64,'Week 2'!$A$2:$AD$120,2,FALSE)</f>
        <v>#N/A</v>
      </c>
      <c r="N64" s="18" t="e">
        <f>VLOOKUP($D64,'Week 3'!$A$2:$AH$119,2,FALSE)</f>
        <v>#N/A</v>
      </c>
      <c r="O64" s="18" t="e">
        <f>VLOOKUP($D64,'Week 4'!$A$2:$AH$122,2,FALSE)</f>
        <v>#N/A</v>
      </c>
      <c r="P64" s="18" t="e">
        <f>VLOOKUP($D64,'Week 5'!$A$2:$AG$120,2,FALSE)</f>
        <v>#N/A</v>
      </c>
      <c r="Q64" s="18" t="e">
        <f>VLOOKUP($D64,'week 6'!$A$2:$AH$120,2,FALSE)</f>
        <v>#N/A</v>
      </c>
      <c r="R64" s="18" t="e">
        <f>VLOOKUP($D64,'Week 7'!$A$2:$AH$120,2,FALSE)</f>
        <v>#N/A</v>
      </c>
      <c r="S64" s="18" t="e">
        <f>VLOOKUP($D64,'Week 8'!$A$2:$AH$120,2,FALSE)</f>
        <v>#N/A</v>
      </c>
      <c r="T64" s="18" t="e">
        <f>VLOOKUP($D64,'Week 9'!$A$2:$AH$120,2,FALSE)</f>
        <v>#N/A</v>
      </c>
      <c r="U64" s="18" t="e">
        <f>VLOOKUP($D64,'Week 9'!$A$2:$AH$120,2,FALSE)</f>
        <v>#N/A</v>
      </c>
      <c r="V64" s="18" t="e">
        <f>VLOOKUP($D64,'Week 9'!$A$2:$AH$120,2,FALSE)</f>
        <v>#N/A</v>
      </c>
      <c r="W64" s="18" t="e">
        <f>VLOOKUP($D64,'Week 9'!$A$2:$AH$120,2,FALSE)</f>
        <v>#N/A</v>
      </c>
      <c r="X64" s="18" t="e">
        <f>VLOOKUP($D64,'Week 13'!$A$2:$AH$120,2,FALSE)</f>
        <v>#N/A</v>
      </c>
      <c r="Y64" s="18" t="e">
        <f>VLOOKUP($D64,'Week 14'!$A$2:$AH$120,2,FALSE)</f>
        <v>#N/A</v>
      </c>
      <c r="Z64" s="18" t="e">
        <f>VLOOKUP($D64,'Week 15'!$A$2:$AH$120,2,FALSE)</f>
        <v>#N/A</v>
      </c>
      <c r="AA64" s="18" t="e">
        <f>VLOOKUP($D64,'Week 16'!$A$2:$AH$120,2,FALSE)</f>
        <v>#N/A</v>
      </c>
      <c r="AB64" s="18" t="e">
        <f>VLOOKUP($D64,'Week 17'!$A$2:$AH$120,2,FALSE)</f>
        <v>#N/A</v>
      </c>
      <c r="AC64" s="18" t="e">
        <f>VLOOKUP($D64,'Week 18'!$A$2:$AH$120,2,FALSE)</f>
        <v>#N/A</v>
      </c>
      <c r="AD64" s="18" t="e">
        <f>VLOOKUP($D64,'Week 19'!$A$2:$AH$120,2,FALSE)</f>
        <v>#N/A</v>
      </c>
      <c r="AE64" s="18" t="e">
        <f>VLOOKUP($D64,'Week 20'!$A$2:$AH$120,2,FALSE)</f>
        <v>#N/A</v>
      </c>
      <c r="AF64" s="18" t="e">
        <f>VLOOKUP($D64,'Week 21'!$A$2:$AH$120,2,FALSE)</f>
        <v>#N/A</v>
      </c>
      <c r="AG64" s="18" t="e">
        <f>VLOOKUP($D64,'Week 22'!$A$2:$AH$120,2,FALSE)</f>
        <v>#N/A</v>
      </c>
      <c r="AH64" s="18" t="e">
        <f>VLOOKUP($D64,'Week 23'!$A$2:$AH$120,2,FALSE)</f>
        <v>#N/A</v>
      </c>
      <c r="AI64" s="18" t="e">
        <f>VLOOKUP($D64,'Week 24'!$A$2:$AH$120,2,FALSE)</f>
        <v>#N/A</v>
      </c>
      <c r="AJ64" s="18" t="e">
        <f>VLOOKUP($D64,'Week 25'!$A$2:$AH$120,2,FALSE)</f>
        <v>#N/A</v>
      </c>
      <c r="AK64" s="18" t="e">
        <f>VLOOKUP($D64,'Week 26'!$A$2:$AH$120,2,FALSE)</f>
        <v>#N/A</v>
      </c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</row>
    <row r="65" spans="1:52" ht="15.75" customHeight="1">
      <c r="A65" s="185"/>
      <c r="B65" s="185"/>
      <c r="C65" s="185"/>
      <c r="D65" s="3" t="s">
        <v>1460</v>
      </c>
      <c r="E65" s="3">
        <v>27</v>
      </c>
      <c r="F65" s="16">
        <v>37</v>
      </c>
      <c r="G65" s="16">
        <v>40</v>
      </c>
      <c r="H65" s="3">
        <v>80</v>
      </c>
      <c r="I65" s="17" t="b">
        <f t="shared" si="4"/>
        <v>0</v>
      </c>
      <c r="J65" s="17" t="b">
        <f t="shared" si="5"/>
        <v>0</v>
      </c>
      <c r="K65" s="17">
        <f t="shared" si="3"/>
        <v>0</v>
      </c>
      <c r="L65" s="18" t="e">
        <f>VLOOKUP($D65,'Week 1'!$A$2:$AD$120,2,FALSE)</f>
        <v>#N/A</v>
      </c>
      <c r="M65" s="18" t="e">
        <f>VLOOKUP($D65,'Week 2'!$A$2:$AD$120,2,FALSE)</f>
        <v>#N/A</v>
      </c>
      <c r="N65" s="18" t="e">
        <f>VLOOKUP($D65,'Week 3'!$A$2:$AH$119,2,FALSE)</f>
        <v>#N/A</v>
      </c>
      <c r="O65" s="18" t="e">
        <f>VLOOKUP($D65,'Week 4'!$A$2:$AH$122,2,FALSE)</f>
        <v>#N/A</v>
      </c>
      <c r="P65" s="18" t="e">
        <f>VLOOKUP($D65,'Week 5'!$A$2:$AG$120,2,FALSE)</f>
        <v>#N/A</v>
      </c>
      <c r="Q65" s="18" t="e">
        <f>VLOOKUP($D65,'week 6'!$A$2:$AH$120,2,FALSE)</f>
        <v>#N/A</v>
      </c>
      <c r="R65" s="18" t="e">
        <f>VLOOKUP($D65,'Week 7'!$A$2:$AH$120,2,FALSE)</f>
        <v>#N/A</v>
      </c>
      <c r="S65" s="18" t="e">
        <f>VLOOKUP($D65,'Week 8'!$A$2:$AH$120,2,FALSE)</f>
        <v>#N/A</v>
      </c>
      <c r="T65" s="18" t="e">
        <f>VLOOKUP($D65,'Week 9'!$A$2:$AH$120,2,FALSE)</f>
        <v>#N/A</v>
      </c>
      <c r="U65" s="18" t="e">
        <f>VLOOKUP($D65,'Week 9'!$A$2:$AH$120,2,FALSE)</f>
        <v>#N/A</v>
      </c>
      <c r="V65" s="18" t="e">
        <f>VLOOKUP($D65,'Week 9'!$A$2:$AH$120,2,FALSE)</f>
        <v>#N/A</v>
      </c>
      <c r="W65" s="18" t="e">
        <f>VLOOKUP($D65,'Week 9'!$A$2:$AH$120,2,FALSE)</f>
        <v>#N/A</v>
      </c>
      <c r="X65" s="18" t="e">
        <f>VLOOKUP($D65,'Week 13'!$A$2:$AH$120,2,FALSE)</f>
        <v>#N/A</v>
      </c>
      <c r="Y65" s="18" t="e">
        <f>VLOOKUP($D65,'Week 14'!$A$2:$AH$120,2,FALSE)</f>
        <v>#N/A</v>
      </c>
      <c r="Z65" s="18" t="e">
        <f>VLOOKUP($D65,'Week 15'!$A$2:$AH$120,2,FALSE)</f>
        <v>#N/A</v>
      </c>
      <c r="AA65" s="18" t="e">
        <f>VLOOKUP($D65,'Week 16'!$A$2:$AH$120,2,FALSE)</f>
        <v>#N/A</v>
      </c>
      <c r="AB65" s="18" t="e">
        <f>VLOOKUP($D65,'Week 17'!$A$2:$AH$120,2,FALSE)</f>
        <v>#N/A</v>
      </c>
      <c r="AC65" s="18" t="e">
        <f>VLOOKUP($D65,'Week 18'!$A$2:$AH$120,2,FALSE)</f>
        <v>#N/A</v>
      </c>
      <c r="AD65" s="18" t="e">
        <f>VLOOKUP($D65,'Week 19'!$A$2:$AH$120,2,FALSE)</f>
        <v>#N/A</v>
      </c>
      <c r="AE65" s="18" t="e">
        <f>VLOOKUP($D65,'Week 20'!$A$2:$AH$120,2,FALSE)</f>
        <v>#N/A</v>
      </c>
      <c r="AF65" s="18" t="e">
        <f>VLOOKUP($D65,'Week 21'!$A$2:$AH$120,2,FALSE)</f>
        <v>#N/A</v>
      </c>
      <c r="AG65" s="18" t="e">
        <f>VLOOKUP($D65,'Week 22'!$A$2:$AH$120,2,FALSE)</f>
        <v>#N/A</v>
      </c>
      <c r="AH65" s="18" t="e">
        <f>VLOOKUP($D65,'Week 23'!$A$2:$AH$120,2,FALSE)</f>
        <v>#N/A</v>
      </c>
      <c r="AI65" s="18" t="e">
        <f>VLOOKUP($D65,'Week 24'!$A$2:$AH$120,2,FALSE)</f>
        <v>#N/A</v>
      </c>
      <c r="AJ65" s="18" t="e">
        <f>VLOOKUP($D65,'Week 25'!$A$2:$AH$120,2,FALSE)</f>
        <v>#N/A</v>
      </c>
      <c r="AK65" s="18" t="e">
        <f>VLOOKUP($D65,'Week 26'!$A$2:$AH$120,2,FALSE)</f>
        <v>#N/A</v>
      </c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</row>
    <row r="66" spans="1:52" ht="15.75" customHeight="1">
      <c r="A66" s="125">
        <v>43274</v>
      </c>
      <c r="B66" s="3"/>
      <c r="C66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D66" s="3" t="s">
        <v>108</v>
      </c>
      <c r="E66" s="3">
        <v>200</v>
      </c>
      <c r="F66" s="16">
        <v>29</v>
      </c>
      <c r="G66" s="16">
        <v>36</v>
      </c>
      <c r="H66" s="3">
        <v>72</v>
      </c>
      <c r="I66" s="17" t="b">
        <f t="shared" si="4"/>
        <v>0</v>
      </c>
      <c r="J66" s="17" t="b">
        <f t="shared" si="5"/>
        <v>0</v>
      </c>
      <c r="K66" s="17">
        <f t="shared" si="3"/>
        <v>1</v>
      </c>
      <c r="L66" s="18" t="e">
        <f>VLOOKUP($D66,'Week 1'!$A$2:$AD$120,2,FALSE)</f>
        <v>#N/A</v>
      </c>
      <c r="M66" s="18">
        <f>VLOOKUP($D66,'Week 2'!$A$2:$AD$120,2,FALSE)</f>
        <v>1</v>
      </c>
      <c r="N66" s="18">
        <f>VLOOKUP($D66,'Week 3'!$A$2:$AH$119,2,FALSE)</f>
        <v>0</v>
      </c>
      <c r="O66" s="18">
        <f>VLOOKUP($D66,'Week 4'!$A$2:$AH$122,2,FALSE)</f>
        <v>0</v>
      </c>
      <c r="P66" s="18">
        <f>VLOOKUP($D66,'Week 5'!$A$2:$AG$120,2,FALSE)</f>
        <v>0</v>
      </c>
      <c r="Q66" s="18">
        <f>VLOOKUP($D66,'week 6'!$A$2:$AH$120,2,FALSE)</f>
        <v>0</v>
      </c>
      <c r="R66" s="18">
        <f>VLOOKUP($D66,'Week 7'!$A$2:$AH$120,2,FALSE)</f>
        <v>0</v>
      </c>
      <c r="S66" s="18">
        <f>VLOOKUP($D66,'Week 8'!$A$2:$AH$120,2,FALSE)</f>
        <v>0</v>
      </c>
      <c r="T66" s="18">
        <f>VLOOKUP($D66,'Week 9'!$A$2:$AH$120,2,FALSE)</f>
        <v>0</v>
      </c>
      <c r="U66" s="18">
        <f>VLOOKUP($D66,'Week 9'!$A$2:$AH$120,2,FALSE)</f>
        <v>0</v>
      </c>
      <c r="V66" s="18">
        <f>VLOOKUP($D66,'Week 9'!$A$2:$AH$120,2,FALSE)</f>
        <v>0</v>
      </c>
      <c r="W66" s="18">
        <f>VLOOKUP($D66,'Week 9'!$A$2:$AH$120,2,FALSE)</f>
        <v>0</v>
      </c>
      <c r="X66" s="18">
        <f>VLOOKUP($D66,'Week 13'!$A$2:$AH$120,2,FALSE)</f>
        <v>0</v>
      </c>
      <c r="Y66" s="18">
        <f>VLOOKUP($D66,'Week 14'!$A$2:$AH$120,2,FALSE)</f>
        <v>0</v>
      </c>
      <c r="Z66" s="18">
        <f>VLOOKUP($D66,'Week 15'!$A$2:$AH$120,2,FALSE)</f>
        <v>0</v>
      </c>
      <c r="AA66" s="18">
        <f>VLOOKUP($D66,'Week 16'!$A$2:$AH$120,2,FALSE)</f>
        <v>0</v>
      </c>
      <c r="AB66" s="18">
        <f>VLOOKUP($D66,'Week 17'!$A$2:$AH$120,2,FALSE)</f>
        <v>0</v>
      </c>
      <c r="AC66" s="18">
        <f>VLOOKUP($D66,'Week 18'!$A$2:$AH$120,2,FALSE)</f>
        <v>0</v>
      </c>
      <c r="AD66" s="18">
        <f>VLOOKUP($D66,'Week 19'!$A$2:$AH$120,2,FALSE)</f>
        <v>0</v>
      </c>
      <c r="AE66" s="18">
        <f>VLOOKUP($D66,'Week 20'!$A$2:$AH$120,2,FALSE)</f>
        <v>0</v>
      </c>
      <c r="AF66" s="18">
        <f>VLOOKUP($D66,'Week 21'!$A$2:$AH$120,2,FALSE)</f>
        <v>0</v>
      </c>
      <c r="AG66" s="18">
        <f>VLOOKUP($D66,'Week 22'!$A$2:$AH$120,2,FALSE)</f>
        <v>0</v>
      </c>
      <c r="AH66" s="18">
        <f>VLOOKUP($D66,'Week 23'!$A$2:$AH$120,2,FALSE)</f>
        <v>0</v>
      </c>
      <c r="AI66" s="18">
        <f>VLOOKUP($D66,'Week 24'!$A$2:$AH$120,2,FALSE)</f>
        <v>0</v>
      </c>
      <c r="AJ66" s="18">
        <f>VLOOKUP($D66,'Week 25'!$A$2:$AH$120,2,FALSE)</f>
        <v>0</v>
      </c>
      <c r="AK66" s="18">
        <f>VLOOKUP($D66,'Week 26'!$A$2:$AH$120,2,FALSE)</f>
        <v>0</v>
      </c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</row>
    <row r="67" spans="1:52" ht="15.75" customHeight="1">
      <c r="A67" s="186"/>
      <c r="B67" s="186"/>
      <c r="C67" s="189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D67" s="3" t="s">
        <v>1481</v>
      </c>
      <c r="E67" s="3">
        <v>66</v>
      </c>
      <c r="F67" s="16">
        <v>60</v>
      </c>
      <c r="G67" s="16">
        <v>3</v>
      </c>
      <c r="H67" s="3">
        <v>6</v>
      </c>
      <c r="I67" s="17" t="b">
        <f t="shared" si="4"/>
        <v>0</v>
      </c>
      <c r="J67" s="17" t="b">
        <f t="shared" si="5"/>
        <v>0</v>
      </c>
      <c r="K67" s="17">
        <f t="shared" si="3"/>
        <v>0</v>
      </c>
      <c r="L67" s="18" t="e">
        <f>VLOOKUP($D67,'Week 1'!$A$2:$AD$120,2,FALSE)</f>
        <v>#N/A</v>
      </c>
      <c r="M67" s="18" t="e">
        <f>VLOOKUP($D67,'Week 2'!$A$2:$AD$120,2,FALSE)</f>
        <v>#N/A</v>
      </c>
      <c r="N67" s="18" t="e">
        <f>VLOOKUP($D67,'Week 3'!$A$2:$AH$119,2,FALSE)</f>
        <v>#N/A</v>
      </c>
      <c r="O67" s="18" t="e">
        <f>VLOOKUP($D67,'Week 4'!$A$2:$AH$122,2,FALSE)</f>
        <v>#N/A</v>
      </c>
      <c r="P67" s="18" t="e">
        <f>VLOOKUP($D67,'Week 5'!$A$2:$AG$120,2,FALSE)</f>
        <v>#N/A</v>
      </c>
      <c r="Q67" s="18" t="e">
        <f>VLOOKUP($D67,'week 6'!$A$2:$AH$120,2,FALSE)</f>
        <v>#N/A</v>
      </c>
      <c r="R67" s="18" t="e">
        <f>VLOOKUP($D67,'Week 7'!$A$2:$AH$120,2,FALSE)</f>
        <v>#N/A</v>
      </c>
      <c r="S67" s="18" t="e">
        <f>VLOOKUP($D67,'Week 8'!$A$2:$AH$120,2,FALSE)</f>
        <v>#N/A</v>
      </c>
      <c r="T67" s="18" t="e">
        <f>VLOOKUP($D67,'Week 9'!$A$2:$AH$120,2,FALSE)</f>
        <v>#N/A</v>
      </c>
      <c r="U67" s="18" t="e">
        <f>VLOOKUP($D67,'Week 9'!$A$2:$AH$120,2,FALSE)</f>
        <v>#N/A</v>
      </c>
      <c r="V67" s="18" t="e">
        <f>VLOOKUP($D67,'Week 9'!$A$2:$AH$120,2,FALSE)</f>
        <v>#N/A</v>
      </c>
      <c r="W67" s="18" t="e">
        <f>VLOOKUP($D67,'Week 9'!$A$2:$AH$120,2,FALSE)</f>
        <v>#N/A</v>
      </c>
      <c r="X67" s="18" t="e">
        <f>VLOOKUP($D67,'Week 13'!$A$2:$AH$120,2,FALSE)</f>
        <v>#N/A</v>
      </c>
      <c r="Y67" s="18" t="e">
        <f>VLOOKUP($D67,'Week 14'!$A$2:$AH$120,2,FALSE)</f>
        <v>#N/A</v>
      </c>
      <c r="Z67" s="18" t="e">
        <f>VLOOKUP($D67,'Week 15'!$A$2:$AH$120,2,FALSE)</f>
        <v>#N/A</v>
      </c>
      <c r="AA67" s="18" t="e">
        <f>VLOOKUP($D67,'Week 16'!$A$2:$AH$120,2,FALSE)</f>
        <v>#N/A</v>
      </c>
      <c r="AB67" s="18" t="e">
        <f>VLOOKUP($D67,'Week 17'!$A$2:$AH$120,2,FALSE)</f>
        <v>#N/A</v>
      </c>
      <c r="AC67" s="18" t="e">
        <f>VLOOKUP($D67,'Week 18'!$A$2:$AH$120,2,FALSE)</f>
        <v>#N/A</v>
      </c>
      <c r="AD67" s="18" t="e">
        <f>VLOOKUP($D67,'Week 19'!$A$2:$AH$120,2,FALSE)</f>
        <v>#N/A</v>
      </c>
      <c r="AE67" s="18" t="e">
        <f>VLOOKUP($D67,'Week 20'!$A$2:$AH$120,2,FALSE)</f>
        <v>#N/A</v>
      </c>
      <c r="AF67" s="18" t="e">
        <f>VLOOKUP($D67,'Week 21'!$A$2:$AH$120,2,FALSE)</f>
        <v>#N/A</v>
      </c>
      <c r="AG67" s="18" t="e">
        <f>VLOOKUP($D67,'Week 22'!$A$2:$AH$120,2,FALSE)</f>
        <v>#N/A</v>
      </c>
      <c r="AH67" s="18" t="e">
        <f>VLOOKUP($D67,'Week 23'!$A$2:$AH$120,2,FALSE)</f>
        <v>#N/A</v>
      </c>
      <c r="AI67" s="18" t="e">
        <f>VLOOKUP($D67,'Week 24'!$A$2:$AH$120,2,FALSE)</f>
        <v>#N/A</v>
      </c>
      <c r="AJ67" s="18" t="e">
        <f>VLOOKUP($D67,'Week 25'!$A$2:$AH$120,2,FALSE)</f>
        <v>#N/A</v>
      </c>
      <c r="AK67" s="18" t="e">
        <f>VLOOKUP($D67,'Week 26'!$A$2:$AH$120,2,FALSE)</f>
        <v>#N/A</v>
      </c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</row>
    <row r="68" spans="1:52" ht="15.75" customHeight="1">
      <c r="A68" s="185"/>
      <c r="B68" s="185"/>
      <c r="C68" s="185"/>
      <c r="D68" s="3" t="s">
        <v>110</v>
      </c>
      <c r="E68" s="3">
        <v>40</v>
      </c>
      <c r="F68" s="3">
        <v>60</v>
      </c>
      <c r="G68" s="3">
        <v>3</v>
      </c>
      <c r="H68" s="3">
        <v>6</v>
      </c>
      <c r="I68" s="17" t="b">
        <f t="shared" si="4"/>
        <v>0</v>
      </c>
      <c r="J68" s="17" t="b">
        <f t="shared" si="5"/>
        <v>0</v>
      </c>
      <c r="K68" s="17">
        <f t="shared" si="3"/>
        <v>0</v>
      </c>
      <c r="L68" s="18" t="e">
        <f>VLOOKUP($D68,'Week 1'!$A$2:$AD$120,2,FALSE)</f>
        <v>#N/A</v>
      </c>
      <c r="M68" s="18" t="e">
        <f>VLOOKUP($D68,'Week 2'!$A$2:$AD$120,2,FALSE)</f>
        <v>#N/A</v>
      </c>
      <c r="N68" s="18" t="e">
        <f>VLOOKUP($D68,'Week 3'!$A$2:$AH$119,2,FALSE)</f>
        <v>#N/A</v>
      </c>
      <c r="O68" s="18" t="e">
        <f>VLOOKUP($D68,'Week 4'!$A$2:$AH$122,2,FALSE)</f>
        <v>#N/A</v>
      </c>
      <c r="P68" s="18" t="e">
        <f>VLOOKUP($D68,'Week 5'!$A$2:$AG$120,2,FALSE)</f>
        <v>#N/A</v>
      </c>
      <c r="Q68" s="18" t="e">
        <f>VLOOKUP($D68,'week 6'!$A$2:$AH$120,2,FALSE)</f>
        <v>#N/A</v>
      </c>
      <c r="R68" s="18" t="e">
        <f>VLOOKUP($D68,'Week 7'!$A$2:$AH$120,2,FALSE)</f>
        <v>#N/A</v>
      </c>
      <c r="S68" s="18" t="e">
        <f>VLOOKUP($D68,'Week 8'!$A$2:$AH$120,2,FALSE)</f>
        <v>#N/A</v>
      </c>
      <c r="T68" s="18" t="e">
        <f>VLOOKUP($D68,'Week 9'!$A$2:$AH$120,2,FALSE)</f>
        <v>#N/A</v>
      </c>
      <c r="U68" s="18" t="e">
        <f>VLOOKUP($D68,'Week 9'!$A$2:$AH$120,2,FALSE)</f>
        <v>#N/A</v>
      </c>
      <c r="V68" s="18" t="e">
        <f>VLOOKUP($D68,'Week 9'!$A$2:$AH$120,2,FALSE)</f>
        <v>#N/A</v>
      </c>
      <c r="W68" s="18" t="e">
        <f>VLOOKUP($D68,'Week 9'!$A$2:$AH$120,2,FALSE)</f>
        <v>#N/A</v>
      </c>
      <c r="X68" s="18">
        <f>VLOOKUP($D68,'Week 13'!$A$2:$AH$120,2,FALSE)</f>
        <v>0</v>
      </c>
      <c r="Y68" s="18">
        <f>VLOOKUP($D68,'Week 14'!$A$2:$AH$120,2,FALSE)</f>
        <v>0</v>
      </c>
      <c r="Z68" s="18">
        <f>VLOOKUP($D68,'Week 15'!$A$2:$AH$120,2,FALSE)</f>
        <v>0</v>
      </c>
      <c r="AA68" s="18">
        <f>VLOOKUP($D68,'Week 16'!$A$2:$AH$120,2,FALSE)</f>
        <v>0</v>
      </c>
      <c r="AB68" s="18">
        <f>VLOOKUP($D68,'Week 17'!$A$2:$AH$120,2,FALSE)</f>
        <v>0</v>
      </c>
      <c r="AC68" s="18">
        <f>VLOOKUP($D68,'Week 18'!$A$2:$AH$120,2,FALSE)</f>
        <v>0</v>
      </c>
      <c r="AD68" s="18">
        <f>VLOOKUP($D68,'Week 19'!$A$2:$AH$120,2,FALSE)</f>
        <v>0</v>
      </c>
      <c r="AE68" s="18">
        <f>VLOOKUP($D68,'Week 20'!$A$2:$AH$120,2,FALSE)</f>
        <v>0</v>
      </c>
      <c r="AF68" s="18">
        <f>VLOOKUP($D68,'Week 21'!$A$2:$AH$120,2,FALSE)</f>
        <v>0</v>
      </c>
      <c r="AG68" s="18">
        <f>VLOOKUP($D68,'Week 22'!$A$2:$AH$120,2,FALSE)</f>
        <v>0</v>
      </c>
      <c r="AH68" s="18">
        <f>VLOOKUP($D68,'Week 23'!$A$2:$AH$120,2,FALSE)</f>
        <v>0</v>
      </c>
      <c r="AI68" s="18">
        <f>VLOOKUP($D68,'Week 24'!$A$2:$AH$120,2,FALSE)</f>
        <v>0</v>
      </c>
      <c r="AJ68" s="18">
        <f>VLOOKUP($D68,'Week 25'!$A$2:$AH$120,2,FALSE)</f>
        <v>0</v>
      </c>
      <c r="AK68" s="18">
        <f>VLOOKUP($D68,'Week 26'!$A$2:$AH$120,2,FALSE)</f>
        <v>0</v>
      </c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</row>
    <row r="69" spans="1:52" ht="15.75" customHeight="1">
      <c r="A69" s="18"/>
      <c r="B69" s="3"/>
      <c r="C69" s="3"/>
      <c r="D69" s="3" t="s">
        <v>1510</v>
      </c>
      <c r="E69" s="3">
        <v>400</v>
      </c>
      <c r="F69" s="16" t="s">
        <v>371</v>
      </c>
      <c r="G69" s="16">
        <v>50</v>
      </c>
      <c r="H69" s="3">
        <v>100</v>
      </c>
      <c r="I69" s="17" t="b">
        <f t="shared" si="4"/>
        <v>0</v>
      </c>
      <c r="J69" s="17" t="b">
        <f t="shared" si="5"/>
        <v>0</v>
      </c>
      <c r="K69" s="17">
        <f t="shared" si="3"/>
        <v>0</v>
      </c>
      <c r="L69" s="18" t="e">
        <f>VLOOKUP($D69,'Week 1'!$A$2:$AD$120,2,FALSE)</f>
        <v>#N/A</v>
      </c>
      <c r="M69" s="18" t="e">
        <f>VLOOKUP($D69,'Week 2'!$A$2:$AD$120,2,FALSE)</f>
        <v>#N/A</v>
      </c>
      <c r="N69" s="18" t="e">
        <f>VLOOKUP($D69,'Week 3'!$A$2:$AH$119,2,FALSE)</f>
        <v>#N/A</v>
      </c>
      <c r="O69" s="18" t="e">
        <f>VLOOKUP($D69,'Week 4'!$A$2:$AH$122,2,FALSE)</f>
        <v>#N/A</v>
      </c>
      <c r="P69" s="18" t="e">
        <f>VLOOKUP($D69,'Week 5'!$A$2:$AG$120,2,FALSE)</f>
        <v>#N/A</v>
      </c>
      <c r="Q69" s="18" t="e">
        <f>VLOOKUP($D69,'week 6'!$A$2:$AH$120,2,FALSE)</f>
        <v>#N/A</v>
      </c>
      <c r="R69" s="18" t="e">
        <f>VLOOKUP($D69,'Week 7'!$A$2:$AH$120,2,FALSE)</f>
        <v>#N/A</v>
      </c>
      <c r="S69" s="18" t="e">
        <f>VLOOKUP($D69,'Week 8'!$A$2:$AH$120,2,FALSE)</f>
        <v>#N/A</v>
      </c>
      <c r="T69" s="18" t="e">
        <f>VLOOKUP($D69,'Week 9'!$A$2:$AH$120,2,FALSE)</f>
        <v>#N/A</v>
      </c>
      <c r="U69" s="18" t="e">
        <f>VLOOKUP($D69,'Week 9'!$A$2:$AH$120,2,FALSE)</f>
        <v>#N/A</v>
      </c>
      <c r="V69" s="18" t="e">
        <f>VLOOKUP($D69,'Week 9'!$A$2:$AH$120,2,FALSE)</f>
        <v>#N/A</v>
      </c>
      <c r="W69" s="18" t="e">
        <f>VLOOKUP($D69,'Week 9'!$A$2:$AH$120,2,FALSE)</f>
        <v>#N/A</v>
      </c>
      <c r="X69" s="18" t="e">
        <f>VLOOKUP($D69,'Week 13'!$A$2:$AH$120,2,FALSE)</f>
        <v>#N/A</v>
      </c>
      <c r="Y69" s="18" t="e">
        <f>VLOOKUP($D69,'Week 14'!$A$2:$AH$120,2,FALSE)</f>
        <v>#N/A</v>
      </c>
      <c r="Z69" s="18" t="e">
        <f>VLOOKUP($D69,'Week 15'!$A$2:$AH$120,2,FALSE)</f>
        <v>#N/A</v>
      </c>
      <c r="AA69" s="18" t="e">
        <f>VLOOKUP($D69,'Week 16'!$A$2:$AH$120,2,FALSE)</f>
        <v>#N/A</v>
      </c>
      <c r="AB69" s="18" t="e">
        <f>VLOOKUP($D69,'Week 17'!$A$2:$AH$120,2,FALSE)</f>
        <v>#N/A</v>
      </c>
      <c r="AC69" s="18" t="e">
        <f>VLOOKUP($D69,'Week 18'!$A$2:$AH$120,2,FALSE)</f>
        <v>#N/A</v>
      </c>
      <c r="AD69" s="18" t="e">
        <f>VLOOKUP($D69,'Week 19'!$A$2:$AH$120,2,FALSE)</f>
        <v>#N/A</v>
      </c>
      <c r="AE69" s="18" t="e">
        <f>VLOOKUP($D69,'Week 20'!$A$2:$AH$120,2,FALSE)</f>
        <v>#N/A</v>
      </c>
      <c r="AF69" s="18" t="e">
        <f>VLOOKUP($D69,'Week 21'!$A$2:$AH$120,2,FALSE)</f>
        <v>#N/A</v>
      </c>
      <c r="AG69" s="18" t="e">
        <f>VLOOKUP($D69,'Week 22'!$A$2:$AH$120,2,FALSE)</f>
        <v>#N/A</v>
      </c>
      <c r="AH69" s="18" t="e">
        <f>VLOOKUP($D69,'Week 23'!$A$2:$AH$120,2,FALSE)</f>
        <v>#N/A</v>
      </c>
      <c r="AI69" s="18" t="e">
        <f>VLOOKUP($D69,'Week 24'!$A$2:$AH$120,2,FALSE)</f>
        <v>#N/A</v>
      </c>
      <c r="AJ69" s="18" t="e">
        <f>VLOOKUP($D69,'Week 25'!$A$2:$AH$120,2,FALSE)</f>
        <v>#N/A</v>
      </c>
      <c r="AK69" s="18" t="e">
        <f>VLOOKUP($D69,'Week 26'!$A$2:$AH$120,2,FALSE)</f>
        <v>#N/A</v>
      </c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</row>
    <row r="70" spans="1:52" ht="15.75" customHeight="1">
      <c r="A70" s="18"/>
      <c r="B70" s="18"/>
      <c r="C70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D70" s="3" t="s">
        <v>61</v>
      </c>
      <c r="E70" s="3">
        <v>150</v>
      </c>
      <c r="F70" s="16">
        <v>79</v>
      </c>
      <c r="G70" s="16">
        <v>17</v>
      </c>
      <c r="H70" s="3">
        <v>34</v>
      </c>
      <c r="I70" s="17" t="b">
        <f t="shared" si="4"/>
        <v>0</v>
      </c>
      <c r="J70" s="17" t="b">
        <f t="shared" si="5"/>
        <v>0</v>
      </c>
      <c r="K70" s="17">
        <f t="shared" si="3"/>
        <v>0</v>
      </c>
      <c r="L70" s="18" t="e">
        <f>VLOOKUP($D70,'Week 1'!$A$2:$AD$120,2,FALSE)</f>
        <v>#N/A</v>
      </c>
      <c r="M70" s="18" t="e">
        <f>VLOOKUP($D70,'Week 2'!$A$2:$AD$120,2,FALSE)</f>
        <v>#N/A</v>
      </c>
      <c r="N70" s="18" t="e">
        <f>VLOOKUP($D70,'Week 3'!$A$2:$AH$119,2,FALSE)</f>
        <v>#N/A</v>
      </c>
      <c r="O70" s="18" t="e">
        <f>VLOOKUP($D70,'Week 4'!$A$2:$AH$122,2,FALSE)</f>
        <v>#N/A</v>
      </c>
      <c r="P70" s="18">
        <f>VLOOKUP($D70,'Week 5'!$A$2:$AG$120,2,FALSE)</f>
        <v>0</v>
      </c>
      <c r="Q70" s="18">
        <f>VLOOKUP($D70,'week 6'!$A$2:$AH$120,2,FALSE)</f>
        <v>0</v>
      </c>
      <c r="R70" s="18">
        <f>VLOOKUP($D70,'Week 7'!$A$2:$AH$120,2,FALSE)</f>
        <v>0</v>
      </c>
      <c r="S70" s="18">
        <f>VLOOKUP($D70,'Week 8'!$A$2:$AH$120,2,FALSE)</f>
        <v>0</v>
      </c>
      <c r="T70" s="18">
        <f>VLOOKUP($D70,'Week 9'!$A$2:$AH$120,2,FALSE)</f>
        <v>0</v>
      </c>
      <c r="U70" s="18">
        <f>VLOOKUP($D70,'Week 9'!$A$2:$AH$120,2,FALSE)</f>
        <v>0</v>
      </c>
      <c r="V70" s="18">
        <f>VLOOKUP($D70,'Week 9'!$A$2:$AH$120,2,FALSE)</f>
        <v>0</v>
      </c>
      <c r="W70" s="18">
        <f>VLOOKUP($D70,'Week 9'!$A$2:$AH$120,2,FALSE)</f>
        <v>0</v>
      </c>
      <c r="X70" s="18">
        <f>VLOOKUP($D70,'Week 13'!$A$2:$AH$120,2,FALSE)</f>
        <v>0</v>
      </c>
      <c r="Y70" s="18">
        <f>VLOOKUP($D70,'Week 14'!$A$2:$AH$120,2,FALSE)</f>
        <v>0</v>
      </c>
      <c r="Z70" s="18">
        <f>VLOOKUP($D70,'Week 15'!$A$2:$AH$120,2,FALSE)</f>
        <v>0</v>
      </c>
      <c r="AA70" s="18">
        <f>VLOOKUP($D70,'Week 16'!$A$2:$AH$120,2,FALSE)</f>
        <v>0</v>
      </c>
      <c r="AB70" s="18">
        <f>VLOOKUP($D70,'Week 17'!$A$2:$AH$120,2,FALSE)</f>
        <v>0</v>
      </c>
      <c r="AC70" s="18">
        <f>VLOOKUP($D70,'Week 18'!$A$2:$AH$120,2,FALSE)</f>
        <v>0</v>
      </c>
      <c r="AD70" s="18">
        <f>VLOOKUP($D70,'Week 19'!$A$2:$AH$120,2,FALSE)</f>
        <v>0</v>
      </c>
      <c r="AE70" s="18">
        <f>VLOOKUP($D70,'Week 20'!$A$2:$AH$120,2,FALSE)</f>
        <v>0</v>
      </c>
      <c r="AF70" s="18">
        <f>VLOOKUP($D70,'Week 21'!$A$2:$AH$120,2,FALSE)</f>
        <v>0</v>
      </c>
      <c r="AG70" s="18">
        <f>VLOOKUP($D70,'Week 22'!$A$2:$AH$120,2,FALSE)</f>
        <v>0</v>
      </c>
      <c r="AH70" s="18">
        <f>VLOOKUP($D70,'Week 23'!$A$2:$AH$120,2,FALSE)</f>
        <v>0</v>
      </c>
      <c r="AI70" s="18">
        <f>VLOOKUP($D70,'Week 24'!$A$2:$AH$120,2,FALSE)</f>
        <v>0</v>
      </c>
      <c r="AJ70" s="18">
        <f>VLOOKUP($D70,'Week 25'!$A$2:$AH$120,2,FALSE)</f>
        <v>0</v>
      </c>
      <c r="AK70" s="18">
        <f>VLOOKUP($D70,'Week 26'!$A$2:$AH$120,2,FALSE)</f>
        <v>0</v>
      </c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</row>
    <row r="71" spans="1:52" ht="15.75" customHeight="1">
      <c r="A71" s="18"/>
      <c r="B71" s="18"/>
      <c r="C71" s="11" t="str">
        <f>HYPERLINK("https://www.digitalauthority.me/resources/the-ultimate-guide-to-progressive-web-apps/","The Ultimate Guide To Progressive Web Apps")</f>
        <v>The Ultimate Guide To Progressive Web Apps</v>
      </c>
      <c r="D71" s="3" t="s">
        <v>1538</v>
      </c>
      <c r="E71" s="58">
        <v>12000</v>
      </c>
      <c r="F71" s="16" t="s">
        <v>726</v>
      </c>
      <c r="G71" s="3">
        <v>174</v>
      </c>
      <c r="H71" s="3">
        <v>250</v>
      </c>
      <c r="I71" s="17" t="b">
        <f t="shared" si="4"/>
        <v>0</v>
      </c>
      <c r="J71" s="17" t="b">
        <f t="shared" si="5"/>
        <v>0</v>
      </c>
      <c r="K71" s="17">
        <f t="shared" si="3"/>
        <v>0</v>
      </c>
      <c r="L71" s="18" t="e">
        <f>VLOOKUP($D71,'Week 1'!$A$2:$AD$120,2,FALSE)</f>
        <v>#N/A</v>
      </c>
      <c r="M71" s="18" t="e">
        <f>VLOOKUP($D71,'Week 2'!$A$2:$AD$120,2,FALSE)</f>
        <v>#N/A</v>
      </c>
      <c r="N71" s="18" t="e">
        <f>VLOOKUP($D71,'Week 3'!$A$2:$AH$119,2,FALSE)</f>
        <v>#N/A</v>
      </c>
      <c r="O71" s="18" t="e">
        <f>VLOOKUP($D71,'Week 4'!$A$2:$AH$122,2,FALSE)</f>
        <v>#N/A</v>
      </c>
      <c r="P71" s="18" t="e">
        <f>VLOOKUP($D71,'Week 5'!$A$2:$AG$120,2,FALSE)</f>
        <v>#N/A</v>
      </c>
      <c r="Q71" s="18" t="e">
        <f>VLOOKUP($D71,'week 6'!$A$2:$AH$120,2,FALSE)</f>
        <v>#N/A</v>
      </c>
      <c r="R71" s="18" t="e">
        <f>VLOOKUP($D71,'Week 7'!$A$2:$AH$120,2,FALSE)</f>
        <v>#N/A</v>
      </c>
      <c r="S71" s="18" t="e">
        <f>VLOOKUP($D71,'Week 8'!$A$2:$AH$120,2,FALSE)</f>
        <v>#N/A</v>
      </c>
      <c r="T71" s="18" t="e">
        <f>VLOOKUP($D71,'Week 9'!$A$2:$AH$120,2,FALSE)</f>
        <v>#N/A</v>
      </c>
      <c r="U71" s="18">
        <f>VLOOKUP($D70,'Week 9'!$A$2:$AH$120,2,FALSE)</f>
        <v>0</v>
      </c>
      <c r="V71" s="18" t="e">
        <f>VLOOKUP($D71,'Week 9'!$A$2:$AH$120,2,FALSE)</f>
        <v>#N/A</v>
      </c>
      <c r="W71" s="18" t="e">
        <f>VLOOKUP($D71,'Week 9'!$A$2:$AH$120,2,FALSE)</f>
        <v>#N/A</v>
      </c>
      <c r="X71" s="18" t="e">
        <f>VLOOKUP($D71,'Week 13'!$A$2:$AH$120,2,FALSE)</f>
        <v>#N/A</v>
      </c>
      <c r="Y71" s="18" t="e">
        <f>VLOOKUP($D71,'Week 14'!$A$2:$AH$120,2,FALSE)</f>
        <v>#N/A</v>
      </c>
      <c r="Z71" s="18" t="e">
        <f>VLOOKUP($D71,'Week 15'!$A$2:$AH$120,2,FALSE)</f>
        <v>#N/A</v>
      </c>
      <c r="AA71" s="18" t="e">
        <f>VLOOKUP($D71,'Week 16'!$A$2:$AH$120,2,FALSE)</f>
        <v>#N/A</v>
      </c>
      <c r="AB71" s="18" t="e">
        <f>VLOOKUP($D71,'Week 17'!$A$2:$AH$120,2,FALSE)</f>
        <v>#N/A</v>
      </c>
      <c r="AC71" s="18" t="e">
        <f>VLOOKUP($D71,'Week 18'!$A$2:$AH$120,2,FALSE)</f>
        <v>#N/A</v>
      </c>
      <c r="AD71" s="18" t="e">
        <f>VLOOKUP($D71,'Week 19'!$A$2:$AH$120,2,FALSE)</f>
        <v>#N/A</v>
      </c>
      <c r="AE71" s="18" t="e">
        <f>VLOOKUP($D71,'Week 20'!$A$2:$AH$120,2,FALSE)</f>
        <v>#N/A</v>
      </c>
      <c r="AF71" s="18" t="e">
        <f>VLOOKUP($D71,'Week 21'!$A$2:$AH$120,2,FALSE)</f>
        <v>#N/A</v>
      </c>
      <c r="AG71" s="18" t="e">
        <f>VLOOKUP($D71,'Week 22'!$A$2:$AH$120,2,FALSE)</f>
        <v>#N/A</v>
      </c>
      <c r="AH71" s="18" t="e">
        <f>VLOOKUP($D71,'Week 23'!$A$2:$AH$120,2,FALSE)</f>
        <v>#N/A</v>
      </c>
      <c r="AI71" s="18" t="e">
        <f>VLOOKUP($D71,'Week 24'!$A$2:$AH$120,2,FALSE)</f>
        <v>#N/A</v>
      </c>
      <c r="AJ71" s="18" t="e">
        <f>VLOOKUP($D71,'Week 25'!$A$2:$AH$120,2,FALSE)</f>
        <v>#N/A</v>
      </c>
      <c r="AK71" s="18" t="e">
        <f>VLOOKUP($D71,'Week 26'!$A$2:$AH$120,2,FALSE)</f>
        <v>#N/A</v>
      </c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</row>
    <row r="72" spans="1:52" ht="15.75" customHeight="1">
      <c r="A72" s="3"/>
      <c r="B72" s="153"/>
      <c r="C72" s="30" t="str">
        <f>HYPERLINK("https://www.digitalauthority.me/resources/influencer-marketing-guide/","Ultimate Guide to Influencer Marketing: What You Need to Know
")</f>
        <v>Ultimate Guide to Influencer Marketing: What You Need to Know_x000D_</v>
      </c>
      <c r="D72" s="3" t="s">
        <v>1556</v>
      </c>
      <c r="E72" s="58">
        <v>19000</v>
      </c>
      <c r="F72" s="3">
        <v>118</v>
      </c>
      <c r="G72" s="3">
        <v>200</v>
      </c>
      <c r="H72" s="16" t="s">
        <v>726</v>
      </c>
      <c r="I72" s="17" t="b">
        <f t="shared" si="4"/>
        <v>0</v>
      </c>
      <c r="J72" s="17" t="b">
        <f t="shared" si="5"/>
        <v>0</v>
      </c>
      <c r="K72" s="17">
        <f t="shared" si="3"/>
        <v>0</v>
      </c>
      <c r="L72" s="18" t="e">
        <f>VLOOKUP($D72,'Week 1'!$A$2:$AD$120,2,FALSE)</f>
        <v>#N/A</v>
      </c>
      <c r="M72" s="18" t="e">
        <f>VLOOKUP($D72,'Week 2'!$A$2:$AD$120,2,FALSE)</f>
        <v>#N/A</v>
      </c>
      <c r="N72" s="18" t="e">
        <f>VLOOKUP($D72,'Week 3'!$A$2:$AH$119,2,FALSE)</f>
        <v>#N/A</v>
      </c>
      <c r="O72" s="18" t="e">
        <f>VLOOKUP($D72,'Week 4'!$A$2:$AH$122,2,FALSE)</f>
        <v>#N/A</v>
      </c>
      <c r="P72" s="18" t="e">
        <f>VLOOKUP($D72,'Week 5'!$A$2:$AG$120,2,FALSE)</f>
        <v>#N/A</v>
      </c>
      <c r="Q72" s="18" t="e">
        <f>VLOOKUP($D72,'week 6'!$A$2:$AH$120,2,FALSE)</f>
        <v>#N/A</v>
      </c>
      <c r="R72" s="18" t="e">
        <f>VLOOKUP($D72,'Week 7'!$A$2:$AH$120,2,FALSE)</f>
        <v>#N/A</v>
      </c>
      <c r="S72" s="18" t="e">
        <f>VLOOKUP($D72,'Week 8'!$A$2:$AH$120,2,FALSE)</f>
        <v>#N/A</v>
      </c>
      <c r="T72" s="18" t="e">
        <f>VLOOKUP($D72,'Week 9'!$A$2:$AH$120,2,FALSE)</f>
        <v>#N/A</v>
      </c>
      <c r="U72" s="18" t="e">
        <f>VLOOKUP($D71,'Week 9'!$A$2:$AH$120,2,FALSE)</f>
        <v>#N/A</v>
      </c>
      <c r="V72" s="18" t="e">
        <f>VLOOKUP($D72,'Week 9'!$A$2:$AH$120,2,FALSE)</f>
        <v>#N/A</v>
      </c>
      <c r="W72" s="18" t="e">
        <f>VLOOKUP($D72,'Week 9'!$A$2:$AH$120,2,FALSE)</f>
        <v>#N/A</v>
      </c>
      <c r="X72" s="18" t="e">
        <f>VLOOKUP($D72,'Week 13'!$A$2:$AH$120,2,FALSE)</f>
        <v>#N/A</v>
      </c>
      <c r="Y72" s="18" t="e">
        <f>VLOOKUP($D72,'Week 14'!$A$2:$AH$120,2,FALSE)</f>
        <v>#N/A</v>
      </c>
      <c r="Z72" s="18" t="e">
        <f>VLOOKUP($D72,'Week 15'!$A$2:$AH$120,2,FALSE)</f>
        <v>#N/A</v>
      </c>
      <c r="AA72" s="18" t="e">
        <f>VLOOKUP($D72,'Week 16'!$A$2:$AH$120,2,FALSE)</f>
        <v>#N/A</v>
      </c>
      <c r="AB72" s="18" t="e">
        <f>VLOOKUP($D72,'Week 17'!$A$2:$AH$120,2,FALSE)</f>
        <v>#N/A</v>
      </c>
      <c r="AC72" s="18" t="e">
        <f>VLOOKUP($D72,'Week 18'!$A$2:$AH$120,2,FALSE)</f>
        <v>#N/A</v>
      </c>
      <c r="AD72" s="18" t="e">
        <f>VLOOKUP($D72,'Week 19'!$A$2:$AH$120,2,FALSE)</f>
        <v>#N/A</v>
      </c>
      <c r="AE72" s="18" t="e">
        <f>VLOOKUP($D72,'Week 20'!$A$2:$AH$120,2,FALSE)</f>
        <v>#N/A</v>
      </c>
      <c r="AF72" s="18" t="e">
        <f>VLOOKUP($D72,'Week 21'!$A$2:$AH$120,2,FALSE)</f>
        <v>#N/A</v>
      </c>
      <c r="AG72" s="18" t="e">
        <f>VLOOKUP($D72,'Week 22'!$A$2:$AH$120,2,FALSE)</f>
        <v>#N/A</v>
      </c>
      <c r="AH72" s="18" t="e">
        <f>VLOOKUP($D72,'Week 23'!$A$2:$AH$120,2,FALSE)</f>
        <v>#N/A</v>
      </c>
      <c r="AI72" s="18" t="e">
        <f>VLOOKUP($D72,'Week 24'!$A$2:$AH$120,2,FALSE)</f>
        <v>#N/A</v>
      </c>
      <c r="AJ72" s="18" t="e">
        <f>VLOOKUP($D72,'Week 25'!$A$2:$AH$120,2,FALSE)</f>
        <v>#N/A</v>
      </c>
      <c r="AK72" s="18" t="e">
        <f>VLOOKUP($D72,'Week 26'!$A$2:$AH$120,2,FALSE)</f>
        <v>#N/A</v>
      </c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</row>
    <row r="73" spans="1:52">
      <c r="A73" s="192" t="s">
        <v>1565</v>
      </c>
      <c r="B73" s="185"/>
      <c r="C73" s="185"/>
      <c r="D73" s="13"/>
      <c r="E73" s="3"/>
      <c r="F73" s="16"/>
      <c r="G73" s="16"/>
      <c r="H73" s="16" t="s">
        <v>726</v>
      </c>
      <c r="I73" s="17"/>
      <c r="J73" s="17"/>
      <c r="K73" s="17">
        <f t="shared" si="3"/>
        <v>0</v>
      </c>
      <c r="L73" s="18" t="e">
        <f>VLOOKUP($D73,'Week 1'!$A$2:$AD$120,2,FALSE)</f>
        <v>#N/A</v>
      </c>
      <c r="M73" s="18" t="e">
        <f>VLOOKUP($D73,'Week 2'!$A$2:$AD$120,2,FALSE)</f>
        <v>#N/A</v>
      </c>
      <c r="N73" s="18" t="e">
        <f>VLOOKUP($D73,'Week 3'!$A$2:$AH$119,2,FALSE)</f>
        <v>#N/A</v>
      </c>
      <c r="O73" s="18" t="e">
        <f>VLOOKUP($D73,'Week 4'!$A$2:$AH$122,2,FALSE)</f>
        <v>#N/A</v>
      </c>
      <c r="P73" s="18" t="e">
        <f>VLOOKUP($D73,'Week 5'!$A$2:$AG$120,2,FALSE)</f>
        <v>#N/A</v>
      </c>
      <c r="Q73" s="18" t="e">
        <f>VLOOKUP($D73,'week 6'!$A$2:$AH$120,2,FALSE)</f>
        <v>#N/A</v>
      </c>
      <c r="R73" s="18" t="e">
        <f>VLOOKUP($D73,'Week 7'!$A$2:$AH$120,2,FALSE)</f>
        <v>#N/A</v>
      </c>
      <c r="S73" s="18" t="e">
        <f>VLOOKUP($D73,'Week 8'!$A$2:$AH$120,2,FALSE)</f>
        <v>#N/A</v>
      </c>
      <c r="T73" s="18" t="e">
        <f>VLOOKUP($D73,'Week 9'!$A$2:$AH$120,2,FALSE)</f>
        <v>#N/A</v>
      </c>
      <c r="U73" s="18" t="e">
        <f>VLOOKUP($D73,'Week 9'!$A$2:$AH$120,2,FALSE)</f>
        <v>#N/A</v>
      </c>
      <c r="V73" s="18" t="e">
        <f>VLOOKUP($D73,'Week 9'!$A$2:$AH$120,2,FALSE)</f>
        <v>#N/A</v>
      </c>
      <c r="W73" s="18" t="e">
        <f>VLOOKUP($D73,'Week 9'!$A$2:$AH$120,2,FALSE)</f>
        <v>#N/A</v>
      </c>
      <c r="X73" s="18" t="e">
        <f>VLOOKUP($D73,'Week 13'!$A$2:$AH$120,2,FALSE)</f>
        <v>#N/A</v>
      </c>
      <c r="Y73" s="18" t="e">
        <f>VLOOKUP($D73,'Week 14'!$A$2:$AH$120,2,FALSE)</f>
        <v>#N/A</v>
      </c>
      <c r="Z73" s="18" t="e">
        <f>VLOOKUP($D73,'Week 15'!$A$2:$AH$120,2,FALSE)</f>
        <v>#N/A</v>
      </c>
      <c r="AA73" s="18" t="e">
        <f>VLOOKUP($D73,'Week 16'!$A$2:$AH$120,2,FALSE)</f>
        <v>#N/A</v>
      </c>
      <c r="AB73" s="18" t="e">
        <f>VLOOKUP($D73,'Week 17'!$A$2:$AH$120,2,FALSE)</f>
        <v>#N/A</v>
      </c>
      <c r="AC73" s="18" t="e">
        <f>VLOOKUP($D73,'Week 18'!$A$2:$AH$120,2,FALSE)</f>
        <v>#N/A</v>
      </c>
      <c r="AD73" s="18" t="e">
        <f>VLOOKUP($D73,'Week 19'!$A$2:$AH$120,2,FALSE)</f>
        <v>#N/A</v>
      </c>
      <c r="AE73" s="18" t="e">
        <f>VLOOKUP($D73,'Week 20'!$A$2:$AH$120,2,FALSE)</f>
        <v>#N/A</v>
      </c>
      <c r="AF73" s="18" t="e">
        <f>VLOOKUP($D73,'Week 21'!$A$2:$AH$120,2,FALSE)</f>
        <v>#N/A</v>
      </c>
      <c r="AG73" s="18" t="e">
        <f>VLOOKUP($D73,'Week 22'!$A$2:$AH$120,2,FALSE)</f>
        <v>#N/A</v>
      </c>
      <c r="AH73" s="18" t="e">
        <f>VLOOKUP($D73,'Week 23'!$A$2:$AH$120,2,FALSE)</f>
        <v>#N/A</v>
      </c>
      <c r="AI73" s="18" t="e">
        <f>VLOOKUP($D73,'Week 24'!$A$2:$AH$120,2,FALSE)</f>
        <v>#N/A</v>
      </c>
      <c r="AJ73" s="18" t="e">
        <f>VLOOKUP($D73,'Week 25'!$A$2:$AH$120,2,FALSE)</f>
        <v>#N/A</v>
      </c>
      <c r="AK73" s="18" t="e">
        <f>VLOOKUP($D73,'Week 26'!$A$2:$AH$120,2,FALSE)</f>
        <v>#N/A</v>
      </c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</row>
    <row r="74" spans="1:52" ht="15.75" customHeight="1">
      <c r="A74" s="3">
        <v>11.19</v>
      </c>
      <c r="B74" s="153" t="s">
        <v>1583</v>
      </c>
      <c r="C74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D74" s="13" t="s">
        <v>89</v>
      </c>
      <c r="E74" s="3">
        <v>60</v>
      </c>
      <c r="F74" s="15">
        <v>17</v>
      </c>
      <c r="G74" s="16">
        <v>2</v>
      </c>
      <c r="H74" s="3">
        <v>4</v>
      </c>
      <c r="I74" s="17" t="b">
        <f t="shared" ref="I74:I85" si="6">IF(F74=1,(K74/H74))</f>
        <v>0</v>
      </c>
      <c r="J74" s="17" t="b">
        <f t="shared" ref="J74:J87" si="7">IF(F74&lt;=10,(K74/G74))</f>
        <v>0</v>
      </c>
      <c r="K74" s="17">
        <f t="shared" si="3"/>
        <v>2</v>
      </c>
      <c r="L74" s="18" t="e">
        <f>VLOOKUP($D74,'Week 1'!$A$2:$AD$120,2,FALSE)</f>
        <v>#N/A</v>
      </c>
      <c r="M74" s="18">
        <f>VLOOKUP($D74,'Week 2'!$A$2:$AD$120,2,FALSE)</f>
        <v>1</v>
      </c>
      <c r="N74" s="18">
        <f>VLOOKUP($D74,'Week 3'!$A$2:$AH$119,2,FALSE)</f>
        <v>0</v>
      </c>
      <c r="O74" s="18">
        <f>VLOOKUP($D74,'Week 4'!$A$2:$AH$122,2,FALSE)</f>
        <v>0</v>
      </c>
      <c r="P74" s="18">
        <f>VLOOKUP($D74,'Week 5'!$A$2:$AG$120,2,FALSE)</f>
        <v>0</v>
      </c>
      <c r="Q74" s="18">
        <f>VLOOKUP($D74,'week 6'!$A$2:$AH$120,2,FALSE)</f>
        <v>0</v>
      </c>
      <c r="R74" s="18">
        <f>VLOOKUP($D74,'Week 7'!$A$2:$AH$120,2,FALSE)</f>
        <v>0</v>
      </c>
      <c r="S74" s="18">
        <f>VLOOKUP($D74,'Week 8'!$A$2:$AH$120,2,FALSE)</f>
        <v>1</v>
      </c>
      <c r="T74" s="18">
        <f>VLOOKUP($D74,'Week 9'!$A$2:$AH$120,2,FALSE)</f>
        <v>0</v>
      </c>
      <c r="U74" s="18">
        <f>VLOOKUP($D74,'Week 9'!$A$2:$AH$120,2,FALSE)</f>
        <v>0</v>
      </c>
      <c r="V74" s="18">
        <f>VLOOKUP($D74,'Week 9'!$A$2:$AH$120,2,FALSE)</f>
        <v>0</v>
      </c>
      <c r="W74" s="18">
        <f>VLOOKUP($D74,'Week 9'!$A$2:$AH$120,2,FALSE)</f>
        <v>0</v>
      </c>
      <c r="X74" s="18">
        <f>VLOOKUP($D74,'Week 13'!$A$2:$AH$120,2,FALSE)</f>
        <v>0</v>
      </c>
      <c r="Y74" s="18">
        <f>VLOOKUP($D74,'Week 14'!$A$2:$AH$120,2,FALSE)</f>
        <v>0</v>
      </c>
      <c r="Z74" s="18">
        <f>VLOOKUP($D74,'Week 15'!$A$2:$AH$120,2,FALSE)</f>
        <v>0</v>
      </c>
      <c r="AA74" s="18">
        <f>VLOOKUP($D74,'Week 16'!$A$2:$AH$120,2,FALSE)</f>
        <v>0</v>
      </c>
      <c r="AB74" s="18">
        <f>VLOOKUP($D74,'Week 17'!$A$2:$AH$120,2,FALSE)</f>
        <v>0</v>
      </c>
      <c r="AC74" s="18">
        <f>VLOOKUP($D74,'Week 18'!$A$2:$AH$120,2,FALSE)</f>
        <v>0</v>
      </c>
      <c r="AD74" s="18">
        <f>VLOOKUP($D74,'Week 19'!$A$2:$AH$120,2,FALSE)</f>
        <v>0</v>
      </c>
      <c r="AE74" s="18">
        <f>VLOOKUP($D74,'Week 20'!$A$2:$AH$120,2,FALSE)</f>
        <v>0</v>
      </c>
      <c r="AF74" s="18">
        <f>VLOOKUP($D74,'Week 21'!$A$2:$AH$120,2,FALSE)</f>
        <v>0</v>
      </c>
      <c r="AG74" s="18">
        <f>VLOOKUP($D74,'Week 22'!$A$2:$AH$120,2,FALSE)</f>
        <v>0</v>
      </c>
      <c r="AH74" s="18">
        <f>VLOOKUP($D74,'Week 23'!$A$2:$AH$120,2,FALSE)</f>
        <v>0</v>
      </c>
      <c r="AI74" s="18">
        <f>VLOOKUP($D74,'Week 24'!$A$2:$AH$120,2,FALSE)</f>
        <v>0</v>
      </c>
      <c r="AJ74" s="18">
        <f>VLOOKUP($D74,'Week 25'!$A$2:$AH$120,2,FALSE)</f>
        <v>0</v>
      </c>
      <c r="AK74" s="18">
        <f>VLOOKUP($D74,'Week 26'!$A$2:$AH$120,2,FALSE)</f>
        <v>0</v>
      </c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</row>
    <row r="75" spans="1:52" ht="15.75" customHeight="1">
      <c r="A75" s="18"/>
      <c r="B75" s="3" t="s">
        <v>1583</v>
      </c>
      <c r="C75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D75" s="3" t="s">
        <v>58</v>
      </c>
      <c r="E75" s="3">
        <v>10</v>
      </c>
      <c r="F75" s="15">
        <v>5</v>
      </c>
      <c r="G75" s="16">
        <v>1</v>
      </c>
      <c r="H75" s="3">
        <v>5</v>
      </c>
      <c r="I75" s="17" t="b">
        <f t="shared" si="6"/>
        <v>0</v>
      </c>
      <c r="J75" s="17">
        <f t="shared" si="7"/>
        <v>0</v>
      </c>
      <c r="K75" s="17">
        <f t="shared" si="3"/>
        <v>0</v>
      </c>
      <c r="L75" s="18" t="e">
        <f>VLOOKUP($D75,'Week 1'!$A$2:$AD$120,2,FALSE)</f>
        <v>#N/A</v>
      </c>
      <c r="M75" s="18" t="e">
        <f>VLOOKUP($D75,'Week 2'!$A$2:$AD$120,2,FALSE)</f>
        <v>#N/A</v>
      </c>
      <c r="N75" s="18">
        <f>VLOOKUP($D75,'Week 3'!$A$2:$AH$119,2,FALSE)</f>
        <v>0</v>
      </c>
      <c r="O75" s="18">
        <f>VLOOKUP($D75,'Week 4'!$A$2:$AH$122,2,FALSE)</f>
        <v>0</v>
      </c>
      <c r="P75" s="18">
        <f>VLOOKUP($D75,'Week 5'!$A$2:$AG$120,2,FALSE)</f>
        <v>0</v>
      </c>
      <c r="Q75" s="18">
        <f>VLOOKUP($D75,'week 6'!$A$2:$AH$120,2,FALSE)</f>
        <v>0</v>
      </c>
      <c r="R75" s="18">
        <f>VLOOKUP($D75,'Week 7'!$A$2:$AH$120,2,FALSE)</f>
        <v>0</v>
      </c>
      <c r="S75" s="18">
        <f>VLOOKUP($D75,'Week 8'!$A$2:$AH$120,2,FALSE)</f>
        <v>0</v>
      </c>
      <c r="T75" s="18">
        <f>VLOOKUP($D75,'Week 9'!$A$2:$AH$120,2,FALSE)</f>
        <v>0</v>
      </c>
      <c r="U75" s="18">
        <f>VLOOKUP($D75,'Week 9'!$A$2:$AH$120,2,FALSE)</f>
        <v>0</v>
      </c>
      <c r="V75" s="18">
        <f>VLOOKUP($D75,'Week 9'!$A$2:$AH$120,2,FALSE)</f>
        <v>0</v>
      </c>
      <c r="W75" s="18">
        <f>VLOOKUP($D75,'Week 9'!$A$2:$AH$120,2,FALSE)</f>
        <v>0</v>
      </c>
      <c r="X75" s="18">
        <f>VLOOKUP($D75,'Week 13'!$A$2:$AH$120,2,FALSE)</f>
        <v>0</v>
      </c>
      <c r="Y75" s="18">
        <f>VLOOKUP($D75,'Week 14'!$A$2:$AH$120,2,FALSE)</f>
        <v>0</v>
      </c>
      <c r="Z75" s="18">
        <f>VLOOKUP($D75,'Week 15'!$A$2:$AH$120,2,FALSE)</f>
        <v>0</v>
      </c>
      <c r="AA75" s="18">
        <f>VLOOKUP($D75,'Week 16'!$A$2:$AH$120,2,FALSE)</f>
        <v>0</v>
      </c>
      <c r="AB75" s="18">
        <f>VLOOKUP($D75,'Week 17'!$A$2:$AH$120,2,FALSE)</f>
        <v>0</v>
      </c>
      <c r="AC75" s="18">
        <f>VLOOKUP($D75,'Week 18'!$A$2:$AH$120,2,FALSE)</f>
        <v>0</v>
      </c>
      <c r="AD75" s="18">
        <f>VLOOKUP($D75,'Week 19'!$A$2:$AH$120,2,FALSE)</f>
        <v>0</v>
      </c>
      <c r="AE75" s="18">
        <f>VLOOKUP($D75,'Week 20'!$A$2:$AH$120,2,FALSE)</f>
        <v>0</v>
      </c>
      <c r="AF75" s="18">
        <f>VLOOKUP($D75,'Week 21'!$A$2:$AH$120,2,FALSE)</f>
        <v>0</v>
      </c>
      <c r="AG75" s="18">
        <f>VLOOKUP($D75,'Week 22'!$A$2:$AH$120,2,FALSE)</f>
        <v>0</v>
      </c>
      <c r="AH75" s="18">
        <f>VLOOKUP($D75,'Week 23'!$A$2:$AH$120,2,FALSE)</f>
        <v>0</v>
      </c>
      <c r="AI75" s="18">
        <f>VLOOKUP($D75,'Week 24'!$A$2:$AH$120,2,FALSE)</f>
        <v>0</v>
      </c>
      <c r="AJ75" s="18">
        <f>VLOOKUP($D75,'Week 25'!$A$2:$AH$120,2,FALSE)</f>
        <v>0</v>
      </c>
      <c r="AK75" s="18">
        <f>VLOOKUP($D75,'Week 26'!$A$2:$AH$120,2,FALSE)</f>
        <v>0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</row>
    <row r="76" spans="1:52" ht="15.75" customHeight="1">
      <c r="A76" s="18"/>
      <c r="B76" s="3" t="s">
        <v>1583</v>
      </c>
      <c r="C76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D76" s="3" t="s">
        <v>22</v>
      </c>
      <c r="E76" s="3">
        <v>20</v>
      </c>
      <c r="F76" s="15">
        <v>8</v>
      </c>
      <c r="G76" s="16">
        <v>2</v>
      </c>
      <c r="H76" s="3">
        <v>4</v>
      </c>
      <c r="I76" s="17" t="b">
        <f t="shared" si="6"/>
        <v>0</v>
      </c>
      <c r="J76" s="17">
        <f t="shared" si="7"/>
        <v>0.5</v>
      </c>
      <c r="K76" s="17">
        <f t="shared" si="3"/>
        <v>1</v>
      </c>
      <c r="L76" s="18" t="e">
        <f>VLOOKUP($D76,'Week 1'!$A$2:$AD$120,2,FALSE)</f>
        <v>#N/A</v>
      </c>
      <c r="M76" s="18" t="e">
        <f>VLOOKUP($D76,'Week 2'!$A$2:$AD$120,2,FALSE)</f>
        <v>#N/A</v>
      </c>
      <c r="N76" s="18">
        <f>VLOOKUP($D76,'Week 3'!$A$2:$AH$119,2,FALSE)</f>
        <v>0</v>
      </c>
      <c r="O76" s="18">
        <f>VLOOKUP($D76,'Week 4'!$A$2:$AH$122,2,FALSE)</f>
        <v>1</v>
      </c>
      <c r="P76" s="18">
        <f>VLOOKUP($D76,'Week 5'!$A$2:$AG$120,2,FALSE)</f>
        <v>0</v>
      </c>
      <c r="Q76" s="18">
        <f>VLOOKUP($D76,'week 6'!$A$2:$AH$120,2,FALSE)</f>
        <v>0</v>
      </c>
      <c r="R76" s="18">
        <f>VLOOKUP($D76,'Week 7'!$A$2:$AH$120,2,FALSE)</f>
        <v>0</v>
      </c>
      <c r="S76" s="18">
        <f>VLOOKUP($D76,'Week 8'!$A$2:$AH$120,2,FALSE)</f>
        <v>0</v>
      </c>
      <c r="T76" s="18">
        <f>VLOOKUP($D76,'Week 9'!$A$2:$AH$120,2,FALSE)</f>
        <v>0</v>
      </c>
      <c r="U76" s="18">
        <f>VLOOKUP($D76,'Week 9'!$A$2:$AH$120,2,FALSE)</f>
        <v>0</v>
      </c>
      <c r="V76" s="18">
        <f>VLOOKUP($D76,'Week 9'!$A$2:$AH$120,2,FALSE)</f>
        <v>0</v>
      </c>
      <c r="W76" s="18">
        <f>VLOOKUP($D76,'Week 9'!$A$2:$AH$120,2,FALSE)</f>
        <v>0</v>
      </c>
      <c r="X76" s="18">
        <f>VLOOKUP($D76,'Week 13'!$A$2:$AH$120,2,FALSE)</f>
        <v>0</v>
      </c>
      <c r="Y76" s="18">
        <f>VLOOKUP($D76,'Week 14'!$A$2:$AH$120,2,FALSE)</f>
        <v>0</v>
      </c>
      <c r="Z76" s="18">
        <f>VLOOKUP($D76,'Week 15'!$A$2:$AH$120,2,FALSE)</f>
        <v>0</v>
      </c>
      <c r="AA76" s="18">
        <f>VLOOKUP($D76,'Week 16'!$A$2:$AH$120,2,FALSE)</f>
        <v>0</v>
      </c>
      <c r="AB76" s="18">
        <f>VLOOKUP($D76,'Week 17'!$A$2:$AH$120,2,FALSE)</f>
        <v>0</v>
      </c>
      <c r="AC76" s="18">
        <f>VLOOKUP($D76,'Week 18'!$A$2:$AH$120,2,FALSE)</f>
        <v>0</v>
      </c>
      <c r="AD76" s="18">
        <f>VLOOKUP($D76,'Week 19'!$A$2:$AH$120,2,FALSE)</f>
        <v>0</v>
      </c>
      <c r="AE76" s="18">
        <f>VLOOKUP($D76,'Week 20'!$A$2:$AH$120,2,FALSE)</f>
        <v>0</v>
      </c>
      <c r="AF76" s="18">
        <f>VLOOKUP($D76,'Week 21'!$A$2:$AH$120,2,FALSE)</f>
        <v>0</v>
      </c>
      <c r="AG76" s="18">
        <f>VLOOKUP($D76,'Week 22'!$A$2:$AH$120,2,FALSE)</f>
        <v>0</v>
      </c>
      <c r="AH76" s="18">
        <f>VLOOKUP($D76,'Week 23'!$A$2:$AH$120,2,FALSE)</f>
        <v>0</v>
      </c>
      <c r="AI76" s="18">
        <f>VLOOKUP($D76,'Week 24'!$A$2:$AH$120,2,FALSE)</f>
        <v>0</v>
      </c>
      <c r="AJ76" s="18">
        <f>VLOOKUP($D76,'Week 25'!$A$2:$AH$120,2,FALSE)</f>
        <v>0</v>
      </c>
      <c r="AK76" s="18">
        <f>VLOOKUP($D76,'Week 26'!$A$2:$AH$120,2,FALSE)</f>
        <v>0</v>
      </c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</row>
    <row r="77" spans="1:52" ht="15.75" customHeight="1">
      <c r="A77" s="18"/>
      <c r="B77" s="3" t="s">
        <v>1583</v>
      </c>
      <c r="C77" s="11" t="str">
        <f>HYPERLINK("https://healthcareweekly.com/blue-cross-blue-shield-of-illinois-2018/","2018 news roundup for Blue Cross Blue Shield of Illinois
")</f>
        <v>2018 news roundup for Blue Cross Blue Shield of Illinois_x000D_</v>
      </c>
      <c r="D77" s="3" t="s">
        <v>1666</v>
      </c>
      <c r="E77" s="58">
        <v>80000</v>
      </c>
      <c r="F77" s="15">
        <v>26</v>
      </c>
      <c r="G77" s="16">
        <v>5</v>
      </c>
      <c r="H77" s="3">
        <v>10</v>
      </c>
      <c r="I77" s="17" t="b">
        <f t="shared" si="6"/>
        <v>0</v>
      </c>
      <c r="J77" s="17" t="b">
        <f t="shared" si="7"/>
        <v>0</v>
      </c>
      <c r="K77" s="17">
        <f t="shared" si="3"/>
        <v>0</v>
      </c>
      <c r="L77" s="18" t="e">
        <f>VLOOKUP($D77,'Week 1'!$A$2:$AD$120,2,FALSE)</f>
        <v>#N/A</v>
      </c>
      <c r="M77" s="18" t="e">
        <f>VLOOKUP($D77,'Week 2'!$A$2:$AD$120,2,FALSE)</f>
        <v>#N/A</v>
      </c>
      <c r="N77" s="18" t="e">
        <f>VLOOKUP($D77,'Week 3'!$A$2:$AH$119,2,FALSE)</f>
        <v>#N/A</v>
      </c>
      <c r="O77" s="18" t="e">
        <f>VLOOKUP($D77,'Week 4'!$A$2:$AH$122,2,FALSE)</f>
        <v>#N/A</v>
      </c>
      <c r="P77" s="18" t="e">
        <f>VLOOKUP($D77,'Week 5'!$A$2:$AG$120,2,FALSE)</f>
        <v>#N/A</v>
      </c>
      <c r="Q77" s="18" t="e">
        <f>VLOOKUP($D77,'week 6'!$A$2:$AH$120,2,FALSE)</f>
        <v>#N/A</v>
      </c>
      <c r="R77" s="18" t="e">
        <f>VLOOKUP($D77,'Week 7'!$A$2:$AH$120,2,FALSE)</f>
        <v>#N/A</v>
      </c>
      <c r="S77" s="18" t="e">
        <f>VLOOKUP($D77,'Week 8'!$A$2:$AH$120,2,FALSE)</f>
        <v>#N/A</v>
      </c>
      <c r="T77" s="18" t="e">
        <f>VLOOKUP($D77,'Week 9'!$A$2:$AH$120,2,FALSE)</f>
        <v>#N/A</v>
      </c>
      <c r="U77" s="18" t="e">
        <f>VLOOKUP($D77,'Week 9'!$A$2:$AH$120,2,FALSE)</f>
        <v>#N/A</v>
      </c>
      <c r="V77" s="18" t="e">
        <f>VLOOKUP($D77,'Week 9'!$A$2:$AH$120,2,FALSE)</f>
        <v>#N/A</v>
      </c>
      <c r="W77" s="18" t="e">
        <f>VLOOKUP($D77,'Week 9'!$A$2:$AH$120,2,FALSE)</f>
        <v>#N/A</v>
      </c>
      <c r="X77" s="18" t="e">
        <f>VLOOKUP($D77,'Week 13'!$A$2:$AH$120,2,FALSE)</f>
        <v>#N/A</v>
      </c>
      <c r="Y77" s="18" t="e">
        <f>VLOOKUP($D77,'Week 14'!$A$2:$AH$120,2,FALSE)</f>
        <v>#N/A</v>
      </c>
      <c r="Z77" s="18" t="e">
        <f>VLOOKUP($D77,'Week 15'!$A$2:$AH$120,2,FALSE)</f>
        <v>#N/A</v>
      </c>
      <c r="AA77" s="18" t="e">
        <f>VLOOKUP($D77,'Week 16'!$A$2:$AH$120,2,FALSE)</f>
        <v>#N/A</v>
      </c>
      <c r="AB77" s="18" t="e">
        <f>VLOOKUP($D77,'Week 17'!$A$2:$AH$120,2,FALSE)</f>
        <v>#N/A</v>
      </c>
      <c r="AC77" s="18" t="e">
        <f>VLOOKUP($D77,'Week 18'!$A$2:$AH$120,2,FALSE)</f>
        <v>#N/A</v>
      </c>
      <c r="AD77" s="18" t="e">
        <f>VLOOKUP($D77,'Week 19'!$A$2:$AH$120,2,FALSE)</f>
        <v>#N/A</v>
      </c>
      <c r="AE77" s="18" t="e">
        <f>VLOOKUP($D77,'Week 20'!$A$2:$AH$120,2,FALSE)</f>
        <v>#N/A</v>
      </c>
      <c r="AF77" s="18" t="e">
        <f>VLOOKUP($D77,'Week 21'!$A$2:$AH$120,2,FALSE)</f>
        <v>#N/A</v>
      </c>
      <c r="AG77" s="18" t="e">
        <f>VLOOKUP($D77,'Week 22'!$A$2:$AH$120,2,FALSE)</f>
        <v>#N/A</v>
      </c>
      <c r="AH77" s="18" t="e">
        <f>VLOOKUP($D77,'Week 23'!$A$2:$AH$120,2,FALSE)</f>
        <v>#N/A</v>
      </c>
      <c r="AI77" s="18" t="e">
        <f>VLOOKUP($D77,'Week 24'!$A$2:$AH$120,2,FALSE)</f>
        <v>#N/A</v>
      </c>
      <c r="AJ77" s="18" t="e">
        <f>VLOOKUP($D77,'Week 25'!$A$2:$AH$120,2,FALSE)</f>
        <v>#N/A</v>
      </c>
      <c r="AK77" s="18" t="e">
        <f>VLOOKUP($D77,'Week 26'!$A$2:$AH$120,2,FALSE)</f>
        <v>#N/A</v>
      </c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</row>
    <row r="78" spans="1:52" ht="15.75" customHeight="1">
      <c r="A78" s="18"/>
      <c r="B78" s="3" t="s">
        <v>1583</v>
      </c>
      <c r="C78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D78" s="3" t="s">
        <v>75</v>
      </c>
      <c r="E78" s="3">
        <v>90</v>
      </c>
      <c r="F78" s="15">
        <v>12</v>
      </c>
      <c r="G78" s="16">
        <v>4</v>
      </c>
      <c r="H78" s="3">
        <v>8</v>
      </c>
      <c r="I78" s="17" t="b">
        <f t="shared" si="6"/>
        <v>0</v>
      </c>
      <c r="J78" s="17" t="b">
        <f t="shared" si="7"/>
        <v>0</v>
      </c>
      <c r="K78" s="17">
        <f t="shared" si="3"/>
        <v>0</v>
      </c>
      <c r="L78" s="18" t="e">
        <f>VLOOKUP($D78,'Week 1'!$A$2:$AD$120,2,FALSE)</f>
        <v>#N/A</v>
      </c>
      <c r="M78" s="18" t="e">
        <f>VLOOKUP($D78,'Week 2'!$A$2:$AD$120,2,FALSE)</f>
        <v>#N/A</v>
      </c>
      <c r="N78" s="18">
        <f>VLOOKUP($D78,'Week 3'!$A$2:$AH$119,2,FALSE)</f>
        <v>0</v>
      </c>
      <c r="O78" s="18">
        <f>VLOOKUP($D78,'Week 4'!$A$2:$AH$122,2,FALSE)</f>
        <v>0</v>
      </c>
      <c r="P78" s="18">
        <f>VLOOKUP($D78,'Week 5'!$A$2:$AG$120,2,FALSE)</f>
        <v>0</v>
      </c>
      <c r="Q78" s="18">
        <f>VLOOKUP($D78,'week 6'!$A$2:$AH$120,2,FALSE)</f>
        <v>0</v>
      </c>
      <c r="R78" s="18">
        <f>VLOOKUP($D78,'Week 7'!$A$2:$AH$120,2,FALSE)</f>
        <v>0</v>
      </c>
      <c r="S78" s="18">
        <f>VLOOKUP($D78,'Week 8'!$A$2:$AH$120,2,FALSE)</f>
        <v>0</v>
      </c>
      <c r="T78" s="18">
        <f>VLOOKUP($D78,'Week 9'!$A$2:$AH$120,2,FALSE)</f>
        <v>0</v>
      </c>
      <c r="U78" s="18">
        <f>VLOOKUP($D78,'Week 9'!$A$2:$AH$120,2,FALSE)</f>
        <v>0</v>
      </c>
      <c r="V78" s="18">
        <f>VLOOKUP($D78,'Week 9'!$A$2:$AH$120,2,FALSE)</f>
        <v>0</v>
      </c>
      <c r="W78" s="18">
        <f>VLOOKUP($D78,'Week 9'!$A$2:$AH$120,2,FALSE)</f>
        <v>0</v>
      </c>
      <c r="X78" s="18">
        <f>VLOOKUP($D78,'Week 13'!$A$2:$AH$120,2,FALSE)</f>
        <v>0</v>
      </c>
      <c r="Y78" s="18">
        <f>VLOOKUP($D78,'Week 14'!$A$2:$AH$120,2,FALSE)</f>
        <v>0</v>
      </c>
      <c r="Z78" s="18">
        <f>VLOOKUP($D78,'Week 15'!$A$2:$AH$120,2,FALSE)</f>
        <v>0</v>
      </c>
      <c r="AA78" s="18">
        <f>VLOOKUP($D78,'Week 16'!$A$2:$AH$120,2,FALSE)</f>
        <v>0</v>
      </c>
      <c r="AB78" s="18">
        <f>VLOOKUP($D78,'Week 17'!$A$2:$AH$120,2,FALSE)</f>
        <v>0</v>
      </c>
      <c r="AC78" s="18">
        <f>VLOOKUP($D78,'Week 18'!$A$2:$AH$120,2,FALSE)</f>
        <v>0</v>
      </c>
      <c r="AD78" s="18">
        <f>VLOOKUP($D78,'Week 19'!$A$2:$AH$120,2,FALSE)</f>
        <v>0</v>
      </c>
      <c r="AE78" s="18">
        <f>VLOOKUP($D78,'Week 20'!$A$2:$AH$120,2,FALSE)</f>
        <v>0</v>
      </c>
      <c r="AF78" s="18">
        <f>VLOOKUP($D78,'Week 21'!$A$2:$AH$120,2,FALSE)</f>
        <v>0</v>
      </c>
      <c r="AG78" s="18">
        <f>VLOOKUP($D78,'Week 22'!$A$2:$AH$120,2,FALSE)</f>
        <v>0</v>
      </c>
      <c r="AH78" s="18">
        <f>VLOOKUP($D78,'Week 23'!$A$2:$AH$120,2,FALSE)</f>
        <v>0</v>
      </c>
      <c r="AI78" s="18">
        <f>VLOOKUP($D78,'Week 24'!$A$2:$AH$120,2,FALSE)</f>
        <v>0</v>
      </c>
      <c r="AJ78" s="18">
        <f>VLOOKUP($D78,'Week 25'!$A$2:$AH$120,2,FALSE)</f>
        <v>0</v>
      </c>
      <c r="AK78" s="18">
        <f>VLOOKUP($D78,'Week 26'!$A$2:$AH$120,2,FALSE)</f>
        <v>0</v>
      </c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</row>
    <row r="79" spans="1:52" ht="15.75" customHeight="1">
      <c r="A79" s="18"/>
      <c r="B79" s="3" t="s">
        <v>1583</v>
      </c>
      <c r="C79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D79" s="3" t="s">
        <v>119</v>
      </c>
      <c r="E79" s="3">
        <v>450</v>
      </c>
      <c r="F79" s="48">
        <v>56</v>
      </c>
      <c r="G79" s="3">
        <v>5</v>
      </c>
      <c r="H79" s="3">
        <v>10</v>
      </c>
      <c r="I79" s="17" t="b">
        <f t="shared" si="6"/>
        <v>0</v>
      </c>
      <c r="J79" s="17" t="b">
        <f t="shared" si="7"/>
        <v>0</v>
      </c>
      <c r="K79" s="17">
        <f t="shared" si="3"/>
        <v>5</v>
      </c>
      <c r="L79" s="18" t="e">
        <f>VLOOKUP($D79,'Week 1'!$A$2:$AD$120,2,FALSE)</f>
        <v>#N/A</v>
      </c>
      <c r="M79" s="18" t="e">
        <f>VLOOKUP($D79,'Week 2'!$A$2:$AD$120,2,FALSE)</f>
        <v>#N/A</v>
      </c>
      <c r="N79" s="18">
        <f>VLOOKUP($D79,'Week 3'!$A$2:$AH$119,2,FALSE)</f>
        <v>0</v>
      </c>
      <c r="O79" s="18">
        <f>VLOOKUP($D79,'Week 4'!$A$2:$AH$122,2,FALSE)</f>
        <v>4</v>
      </c>
      <c r="P79" s="18">
        <f>VLOOKUP($D79,'Week 5'!$A$2:$AG$120,2,FALSE)</f>
        <v>1</v>
      </c>
      <c r="Q79" s="18">
        <f>VLOOKUP($D79,'week 6'!$A$2:$AH$120,2,FALSE)</f>
        <v>0</v>
      </c>
      <c r="R79" s="18">
        <f>VLOOKUP($D79,'Week 7'!$A$2:$AH$120,2,FALSE)</f>
        <v>0</v>
      </c>
      <c r="S79" s="18">
        <f>VLOOKUP($D79,'Week 8'!$A$2:$AH$120,2,FALSE)</f>
        <v>0</v>
      </c>
      <c r="T79" s="18">
        <f>VLOOKUP($D79,'Week 9'!$A$2:$AH$120,2,FALSE)</f>
        <v>0</v>
      </c>
      <c r="U79" s="18">
        <f>VLOOKUP($D79,'Week 9'!$A$2:$AH$120,2,FALSE)</f>
        <v>0</v>
      </c>
      <c r="V79" s="18">
        <f>VLOOKUP($D79,'Week 9'!$A$2:$AH$120,2,FALSE)</f>
        <v>0</v>
      </c>
      <c r="W79" s="18">
        <f>VLOOKUP($D79,'Week 9'!$A$2:$AH$120,2,FALSE)</f>
        <v>0</v>
      </c>
      <c r="X79" s="18">
        <f>VLOOKUP($D79,'Week 13'!$A$2:$AH$120,2,FALSE)</f>
        <v>0</v>
      </c>
      <c r="Y79" s="18">
        <f>VLOOKUP($D79,'Week 14'!$A$2:$AH$120,2,FALSE)</f>
        <v>0</v>
      </c>
      <c r="Z79" s="18">
        <f>VLOOKUP($D79,'Week 15'!$A$2:$AH$120,2,FALSE)</f>
        <v>0</v>
      </c>
      <c r="AA79" s="18">
        <f>VLOOKUP($D79,'Week 16'!$A$2:$AH$120,2,FALSE)</f>
        <v>0</v>
      </c>
      <c r="AB79" s="18">
        <f>VLOOKUP($D79,'Week 17'!$A$2:$AH$120,2,FALSE)</f>
        <v>0</v>
      </c>
      <c r="AC79" s="18">
        <f>VLOOKUP($D79,'Week 18'!$A$2:$AH$120,2,FALSE)</f>
        <v>0</v>
      </c>
      <c r="AD79" s="18">
        <f>VLOOKUP($D79,'Week 19'!$A$2:$AH$120,2,FALSE)</f>
        <v>0</v>
      </c>
      <c r="AE79" s="18">
        <f>VLOOKUP($D79,'Week 20'!$A$2:$AH$120,2,FALSE)</f>
        <v>0</v>
      </c>
      <c r="AF79" s="18">
        <f>VLOOKUP($D79,'Week 21'!$A$2:$AH$120,2,FALSE)</f>
        <v>0</v>
      </c>
      <c r="AG79" s="18">
        <f>VLOOKUP($D79,'Week 22'!$A$2:$AH$120,2,FALSE)</f>
        <v>0</v>
      </c>
      <c r="AH79" s="18">
        <f>VLOOKUP($D79,'Week 23'!$A$2:$AH$120,2,FALSE)</f>
        <v>0</v>
      </c>
      <c r="AI79" s="18">
        <f>VLOOKUP($D79,'Week 24'!$A$2:$AH$120,2,FALSE)</f>
        <v>0</v>
      </c>
      <c r="AJ79" s="18">
        <f>VLOOKUP($D79,'Week 25'!$A$2:$AH$120,2,FALSE)</f>
        <v>0</v>
      </c>
      <c r="AK79" s="18">
        <f>VLOOKUP($D79,'Week 26'!$A$2:$AH$120,2,FALSE)</f>
        <v>0</v>
      </c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</row>
    <row r="80" spans="1:52" ht="15.75" customHeight="1">
      <c r="A80" s="18"/>
      <c r="B80" s="3" t="s">
        <v>1583</v>
      </c>
      <c r="C80" s="30" t="str">
        <f>HYPERLINK("https://healthcareweekly.com/astaxanthin/","15 health benefits of astaxanthin")</f>
        <v>15 health benefits of astaxanthin</v>
      </c>
      <c r="D80" s="3" t="s">
        <v>230</v>
      </c>
      <c r="E80" s="58">
        <v>54000</v>
      </c>
      <c r="F80" s="15">
        <v>21</v>
      </c>
      <c r="G80" s="16">
        <v>7</v>
      </c>
      <c r="H80" s="3">
        <v>14</v>
      </c>
      <c r="I80" s="17" t="b">
        <f t="shared" si="6"/>
        <v>0</v>
      </c>
      <c r="J80" s="17" t="b">
        <f t="shared" si="7"/>
        <v>0</v>
      </c>
      <c r="K80" s="17">
        <f t="shared" si="3"/>
        <v>30</v>
      </c>
      <c r="L80" s="18" t="e">
        <f>VLOOKUP($D80,'Week 1'!$A$2:$AD$120,2,FALSE)</f>
        <v>#N/A</v>
      </c>
      <c r="M80" s="18" t="e">
        <f>VLOOKUP($D80,'Week 2'!$A$2:$AD$120,2,FALSE)</f>
        <v>#N/A</v>
      </c>
      <c r="N80" s="18" t="e">
        <f>VLOOKUP($D80,'Week 3'!$A$2:$AH$120,2,FALSE)</f>
        <v>#N/A</v>
      </c>
      <c r="O80" s="18">
        <f>VLOOKUP($D80,'Week 4'!$A$2:$AH$122,2,FALSE)</f>
        <v>6</v>
      </c>
      <c r="P80" s="18">
        <f>VLOOKUP($D80,'Week 5'!$A$2:$AG$120,2,FALSE)</f>
        <v>3</v>
      </c>
      <c r="Q80" s="18">
        <f>VLOOKUP($D80,'week 6'!$A$2:$AH$120,2,FALSE)</f>
        <v>2</v>
      </c>
      <c r="R80" s="18">
        <f>VLOOKUP($D80,'Week 7'!$A$2:$AH$120,2,FALSE)</f>
        <v>0</v>
      </c>
      <c r="S80" s="18">
        <f>VLOOKUP($D80,'Week 8'!$A$2:$AH$120,2,FALSE)</f>
        <v>1</v>
      </c>
      <c r="T80" s="18">
        <f>VLOOKUP($D80,'Week 9'!$A$2:$AH$120,2,FALSE)</f>
        <v>2</v>
      </c>
      <c r="U80" s="18">
        <f>VLOOKUP($D80,'Week 9'!$A$2:$AH$120,2,FALSE)</f>
        <v>2</v>
      </c>
      <c r="V80" s="18">
        <f>VLOOKUP($D80,'Week 9'!$A$2:$AH$120,2,FALSE)</f>
        <v>2</v>
      </c>
      <c r="W80" s="18">
        <f>VLOOKUP($D80,'Week 9'!$A$2:$AH$120,2,FALSE)</f>
        <v>2</v>
      </c>
      <c r="X80" s="18">
        <f>VLOOKUP($D80,'Week 13'!$A$2:$AH$120,2,FALSE)</f>
        <v>1</v>
      </c>
      <c r="Y80" s="18">
        <f>VLOOKUP($D80,'Week 14'!$A$2:$AH$120,2,FALSE)</f>
        <v>2</v>
      </c>
      <c r="Z80" s="18">
        <f>VLOOKUP($D80,'Week 15'!$A$2:$AH$120,2,FALSE)</f>
        <v>2</v>
      </c>
      <c r="AA80" s="18">
        <f>VLOOKUP($D80,'Week 16'!$A$2:$AH$120,2,FALSE)</f>
        <v>1</v>
      </c>
      <c r="AB80" s="18">
        <f>VLOOKUP($D80,'Week 17'!$A$2:$AH$120,2,FALSE)</f>
        <v>1</v>
      </c>
      <c r="AC80" s="18">
        <f>VLOOKUP($D80,'Week 18'!$A$2:$AH$120,2,FALSE)</f>
        <v>0</v>
      </c>
      <c r="AD80" s="18">
        <f>VLOOKUP($D80,'Week 19'!$A$2:$AH$120,2,FALSE)</f>
        <v>0</v>
      </c>
      <c r="AE80" s="18">
        <f>VLOOKUP($D80,'Week 20'!$A$2:$AH$120,2,FALSE)</f>
        <v>0</v>
      </c>
      <c r="AF80" s="18">
        <f>VLOOKUP($D80,'Week 21'!$A$2:$AH$120,2,FALSE)</f>
        <v>1</v>
      </c>
      <c r="AG80" s="18">
        <f>VLOOKUP($D80,'Week 22'!$A$2:$AH$120,2,FALSE)</f>
        <v>2</v>
      </c>
      <c r="AH80" s="18">
        <f>VLOOKUP($D80,'Week 23'!$A$2:$AH$120,2,FALSE)</f>
        <v>0</v>
      </c>
      <c r="AI80" s="18">
        <f>VLOOKUP($D80,'Week 24'!$A$2:$AH$120,2,FALSE)</f>
        <v>0</v>
      </c>
      <c r="AJ80" s="18">
        <f>VLOOKUP($D80,'Week 25'!$A$2:$AH$120,2,FALSE)</f>
        <v>0</v>
      </c>
      <c r="AK80" s="18">
        <f>VLOOKUP($D80,'Week 26'!$A$2:$AH$120,2,FALSE)</f>
        <v>0</v>
      </c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</row>
    <row r="81" spans="1:52" ht="15.75" customHeight="1">
      <c r="A81" s="18"/>
      <c r="B81" s="3" t="s">
        <v>1583</v>
      </c>
      <c r="C81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D81" s="3" t="s">
        <v>129</v>
      </c>
      <c r="E81" s="58">
        <v>32000</v>
      </c>
      <c r="F81" s="15" t="s">
        <v>371</v>
      </c>
      <c r="G81" s="16">
        <v>35</v>
      </c>
      <c r="H81" s="3">
        <v>70</v>
      </c>
      <c r="I81" s="17" t="b">
        <f t="shared" si="6"/>
        <v>0</v>
      </c>
      <c r="J81" s="17" t="b">
        <f t="shared" si="7"/>
        <v>0</v>
      </c>
      <c r="K81" s="17">
        <f t="shared" si="3"/>
        <v>15</v>
      </c>
      <c r="L81" s="18" t="e">
        <f>VLOOKUP($D81,'Week 1'!$A$2:$AD$120,2,FALSE)</f>
        <v>#N/A</v>
      </c>
      <c r="M81" s="18" t="e">
        <f>VLOOKUP($D81,'Week 2'!$A$2:$AD$120,2,FALSE)</f>
        <v>#N/A</v>
      </c>
      <c r="N81" s="18" t="e">
        <f>VLOOKUP($D81,'Week 3'!$A$2:$AH$120,2,FALSE)</f>
        <v>#N/A</v>
      </c>
      <c r="O81" s="18">
        <f>VLOOKUP($D81,'Week 4'!$A$2:$AH$122,2,FALSE)</f>
        <v>1</v>
      </c>
      <c r="P81" s="18">
        <f>VLOOKUP($D81,'Week 5'!$A$2:$AG$120,2,FALSE)</f>
        <v>2</v>
      </c>
      <c r="Q81" s="18">
        <f>VLOOKUP($D81,'week 6'!$A$2:$AH$120,2,FALSE)</f>
        <v>0</v>
      </c>
      <c r="R81" s="18">
        <f>VLOOKUP($D81,'Week 7'!$A$2:$AH$120,2,FALSE)</f>
        <v>0</v>
      </c>
      <c r="S81" s="18">
        <f>VLOOKUP($D81,'Week 8'!$A$2:$AH$120,2,FALSE)</f>
        <v>3</v>
      </c>
      <c r="T81" s="18">
        <f>VLOOKUP($D81,'Week 9'!$A$2:$AH$120,2,FALSE)</f>
        <v>0</v>
      </c>
      <c r="U81" s="18">
        <f>VLOOKUP($D81,'Week 9'!$A$2:$AH$120,2,FALSE)</f>
        <v>0</v>
      </c>
      <c r="V81" s="18">
        <f>VLOOKUP($D81,'Week 9'!$A$2:$AH$120,2,FALSE)</f>
        <v>0</v>
      </c>
      <c r="W81" s="18">
        <f>VLOOKUP($D81,'Week 9'!$A$2:$AH$120,2,FALSE)</f>
        <v>0</v>
      </c>
      <c r="X81" s="18">
        <f>VLOOKUP($D81,'Week 13'!$A$2:$AH$120,2,FALSE)</f>
        <v>3</v>
      </c>
      <c r="Y81" s="18">
        <f>VLOOKUP($D81,'Week 14'!$A$2:$AH$120,2,FALSE)</f>
        <v>1</v>
      </c>
      <c r="Z81" s="18">
        <f>VLOOKUP($D81,'Week 15'!$A$2:$AH$120,2,FALSE)</f>
        <v>1</v>
      </c>
      <c r="AA81" s="18">
        <f>VLOOKUP($D81,'Week 16'!$A$2:$AH$120,2,FALSE)</f>
        <v>0</v>
      </c>
      <c r="AB81" s="18">
        <f>VLOOKUP($D81,'Week 17'!$A$2:$AH$120,2,FALSE)</f>
        <v>1</v>
      </c>
      <c r="AC81" s="18">
        <f>VLOOKUP($D81,'Week 18'!$A$2:$AH$120,2,FALSE)</f>
        <v>0</v>
      </c>
      <c r="AD81" s="18">
        <f>VLOOKUP($D81,'Week 19'!$A$2:$AH$120,2,FALSE)</f>
        <v>0</v>
      </c>
      <c r="AE81" s="18">
        <f>VLOOKUP($D81,'Week 20'!$A$2:$AH$120,2,FALSE)</f>
        <v>2</v>
      </c>
      <c r="AF81" s="18">
        <f>VLOOKUP($D81,'Week 21'!$A$2:$AH$120,2,FALSE)</f>
        <v>1</v>
      </c>
      <c r="AG81" s="18">
        <f>VLOOKUP($D81,'Week 22'!$A$2:$AH$120,2,FALSE)</f>
        <v>0</v>
      </c>
      <c r="AH81" s="18">
        <f>VLOOKUP($D81,'Week 23'!$A$2:$AH$120,2,FALSE)</f>
        <v>0</v>
      </c>
      <c r="AI81" s="18">
        <f>VLOOKUP($D81,'Week 24'!$A$2:$AH$120,2,FALSE)</f>
        <v>0</v>
      </c>
      <c r="AJ81" s="18">
        <f>VLOOKUP($D81,'Week 25'!$A$2:$AH$120,2,FALSE)</f>
        <v>0</v>
      </c>
      <c r="AK81" s="18">
        <f>VLOOKUP($D81,'Week 26'!$A$2:$AH$120,2,FALSE)</f>
        <v>0</v>
      </c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</row>
    <row r="82" spans="1:52" ht="15.75" customHeight="1">
      <c r="A82" s="18"/>
      <c r="B82" s="3" t="s">
        <v>1583</v>
      </c>
      <c r="C82" s="11" t="str">
        <f>HYPERLINK("https://healthcareweekly.com/artificial-intelligence-in-pharmacology/","Pharma Industry in the Age of Artificial Intelligence: The Future is Bright")</f>
        <v>Pharma Industry in the Age of Artificial Intelligence: The Future is Bright</v>
      </c>
      <c r="D82" s="3" t="s">
        <v>68</v>
      </c>
      <c r="E82" s="3">
        <v>60</v>
      </c>
      <c r="F82" s="15">
        <v>2</v>
      </c>
      <c r="G82" s="16">
        <v>12</v>
      </c>
      <c r="H82" s="3">
        <v>24</v>
      </c>
      <c r="I82" s="17" t="b">
        <f t="shared" si="6"/>
        <v>0</v>
      </c>
      <c r="J82" s="17">
        <f t="shared" ca="1" si="7"/>
        <v>1.25</v>
      </c>
      <c r="K82" s="17">
        <f t="shared" ca="1" si="3"/>
        <v>15</v>
      </c>
      <c r="L82" s="18" t="e">
        <f>VLOOKUP($D82,'Week 1'!$A$2:$AD$120,2,FALSE)</f>
        <v>#N/A</v>
      </c>
      <c r="M82" s="18" t="e">
        <f>VLOOKUP($D82,'Week 2'!$A$2:$AD$120,2,FALSE)</f>
        <v>#N/A</v>
      </c>
      <c r="N82" s="18" t="e">
        <f>VLOOKUP($D82,'Week 3'!$A$2:$AH$120,2,FALSE)</f>
        <v>#N/A</v>
      </c>
      <c r="O82" s="18" t="e">
        <f>VLOOKUP($D82,'Week 4'!$A$2:$AH$122,2,FALSE)</f>
        <v>#N/A</v>
      </c>
      <c r="P82" s="18" t="e">
        <f>VLOOKUP($D82,'Week 5'!$A$2:$AG$120,2,FALSE)</f>
        <v>#N/A</v>
      </c>
      <c r="Q82" s="18" t="e">
        <f>VLOOKUP($D82,'week 6'!$A$2:$AH$120,2,FALSE)</f>
        <v>#N/A</v>
      </c>
      <c r="R82" s="18">
        <f ca="1">VLOOKUP($D82,'Week 7'!$A$2:$AH$120,2,FALSE)</f>
        <v>0</v>
      </c>
      <c r="S82" s="18">
        <f ca="1">VLOOKUP($D82,'Week 8'!$A$2:$AH$120,2,FALSE)</f>
        <v>0</v>
      </c>
      <c r="T82" s="18">
        <f ca="1">VLOOKUP($D82,'Week 9'!$A$2:$AH$120,2,FALSE)</f>
        <v>3</v>
      </c>
      <c r="U82" s="18">
        <f ca="1">VLOOKUP($D82,'Week 9'!$A$2:$AH$120,2,FALSE)</f>
        <v>3</v>
      </c>
      <c r="V82" s="18">
        <f ca="1">VLOOKUP($D82,'Week 9'!$A$2:$AH$120,2,FALSE)</f>
        <v>3</v>
      </c>
      <c r="W82" s="18">
        <f ca="1">VLOOKUP($D82,'Week 9'!$A$2:$AH$120,2,FALSE)</f>
        <v>3</v>
      </c>
      <c r="X82" s="18">
        <f>VLOOKUP($D82,'Week 13'!$A$2:$AH$120,2,FALSE)</f>
        <v>0</v>
      </c>
      <c r="Y82" s="18">
        <f ca="1">VLOOKUP($D82,'Week 14'!$A$2:$AH$120,2,FALSE)</f>
        <v>0</v>
      </c>
      <c r="Z82" s="18">
        <f ca="1">VLOOKUP($D82,'Week 15'!$A$2:$AH$120,2,FALSE)</f>
        <v>3</v>
      </c>
      <c r="AA82" s="18">
        <f ca="1">VLOOKUP($D82,'Week 16'!$A$2:$AH$120,2,FALSE)</f>
        <v>0</v>
      </c>
      <c r="AB82" s="18">
        <f ca="1">VLOOKUP($D82,'Week 17'!$A$2:$AH$120,2,FALSE)</f>
        <v>0</v>
      </c>
      <c r="AC82" s="18">
        <f ca="1">VLOOKUP($D82,'Week 18'!$A$2:$AH$120,2,FALSE)</f>
        <v>0</v>
      </c>
      <c r="AD82" s="18">
        <f ca="1">VLOOKUP($D82,'Week 19'!$A$2:$AH$120,2,FALSE)</f>
        <v>0</v>
      </c>
      <c r="AE82" s="18">
        <f ca="1">VLOOKUP($D82,'Week 20'!$A$2:$AH$120,2,FALSE)</f>
        <v>0</v>
      </c>
      <c r="AF82" s="18">
        <f ca="1">VLOOKUP($D82,'Week 21'!$A$2:$AH$120,2,FALSE)</f>
        <v>0</v>
      </c>
      <c r="AG82" s="18">
        <f ca="1">VLOOKUP($D82,'Week 22'!$A$2:$AH$120,2,FALSE)</f>
        <v>0</v>
      </c>
      <c r="AH82" s="18">
        <f ca="1">VLOOKUP($D82,'Week 23'!$A$2:$AH$120,2,FALSE)</f>
        <v>4</v>
      </c>
      <c r="AI82" s="18">
        <f ca="1">VLOOKUP($D82,'Week 24'!$A$2:$AH$120,2,FALSE)</f>
        <v>5</v>
      </c>
      <c r="AJ82" s="18">
        <f ca="1">VLOOKUP($D82,'Week 25'!$A$2:$AH$120,2,FALSE)</f>
        <v>0</v>
      </c>
      <c r="AK82" s="18">
        <f ca="1">VLOOKUP($D82,'Week 26'!$A$2:$AH$120,2,FALSE)</f>
        <v>0</v>
      </c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</row>
    <row r="83" spans="1:52" ht="15.75" customHeight="1">
      <c r="A83" s="18"/>
      <c r="B83" s="3" t="s">
        <v>1583</v>
      </c>
      <c r="C83" s="11" t="str">
        <f>HYPERLINK("https://healthcareweekly.com/blockchain-in-healthcare-guide/","The Global “Blockchain in Healthcare” Report: the 2019 ultimate guide for every executive
")</f>
        <v>The Global “Blockchain in Healthcare” Report: the 2019 ultimate guide for every executive_x000D_</v>
      </c>
      <c r="D83" s="3" t="s">
        <v>73</v>
      </c>
      <c r="E83" s="3">
        <v>3100</v>
      </c>
      <c r="F83" s="15">
        <v>85</v>
      </c>
      <c r="G83" s="16">
        <v>27</v>
      </c>
      <c r="H83" s="3">
        <v>54</v>
      </c>
      <c r="I83" s="17" t="b">
        <f t="shared" si="6"/>
        <v>0</v>
      </c>
      <c r="J83" s="17" t="b">
        <f t="shared" si="7"/>
        <v>0</v>
      </c>
      <c r="K83" s="17">
        <f t="shared" si="3"/>
        <v>22</v>
      </c>
      <c r="L83" s="18">
        <f>VLOOKUP($D83,'Week 1'!$A$2:$AD$120,2,FALSE)</f>
        <v>1</v>
      </c>
      <c r="M83" s="18">
        <f>VLOOKUP($D83,'Week 2'!$A$2:$AD$120,2,FALSE)</f>
        <v>0</v>
      </c>
      <c r="N83" s="161">
        <v>17</v>
      </c>
      <c r="O83" s="18">
        <f>VLOOKUP($D83,'Week 4'!$A$2:$AH$122,2,FALSE)</f>
        <v>0</v>
      </c>
      <c r="P83" s="18">
        <f>VLOOKUP($D83,'Week 5'!$A$2:$AG$120,2,FALSE)</f>
        <v>0</v>
      </c>
      <c r="Q83" s="18">
        <f>VLOOKUP($D83,'week 6'!$A$2:$AH$120,2,FALSE)</f>
        <v>0</v>
      </c>
      <c r="R83" s="18">
        <f>VLOOKUP($D83,'Week 7'!$A$2:$AH$120,2,FALSE)</f>
        <v>0</v>
      </c>
      <c r="S83" s="18">
        <f>VLOOKUP($D83,'Week 8'!$A$2:$AH$120,2,FALSE)</f>
        <v>0</v>
      </c>
      <c r="T83" s="18">
        <f>VLOOKUP($D83,'Week 9'!$A$2:$AH$120,2,FALSE)</f>
        <v>0</v>
      </c>
      <c r="U83" s="18">
        <f>VLOOKUP($D83,'Week 9'!$A$2:$AH$120,2,FALSE)</f>
        <v>0</v>
      </c>
      <c r="V83" s="18">
        <f>VLOOKUP($D83,'Week 9'!$A$2:$AH$120,2,FALSE)</f>
        <v>0</v>
      </c>
      <c r="W83" s="18">
        <f>VLOOKUP($D83,'Week 9'!$A$2:$AH$120,2,FALSE)</f>
        <v>0</v>
      </c>
      <c r="X83" s="18">
        <f>VLOOKUP($D83,'Week 13'!$A$2:$AH$120,2,FALSE)</f>
        <v>0</v>
      </c>
      <c r="Y83" s="18">
        <f>VLOOKUP($D83,'Week 14'!$A$2:$AH$120,2,FALSE)</f>
        <v>4</v>
      </c>
      <c r="Z83" s="18">
        <f>VLOOKUP($D83,'Week 15'!$A$2:$AH$120,2,FALSE)</f>
        <v>0</v>
      </c>
      <c r="AA83" s="18">
        <f>VLOOKUP($D83,'Week 16'!$A$2:$AH$120,2,FALSE)</f>
        <v>0</v>
      </c>
      <c r="AB83" s="18">
        <f>VLOOKUP($D83,'Week 17'!$A$2:$AH$120,2,FALSE)</f>
        <v>0</v>
      </c>
      <c r="AC83" s="18">
        <f>VLOOKUP($D83,'Week 18'!$A$2:$AH$120,2,FALSE)</f>
        <v>0</v>
      </c>
      <c r="AD83" s="18">
        <f>VLOOKUP($D83,'Week 19'!$A$2:$AH$120,2,FALSE)</f>
        <v>0</v>
      </c>
      <c r="AE83" s="18">
        <f>VLOOKUP($D83,'Week 20'!$A$2:$AH$120,2,FALSE)</f>
        <v>0</v>
      </c>
      <c r="AF83" s="18">
        <f>VLOOKUP($D83,'Week 21'!$A$2:$AH$120,2,FALSE)</f>
        <v>0</v>
      </c>
      <c r="AG83" s="18">
        <f>VLOOKUP($D83,'Week 22'!$A$2:$AH$120,2,FALSE)</f>
        <v>0</v>
      </c>
      <c r="AH83" s="18">
        <f>VLOOKUP($D83,'Week 23'!$A$2:$AH$120,2,FALSE)</f>
        <v>1</v>
      </c>
      <c r="AI83" s="18">
        <f>VLOOKUP($D83,'Week 24'!$A$2:$AH$120,2,FALSE)</f>
        <v>0</v>
      </c>
      <c r="AJ83" s="18">
        <f>VLOOKUP($D83,'Week 25'!$A$2:$AH$120,2,FALSE)</f>
        <v>0</v>
      </c>
      <c r="AK83" s="18">
        <f>VLOOKUP($D83,'Week 26'!$A$2:$AH$120,2,FALSE)</f>
        <v>0</v>
      </c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</row>
    <row r="84" spans="1:52" ht="15.75" customHeight="1">
      <c r="A84" s="18"/>
      <c r="B84" s="3" t="s">
        <v>1583</v>
      </c>
      <c r="C84" s="11" t="str">
        <f>HYPERLINK("https://healthcareweekly.com/hitrust-guide-2019/","The ultimate guide to HITRUST Certification: Timelines, Fees &amp; Process")</f>
        <v>The ultimate guide to HITRUST Certification: Timelines, Fees &amp; Process</v>
      </c>
      <c r="D84" s="3" t="s">
        <v>104</v>
      </c>
      <c r="E84" s="3">
        <v>5600</v>
      </c>
      <c r="F84" s="16" t="s">
        <v>371</v>
      </c>
      <c r="G84" s="16">
        <v>30</v>
      </c>
      <c r="H84" s="3">
        <v>60</v>
      </c>
      <c r="I84" s="17" t="b">
        <f t="shared" si="6"/>
        <v>0</v>
      </c>
      <c r="J84" s="17" t="b">
        <f t="shared" si="7"/>
        <v>0</v>
      </c>
      <c r="K84" s="17">
        <f t="shared" si="3"/>
        <v>6</v>
      </c>
      <c r="L84" s="18" t="e">
        <f>VLOOKUP($D84,'Week 1'!$A$2:$AD$120,2,FALSE)</f>
        <v>#N/A</v>
      </c>
      <c r="M84" s="18" t="e">
        <f>VLOOKUP($D84,'Week 2'!$A$2:$AD$120,2,FALSE)</f>
        <v>#N/A</v>
      </c>
      <c r="N84" s="18" t="e">
        <f>VLOOKUP($D84,'Week 3'!$A$2:$AH$120,2,FALSE)</f>
        <v>#N/A</v>
      </c>
      <c r="O84" s="18" t="e">
        <f>VLOOKUP($D84,'Week 4'!$A$2:$AH$122,2,FALSE)</f>
        <v>#N/A</v>
      </c>
      <c r="P84" s="18" t="e">
        <f>VLOOKUP($D84,'Week 5'!$A$2:$AG$120,2,FALSE)</f>
        <v>#N/A</v>
      </c>
      <c r="Q84" s="18" t="e">
        <f>VLOOKUP($D84,'week 6'!$A$2:$AH$120,2,FALSE)</f>
        <v>#N/A</v>
      </c>
      <c r="R84" s="18" t="e">
        <f>VLOOKUP($D84,'Week 7'!$A$2:$AH$120,2,FALSE)</f>
        <v>#N/A</v>
      </c>
      <c r="S84" s="18" t="e">
        <f>VLOOKUP($D84,'Week 8'!$A$2:$AH$120,2,FALSE)</f>
        <v>#N/A</v>
      </c>
      <c r="T84" s="18" t="e">
        <f>VLOOKUP($D84,'Week 9'!$A$2:$AH$120,2,FALSE)</f>
        <v>#N/A</v>
      </c>
      <c r="U84" s="18" t="e">
        <f>VLOOKUP($D84,'Week 9'!$A$2:$AH$120,2,FALSE)</f>
        <v>#N/A</v>
      </c>
      <c r="V84" s="18" t="e">
        <f>VLOOKUP($D84,'Week 9'!$A$2:$AH$120,2,FALSE)</f>
        <v>#N/A</v>
      </c>
      <c r="W84" s="18" t="e">
        <f>VLOOKUP($D84,'Week 9'!$A$2:$AH$120,2,FALSE)</f>
        <v>#N/A</v>
      </c>
      <c r="X84" s="18">
        <f>VLOOKUP($D84,'Week 13'!$A$2:$AH$120,2,FALSE)</f>
        <v>0</v>
      </c>
      <c r="Y84" s="18">
        <f>VLOOKUP($D84,'Week 14'!$A$2:$AH$120,2,FALSE)</f>
        <v>0</v>
      </c>
      <c r="Z84" s="18">
        <f>VLOOKUP($D84,'Week 15'!$A$2:$AH$120,2,FALSE)</f>
        <v>0</v>
      </c>
      <c r="AA84" s="18">
        <f>VLOOKUP($D84,'Week 16'!$A$2:$AH$120,2,FALSE)</f>
        <v>1</v>
      </c>
      <c r="AB84" s="18">
        <f>VLOOKUP($D84,'Week 17'!$A$2:$AH$120,2,FALSE)</f>
        <v>2</v>
      </c>
      <c r="AC84" s="18">
        <f>VLOOKUP($D84,'Week 18'!$A$2:$AH$120,2,FALSE)</f>
        <v>0</v>
      </c>
      <c r="AD84" s="18">
        <f>VLOOKUP($D84,'Week 19'!$A$2:$AH$120,2,FALSE)</f>
        <v>0</v>
      </c>
      <c r="AE84" s="18">
        <f>VLOOKUP($D84,'Week 20'!$A$2:$AH$120,2,FALSE)</f>
        <v>1</v>
      </c>
      <c r="AF84" s="18">
        <f>VLOOKUP($D84,'Week 21'!$A$2:$AH$120,2,FALSE)</f>
        <v>2</v>
      </c>
      <c r="AG84" s="18">
        <f>VLOOKUP($D84,'Week 22'!$A$2:$AH$120,2,FALSE)</f>
        <v>0</v>
      </c>
      <c r="AH84" s="18">
        <f>VLOOKUP($D84,'Week 23'!$A$2:$AH$120,2,FALSE)</f>
        <v>1</v>
      </c>
      <c r="AI84" s="18">
        <f>VLOOKUP($D84,'Week 24'!$A$2:$AH$120,2,FALSE)</f>
        <v>0</v>
      </c>
      <c r="AJ84" s="18">
        <f>VLOOKUP($D84,'Week 25'!$A$2:$AH$120,2,FALSE)</f>
        <v>0</v>
      </c>
      <c r="AK84" s="18">
        <f>VLOOKUP($D84,'Week 26'!$A$2:$AH$120,2,FALSE)</f>
        <v>0</v>
      </c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</row>
    <row r="85" spans="1:52" ht="15.75" customHeight="1">
      <c r="A85" s="18"/>
      <c r="B85" s="3" t="s">
        <v>1583</v>
      </c>
      <c r="C85" s="11" t="str">
        <f>HYPERLINK("https://healthcareweekly.com/scoliosis-brace-guide/","scoliosis brace")</f>
        <v>scoliosis brace</v>
      </c>
      <c r="D85" s="3" t="s">
        <v>1802</v>
      </c>
      <c r="E85" s="58">
        <v>10000</v>
      </c>
      <c r="F85" s="16" t="s">
        <v>371</v>
      </c>
      <c r="G85" s="16">
        <v>10</v>
      </c>
      <c r="H85" s="3">
        <v>20</v>
      </c>
      <c r="I85" s="17" t="b">
        <f t="shared" si="6"/>
        <v>0</v>
      </c>
      <c r="J85" s="17" t="b">
        <f t="shared" si="7"/>
        <v>0</v>
      </c>
      <c r="K85" s="17">
        <f t="shared" si="3"/>
        <v>0</v>
      </c>
      <c r="L85" s="18" t="e">
        <f>VLOOKUP($D85,'Week 1'!$A$2:$AD$120,2,FALSE)</f>
        <v>#N/A</v>
      </c>
      <c r="M85" s="18" t="e">
        <f>VLOOKUP($D85,'Week 2'!$A$2:$AD$120,2,FALSE)</f>
        <v>#N/A</v>
      </c>
      <c r="N85" s="18" t="e">
        <f>VLOOKUP($D85,'Week 3'!$A$2:$AH$120,2,FALSE)</f>
        <v>#N/A</v>
      </c>
      <c r="O85" s="18" t="e">
        <f>VLOOKUP($D85,'Week 4'!$A$2:$AH$122,2,FALSE)</f>
        <v>#N/A</v>
      </c>
      <c r="P85" s="18" t="e">
        <f>VLOOKUP($D85,'Week 5'!$A$2:$AG$120,2,FALSE)</f>
        <v>#N/A</v>
      </c>
      <c r="Q85" s="18" t="e">
        <f>VLOOKUP($D85,'week 6'!$A$2:$AH$120,2,FALSE)</f>
        <v>#N/A</v>
      </c>
      <c r="R85" s="18" t="e">
        <f>VLOOKUP($D85,'Week 7'!$A$2:$AH$120,2,FALSE)</f>
        <v>#N/A</v>
      </c>
      <c r="S85" s="18" t="e">
        <f>VLOOKUP($D85,'Week 8'!$A$2:$AH$120,2,FALSE)</f>
        <v>#N/A</v>
      </c>
      <c r="T85" s="18" t="e">
        <f>VLOOKUP($D85,'Week 9'!$A$2:$AH$120,2,FALSE)</f>
        <v>#N/A</v>
      </c>
      <c r="U85" s="18" t="e">
        <f>VLOOKUP($D85,'Week 9'!$A$2:$AH$120,2,FALSE)</f>
        <v>#N/A</v>
      </c>
      <c r="V85" s="18" t="e">
        <f>VLOOKUP($D85,'Week 9'!$A$2:$AH$120,2,FALSE)</f>
        <v>#N/A</v>
      </c>
      <c r="W85" s="18" t="e">
        <f>VLOOKUP($D85,'Week 9'!$A$2:$AH$120,2,FALSE)</f>
        <v>#N/A</v>
      </c>
      <c r="X85" s="18" t="e">
        <f>VLOOKUP($D85,'Week 13'!$A$2:$AH$120,2,FALSE)</f>
        <v>#N/A</v>
      </c>
      <c r="Y85" s="18" t="e">
        <f>VLOOKUP($D85,'Week 14'!$A$2:$AH$120,2,FALSE)</f>
        <v>#N/A</v>
      </c>
      <c r="Z85" s="18">
        <f>VLOOKUP($D85,'Week 15'!$A$2:$AH$120,2,FALSE)</f>
        <v>0</v>
      </c>
      <c r="AA85" s="18" t="e">
        <f>VLOOKUP($D85,'Week 16'!$A$2:$AH$120,2,FALSE)</f>
        <v>#N/A</v>
      </c>
      <c r="AB85" s="18" t="e">
        <f>VLOOKUP($D85,'Week 17'!$A$2:$AH$120,2,FALSE)</f>
        <v>#N/A</v>
      </c>
      <c r="AC85" s="18" t="e">
        <f>VLOOKUP($D85,'Week 18'!$A$2:$AH$120,2,FALSE)</f>
        <v>#N/A</v>
      </c>
      <c r="AD85" s="18" t="e">
        <f>VLOOKUP($D85,'Week 19'!$A$2:$AH$120,2,FALSE)</f>
        <v>#N/A</v>
      </c>
      <c r="AE85" s="18" t="e">
        <f>VLOOKUP($D85,'Week 20'!$A$2:$AH$120,2,FALSE)</f>
        <v>#N/A</v>
      </c>
      <c r="AF85" s="18" t="e">
        <f>VLOOKUP($D85,'Week 21'!$A$2:$AH$120,2,FALSE)</f>
        <v>#N/A</v>
      </c>
      <c r="AG85" s="18" t="e">
        <f>VLOOKUP($D85,'Week 22'!$A$2:$AH$120,2,FALSE)</f>
        <v>#N/A</v>
      </c>
      <c r="AH85" s="18" t="e">
        <f>VLOOKUP($D85,'Week 23'!$A$2:$AH$120,2,FALSE)</f>
        <v>#N/A</v>
      </c>
      <c r="AI85" s="18" t="e">
        <f>VLOOKUP($D85,'Week 24'!$A$2:$AH$120,2,FALSE)</f>
        <v>#N/A</v>
      </c>
      <c r="AJ85" s="18" t="e">
        <f>VLOOKUP($D85,'Week 25'!$A$2:$AH$120,2,FALSE)</f>
        <v>#N/A</v>
      </c>
      <c r="AK85" s="18" t="e">
        <f>VLOOKUP($D85,'Week 26'!$A$2:$AH$120,2,FALSE)</f>
        <v>#N/A</v>
      </c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</row>
    <row r="86" spans="1:52" ht="15.75" customHeight="1">
      <c r="A86" s="18"/>
      <c r="B86" s="3" t="s">
        <v>1583</v>
      </c>
      <c r="C86" s="61" t="s">
        <v>1810</v>
      </c>
      <c r="D86" s="3" t="s">
        <v>67</v>
      </c>
      <c r="E86" s="3">
        <v>4000</v>
      </c>
      <c r="F86" s="16" t="s">
        <v>371</v>
      </c>
      <c r="G86" s="16">
        <v>40</v>
      </c>
      <c r="H86" s="3">
        <v>80</v>
      </c>
      <c r="I86" s="17" t="b">
        <f t="shared" ref="I86:I87" si="8">IF(F85=1,(K85/H85))</f>
        <v>0</v>
      </c>
      <c r="J86" s="17" t="b">
        <f t="shared" si="7"/>
        <v>0</v>
      </c>
      <c r="K86" s="17">
        <f t="shared" si="3"/>
        <v>1</v>
      </c>
      <c r="L86" s="18">
        <f>VLOOKUP($D86,'Week 1'!$A$2:$AD$120,2,FALSE)</f>
        <v>1</v>
      </c>
      <c r="M86" s="18">
        <f>VLOOKUP($D86,'Week 2'!$A$2:$AD$120,2,FALSE)</f>
        <v>0</v>
      </c>
      <c r="N86" s="18">
        <f>VLOOKUP($D86,'Week 3'!$A$2:$AH$120,2,FALSE)</f>
        <v>0</v>
      </c>
      <c r="O86" s="18">
        <f>VLOOKUP($D86,'Week 4'!$A$2:$AH$122,2,FALSE)</f>
        <v>0</v>
      </c>
      <c r="P86" s="18">
        <f>VLOOKUP($D86,'Week 5'!$A$2:$AG$120,2,FALSE)</f>
        <v>0</v>
      </c>
      <c r="Q86" s="18">
        <f>VLOOKUP($D86,'week 6'!$A$2:$AH$120,2,FALSE)</f>
        <v>0</v>
      </c>
      <c r="R86" s="18">
        <f>VLOOKUP($D86,'Week 7'!$A$2:$AH$120,2,FALSE)</f>
        <v>0</v>
      </c>
      <c r="S86" s="18">
        <f>VLOOKUP($D86,'Week 8'!$A$2:$AH$120,2,FALSE)</f>
        <v>0</v>
      </c>
      <c r="T86" s="18">
        <f>VLOOKUP($D86,'Week 9'!$A$2:$AH$120,2,FALSE)</f>
        <v>0</v>
      </c>
      <c r="U86" s="18">
        <f>VLOOKUP($D86,'Week 9'!$A$2:$AH$120,2,FALSE)</f>
        <v>0</v>
      </c>
      <c r="V86" s="18">
        <f>VLOOKUP($D86,'Week 9'!$A$2:$AH$120,2,FALSE)</f>
        <v>0</v>
      </c>
      <c r="W86" s="18">
        <f>VLOOKUP($D86,'Week 9'!$A$2:$AH$120,2,FALSE)</f>
        <v>0</v>
      </c>
      <c r="X86" s="18">
        <f>VLOOKUP($D86,'Week 13'!$A$2:$AH$120,2,FALSE)</f>
        <v>0</v>
      </c>
      <c r="Y86" s="18">
        <f>VLOOKUP($D86,'Week 14'!$A$2:$AH$120,2,FALSE)</f>
        <v>0</v>
      </c>
      <c r="Z86" s="18">
        <f>VLOOKUP($D86,'Week 15'!$A$2:$AH$120,2,FALSE)</f>
        <v>0</v>
      </c>
      <c r="AA86" s="18">
        <f>VLOOKUP($D86,'Week 16'!$A$2:$AH$120,2,FALSE)</f>
        <v>0</v>
      </c>
      <c r="AB86" s="18">
        <f>VLOOKUP($D86,'Week 17'!$A$2:$AH$120,2,FALSE)</f>
        <v>0</v>
      </c>
      <c r="AC86" s="18">
        <f>VLOOKUP($D86,'Week 18'!$A$2:$AH$120,2,FALSE)</f>
        <v>0</v>
      </c>
      <c r="AD86" s="18">
        <f>VLOOKUP($D86,'Week 19'!$A$2:$AH$120,2,FALSE)</f>
        <v>0</v>
      </c>
      <c r="AE86" s="18">
        <f>VLOOKUP($D86,'Week 20'!$A$2:$AH$120,2,FALSE)</f>
        <v>0</v>
      </c>
      <c r="AF86" s="18">
        <f>VLOOKUP($D86,'Week 21'!$A$2:$AH$120,2,FALSE)</f>
        <v>0</v>
      </c>
      <c r="AG86" s="18">
        <f>VLOOKUP($D86,'Week 22'!$A$2:$AH$120,2,FALSE)</f>
        <v>0</v>
      </c>
      <c r="AH86" s="18">
        <f>VLOOKUP($D86,'Week 23'!$A$2:$AH$120,2,FALSE)</f>
        <v>0</v>
      </c>
      <c r="AI86" s="18">
        <f>VLOOKUP($D86,'Week 24'!$A$2:$AH$120,2,FALSE)</f>
        <v>0</v>
      </c>
      <c r="AJ86" s="18">
        <f>VLOOKUP($D86,'Week 25'!$A$2:$AH$120,2,FALSE)</f>
        <v>0</v>
      </c>
      <c r="AK86" s="18">
        <f>VLOOKUP($D86,'Week 26'!$A$2:$AH$120,2,FALSE)</f>
        <v>0</v>
      </c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</row>
    <row r="87" spans="1:52" ht="15.75" customHeight="1">
      <c r="A87" s="18"/>
      <c r="B87" s="3" t="s">
        <v>1583</v>
      </c>
      <c r="C87" s="61" t="s">
        <v>121</v>
      </c>
      <c r="D87" s="3" t="s">
        <v>120</v>
      </c>
      <c r="E87" s="3" t="s">
        <v>1821</v>
      </c>
      <c r="F87" s="16" t="s">
        <v>371</v>
      </c>
      <c r="G87" s="16">
        <v>27</v>
      </c>
      <c r="H87" s="3">
        <v>60</v>
      </c>
      <c r="I87" s="17" t="b">
        <f t="shared" si="8"/>
        <v>0</v>
      </c>
      <c r="J87" s="17" t="b">
        <f t="shared" si="7"/>
        <v>0</v>
      </c>
      <c r="K87" s="17">
        <f t="shared" si="3"/>
        <v>8</v>
      </c>
      <c r="L87" s="18" t="e">
        <f>VLOOKUP($D87,'Week 1'!$A$2:$AD$120,2,FALSE)</f>
        <v>#N/A</v>
      </c>
      <c r="M87" s="18" t="e">
        <f>VLOOKUP($D87,'Week 2'!$A$2:$AD$120,2,FALSE)</f>
        <v>#N/A</v>
      </c>
      <c r="N87" s="18" t="e">
        <f>VLOOKUP($D87,'Week 3'!$A$2:$AH$120,2,FALSE)</f>
        <v>#N/A</v>
      </c>
      <c r="O87" s="18" t="e">
        <f>VLOOKUP($D87,'Week 4'!$A$2:$AH$122,2,FALSE)</f>
        <v>#N/A</v>
      </c>
      <c r="P87" s="18" t="e">
        <f>VLOOKUP($D87,'Week 5'!$A$2:$AG$120,2,FALSE)</f>
        <v>#N/A</v>
      </c>
      <c r="Q87" s="18" t="e">
        <f>VLOOKUP($D87,'week 6'!$A$2:$AH$120,2,FALSE)</f>
        <v>#N/A</v>
      </c>
      <c r="R87" s="18" t="e">
        <f>VLOOKUP($D87,'Week 7'!$A$2:$AH$120,2,FALSE)</f>
        <v>#N/A</v>
      </c>
      <c r="S87" s="18" t="e">
        <f>VLOOKUP($D87,'Week 8'!$A$2:$AH$120,2,FALSE)</f>
        <v>#N/A</v>
      </c>
      <c r="T87" s="18" t="e">
        <f>VLOOKUP($D87,'Week 9'!$A$2:$AH$120,2,FALSE)</f>
        <v>#N/A</v>
      </c>
      <c r="U87" s="18" t="e">
        <f>VLOOKUP($D87,'Week 9'!$A$2:$AH$120,2,FALSE)</f>
        <v>#N/A</v>
      </c>
      <c r="V87" s="18" t="e">
        <f>VLOOKUP($D87,'Week 9'!$A$2:$AH$120,2,FALSE)</f>
        <v>#N/A</v>
      </c>
      <c r="W87" s="18" t="e">
        <f>VLOOKUP($D87,'Week 9'!$A$2:$AH$120,2,FALSE)</f>
        <v>#N/A</v>
      </c>
      <c r="X87" s="18" t="e">
        <f>VLOOKUP($D87,'Week 13'!$A$2:$AH$120,2,FALSE)</f>
        <v>#N/A</v>
      </c>
      <c r="Y87" s="18" t="e">
        <f>VLOOKUP($D87,'Week 14'!$A$2:$AH$120,2,FALSE)</f>
        <v>#N/A</v>
      </c>
      <c r="Z87" s="18" t="e">
        <f>VLOOKUP($D87,'Week 15'!$A$2:$AH$120,2,FALSE)</f>
        <v>#N/A</v>
      </c>
      <c r="AA87" s="18" t="e">
        <f>VLOOKUP($D87,'Week 16'!$A$2:$AH$120,2,FALSE)</f>
        <v>#N/A</v>
      </c>
      <c r="AB87" s="18" t="e">
        <f>VLOOKUP($D87,'Week 17'!$A$2:$AH$120,2,FALSE)</f>
        <v>#N/A</v>
      </c>
      <c r="AC87" s="18" t="e">
        <f>VLOOKUP($D87,'Week 18'!$A$2:$AH$120,2,FALSE)</f>
        <v>#N/A</v>
      </c>
      <c r="AD87" s="18" t="e">
        <f>VLOOKUP($D87,'Week 19'!$A$2:$AH$120,2,FALSE)</f>
        <v>#N/A</v>
      </c>
      <c r="AE87" s="18" t="e">
        <f>VLOOKUP($D87,'Week 20'!$A$2:$AH$120,2,FALSE)</f>
        <v>#N/A</v>
      </c>
      <c r="AF87" s="18" t="e">
        <f>VLOOKUP($D87,'Week 21'!$A$2:$AH$120,2,FALSE)</f>
        <v>#N/A</v>
      </c>
      <c r="AG87" s="18">
        <f>VLOOKUP($D87,'Week 22'!$A$2:$AH$120,2,FALSE)</f>
        <v>8</v>
      </c>
      <c r="AH87" s="18">
        <f>VLOOKUP($D87,'Week 23'!$A$2:$AH$120,2,FALSE)</f>
        <v>3</v>
      </c>
      <c r="AI87" s="18">
        <f>VLOOKUP($D87,'Week 24'!$A$2:$AH$120,2,FALSE)</f>
        <v>2</v>
      </c>
      <c r="AJ87" s="18">
        <f>VLOOKUP($D87,'Week 25'!$A$2:$AH$120,2,FALSE)</f>
        <v>0</v>
      </c>
      <c r="AK87" s="18">
        <f>VLOOKUP($D87,'Week 26'!$A$2:$AH$120,2,FALSE)</f>
        <v>0</v>
      </c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</row>
    <row r="88" spans="1:52" ht="15.75" customHeight="1">
      <c r="A88" s="18"/>
      <c r="B88" s="18"/>
      <c r="C88" s="18"/>
      <c r="D88" s="18"/>
      <c r="E88" s="18"/>
      <c r="F88" s="106"/>
      <c r="G88" s="106"/>
      <c r="H88" s="18"/>
      <c r="I88" s="17"/>
      <c r="J88" s="17"/>
      <c r="K88" s="17">
        <f t="shared" si="3"/>
        <v>0</v>
      </c>
      <c r="L88" s="18" t="e">
        <f>VLOOKUP($D88,'Week 1'!$A$2:$AD$120,2,FALSE)</f>
        <v>#N/A</v>
      </c>
      <c r="M88" s="18" t="e">
        <f>VLOOKUP($D88,'Week 2'!$A$2:$AD$120,2,FALSE)</f>
        <v>#N/A</v>
      </c>
      <c r="N88" s="18" t="e">
        <f>VLOOKUP($D88,'Week 3'!$A$2:$AH$120,2,FALSE)</f>
        <v>#N/A</v>
      </c>
      <c r="O88" s="18" t="e">
        <f>VLOOKUP($D88,'Week 4'!$A$2:$AH$122,2,FALSE)</f>
        <v>#N/A</v>
      </c>
      <c r="P88" s="18" t="e">
        <f>VLOOKUP($D88,'Week 5'!$A$2:$AG$120,2,FALSE)</f>
        <v>#N/A</v>
      </c>
      <c r="Q88" s="18" t="e">
        <f>VLOOKUP($D88,'week 6'!$A$2:$AH$120,2,FALSE)</f>
        <v>#N/A</v>
      </c>
      <c r="R88" s="18" t="e">
        <f>VLOOKUP($D88,'Week 7'!$A$2:$AH$120,2,FALSE)</f>
        <v>#N/A</v>
      </c>
      <c r="S88" s="18" t="e">
        <f>VLOOKUP($D88,'Week 8'!$A$2:$AH$120,2,FALSE)</f>
        <v>#N/A</v>
      </c>
      <c r="T88" s="18" t="e">
        <f>VLOOKUP($D88,'Week 9'!$A$2:$AH$120,2,FALSE)</f>
        <v>#N/A</v>
      </c>
      <c r="U88" s="18" t="e">
        <f>VLOOKUP($D88,'Week 9'!$A$2:$AH$120,2,FALSE)</f>
        <v>#N/A</v>
      </c>
      <c r="V88" s="18" t="e">
        <f>VLOOKUP($D88,'Week 9'!$A$2:$AH$120,2,FALSE)</f>
        <v>#N/A</v>
      </c>
      <c r="W88" s="18" t="e">
        <f>VLOOKUP($D88,'Week 9'!$A$2:$AH$120,2,FALSE)</f>
        <v>#N/A</v>
      </c>
      <c r="X88" s="18" t="e">
        <f>VLOOKUP($D88,'Week 13'!$A$2:$AH$120,2,FALSE)</f>
        <v>#N/A</v>
      </c>
      <c r="Y88" s="18" t="e">
        <f>VLOOKUP($D88,'Week 14'!$A$2:$AH$120,2,FALSE)</f>
        <v>#N/A</v>
      </c>
      <c r="Z88" s="18" t="e">
        <f>VLOOKUP($D88,'Week 15'!$A$2:$AH$120,2,FALSE)</f>
        <v>#N/A</v>
      </c>
      <c r="AA88" s="18" t="e">
        <f>VLOOKUP($D88,'Week 16'!$A$2:$AH$120,2,FALSE)</f>
        <v>#N/A</v>
      </c>
      <c r="AB88" s="18" t="e">
        <f>VLOOKUP($D88,'Week 17'!$A$2:$AH$120,2,FALSE)</f>
        <v>#N/A</v>
      </c>
      <c r="AC88" s="18" t="e">
        <f>VLOOKUP($D88,'Week 18'!$A$2:$AH$120,2,FALSE)</f>
        <v>#N/A</v>
      </c>
      <c r="AD88" s="18" t="e">
        <f>VLOOKUP($D88,'Week 19'!$A$2:$AH$120,2,FALSE)</f>
        <v>#N/A</v>
      </c>
      <c r="AE88" s="18" t="e">
        <f>VLOOKUP($D88,'Week 20'!$A$2:$AH$120,2,FALSE)</f>
        <v>#N/A</v>
      </c>
      <c r="AF88" s="18" t="e">
        <f>VLOOKUP($D88,'Week 21'!$A$2:$AH$120,2,FALSE)</f>
        <v>#N/A</v>
      </c>
      <c r="AG88" s="18" t="e">
        <f>VLOOKUP($D88,'Week 22'!$A$2:$AH$120,2,FALSE)</f>
        <v>#N/A</v>
      </c>
      <c r="AH88" s="18" t="e">
        <f>VLOOKUP($D88,'Week 23'!$A$2:$AH$120,2,FALSE)</f>
        <v>#N/A</v>
      </c>
      <c r="AI88" s="18" t="e">
        <f>VLOOKUP($D88,'Week 24'!$A$2:$AH$120,2,FALSE)</f>
        <v>#N/A</v>
      </c>
      <c r="AJ88" s="18" t="e">
        <f>VLOOKUP($D88,'Week 25'!$A$2:$AH$120,2,FALSE)</f>
        <v>#N/A</v>
      </c>
      <c r="AK88" s="18" t="e">
        <f>VLOOKUP($D88,'Week 26'!$A$2:$AH$120,2,FALSE)</f>
        <v>#N/A</v>
      </c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</row>
    <row r="89" spans="1:52" ht="15.75" customHeight="1">
      <c r="A89" s="18"/>
      <c r="B89" s="18"/>
      <c r="C89" s="18"/>
      <c r="D89" s="18"/>
      <c r="E89" s="18"/>
      <c r="F89" s="106"/>
      <c r="G89" s="106"/>
      <c r="H89" s="18"/>
      <c r="I89" s="17"/>
      <c r="J89" s="17"/>
      <c r="K89" s="17">
        <f t="shared" si="3"/>
        <v>0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 t="e">
        <f>VLOOKUP($D89,'Week 13'!$A$2:$AH$120,2,FALSE)</f>
        <v>#N/A</v>
      </c>
      <c r="Y89" s="18" t="e">
        <f>VLOOKUP($D89,'Week 14'!$A$2:$AH$120,2,FALSE)</f>
        <v>#N/A</v>
      </c>
      <c r="Z89" s="18" t="e">
        <f>VLOOKUP($D89,'Week 15'!$A$2:$AH$120,2,FALSE)</f>
        <v>#N/A</v>
      </c>
      <c r="AA89" s="18" t="e">
        <f>VLOOKUP($D89,'Week 16'!$A$2:$AH$120,2,FALSE)</f>
        <v>#N/A</v>
      </c>
      <c r="AB89" s="18" t="e">
        <f>VLOOKUP($D89,'Week 17'!$A$2:$AH$120,2,FALSE)</f>
        <v>#N/A</v>
      </c>
      <c r="AC89" s="18" t="e">
        <f>VLOOKUP($D89,'Week 18'!$A$2:$AH$120,2,FALSE)</f>
        <v>#N/A</v>
      </c>
      <c r="AD89" s="18" t="e">
        <f>VLOOKUP($D89,'Week 19'!$A$2:$AH$120,2,FALSE)</f>
        <v>#N/A</v>
      </c>
      <c r="AE89" s="18" t="e">
        <f>VLOOKUP($D89,'Week 20'!$A$2:$AH$120,2,FALSE)</f>
        <v>#N/A</v>
      </c>
      <c r="AF89" s="18" t="e">
        <f>VLOOKUP($D89,'Week 21'!$A$2:$AH$120,2,FALSE)</f>
        <v>#N/A</v>
      </c>
      <c r="AG89" s="18" t="e">
        <f>VLOOKUP($D89,'Week 22'!$A$2:$AH$120,2,FALSE)</f>
        <v>#N/A</v>
      </c>
      <c r="AH89" s="18" t="e">
        <f>VLOOKUP($D89,'Week 23'!$A$2:$AH$120,2,FALSE)</f>
        <v>#N/A</v>
      </c>
      <c r="AI89" s="18" t="e">
        <f>VLOOKUP($D89,'Week 24'!$A$2:$AH$120,2,FALSE)</f>
        <v>#N/A</v>
      </c>
      <c r="AJ89" s="18" t="e">
        <f>VLOOKUP($D89,'Week 25'!$A$2:$AH$120,2,FALSE)</f>
        <v>#N/A</v>
      </c>
      <c r="AK89" s="18" t="e">
        <f>VLOOKUP($D89,'Week 26'!$A$2:$AH$120,2,FALSE)</f>
        <v>#N/A</v>
      </c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</row>
    <row r="90" spans="1:52" ht="15.75" customHeight="1">
      <c r="A90" s="18"/>
      <c r="B90" s="18"/>
      <c r="C90" s="3" t="s">
        <v>1849</v>
      </c>
      <c r="D90" s="18"/>
      <c r="E90" s="18"/>
      <c r="F90" s="106"/>
      <c r="G90" s="106"/>
      <c r="H90" s="18"/>
      <c r="I90" s="17"/>
      <c r="J90" s="17"/>
      <c r="K90" s="17">
        <f t="shared" si="3"/>
        <v>0</v>
      </c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 t="e">
        <f>VLOOKUP($D90,'Week 13'!$A$2:$AH$120,2,FALSE)</f>
        <v>#N/A</v>
      </c>
      <c r="Y90" s="18" t="e">
        <f>VLOOKUP($D90,'Week 14'!$A$2:$AH$120,2,FALSE)</f>
        <v>#N/A</v>
      </c>
      <c r="Z90" s="18" t="e">
        <f>VLOOKUP($D90,'Week 15'!$A$2:$AH$120,2,FALSE)</f>
        <v>#N/A</v>
      </c>
      <c r="AA90" s="18" t="e">
        <f>VLOOKUP($D90,'Week 16'!$A$2:$AH$120,2,FALSE)</f>
        <v>#N/A</v>
      </c>
      <c r="AB90" s="18" t="e">
        <f>VLOOKUP($D90,'Week 17'!$A$2:$AH$120,2,FALSE)</f>
        <v>#N/A</v>
      </c>
      <c r="AC90" s="18" t="e">
        <f>VLOOKUP($D90,'Week 18'!$A$2:$AH$120,2,FALSE)</f>
        <v>#N/A</v>
      </c>
      <c r="AD90" s="18" t="e">
        <f>VLOOKUP($D90,'Week 19'!$A$2:$AH$120,2,FALSE)</f>
        <v>#N/A</v>
      </c>
      <c r="AE90" s="18" t="e">
        <f>VLOOKUP($D90,'Week 20'!$A$2:$AH$120,2,FALSE)</f>
        <v>#N/A</v>
      </c>
      <c r="AF90" s="18" t="e">
        <f>VLOOKUP($D90,'Week 21'!$A$2:$AH$120,2,FALSE)</f>
        <v>#N/A</v>
      </c>
      <c r="AG90" s="18" t="e">
        <f>VLOOKUP($D90,'Week 22'!$A$2:$AH$120,2,FALSE)</f>
        <v>#N/A</v>
      </c>
      <c r="AH90" s="18" t="e">
        <f>VLOOKUP($D90,'Week 23'!$A$2:$AH$120,2,FALSE)</f>
        <v>#N/A</v>
      </c>
      <c r="AI90" s="18" t="e">
        <f>VLOOKUP($D90,'Week 24'!$A$2:$AH$120,2,FALSE)</f>
        <v>#N/A</v>
      </c>
      <c r="AJ90" s="18" t="e">
        <f>VLOOKUP($D90,'Week 25'!$A$2:$AH$120,2,FALSE)</f>
        <v>#N/A</v>
      </c>
      <c r="AK90" s="18" t="e">
        <f>VLOOKUP($D90,'Week 26'!$A$2:$AH$120,2,FALSE)</f>
        <v>#N/A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</row>
    <row r="91" spans="1:52" ht="15.75" customHeight="1">
      <c r="A91" s="18"/>
      <c r="B91" s="18"/>
      <c r="C91" s="3" t="s">
        <v>1856</v>
      </c>
      <c r="D91" s="3" t="s">
        <v>135</v>
      </c>
      <c r="E91" s="58">
        <v>800000</v>
      </c>
      <c r="F91" s="16" t="s">
        <v>726</v>
      </c>
      <c r="G91" s="16">
        <v>150</v>
      </c>
      <c r="H91" s="3">
        <v>600</v>
      </c>
      <c r="I91" s="17" t="b">
        <f t="shared" ref="I91:I92" si="9">IF(F90=1,(K90/H90))</f>
        <v>0</v>
      </c>
      <c r="J91" s="17" t="b">
        <f t="shared" ref="J91:J92" si="10">IF(F91&lt;=10,(K91/G91))</f>
        <v>0</v>
      </c>
      <c r="K91" s="17">
        <f t="shared" si="3"/>
        <v>0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 t="e">
        <f>VLOOKUP($D91,'Week 13'!$A$2:$AH$120,2,FALSE)</f>
        <v>#N/A</v>
      </c>
      <c r="Y91" s="18" t="e">
        <f>VLOOKUP($D91,'Week 14'!$A$2:$AH$120,2,FALSE)</f>
        <v>#N/A</v>
      </c>
      <c r="Z91" s="18" t="e">
        <f>VLOOKUP($D91,'Week 15'!$A$2:$AH$120,2,FALSE)</f>
        <v>#N/A</v>
      </c>
      <c r="AA91" s="18" t="e">
        <f>VLOOKUP($D91,'Week 16'!$A$2:$AH$120,2,FALSE)</f>
        <v>#N/A</v>
      </c>
      <c r="AB91" s="18" t="e">
        <f>VLOOKUP($D91,'Week 17'!$A$2:$AH$120,2,FALSE)</f>
        <v>#N/A</v>
      </c>
      <c r="AC91" s="18" t="e">
        <f>VLOOKUP($D91,'Week 18'!$A$2:$AH$120,2,FALSE)</f>
        <v>#N/A</v>
      </c>
      <c r="AD91" s="18" t="e">
        <f>VLOOKUP($D91,'Week 19'!$A$2:$AH$120,2,FALSE)</f>
        <v>#N/A</v>
      </c>
      <c r="AE91" s="18" t="e">
        <f>VLOOKUP($D91,'Week 20'!$A$2:$AH$120,2,FALSE)</f>
        <v>#N/A</v>
      </c>
      <c r="AF91" s="18" t="e">
        <f>VLOOKUP($D91,'Week 21'!$A$2:$AH$120,2,FALSE)</f>
        <v>#N/A</v>
      </c>
      <c r="AG91" s="18" t="e">
        <f>VLOOKUP($D91,'Week 22'!$A$2:$AH$120,2,FALSE)</f>
        <v>#N/A</v>
      </c>
      <c r="AH91" s="18" t="e">
        <f>VLOOKUP($D91,'Week 23'!$A$2:$AH$120,2,FALSE)</f>
        <v>#N/A</v>
      </c>
      <c r="AI91" s="18">
        <f>VLOOKUP($D91,'Week 24'!$A$2:$AH$120,2,FALSE)</f>
        <v>0</v>
      </c>
      <c r="AJ91" s="18">
        <f>VLOOKUP($D91,'Week 25'!$A$2:$AH$120,2,FALSE)</f>
        <v>0</v>
      </c>
      <c r="AK91" s="18">
        <f>VLOOKUP($D91,'Week 26'!$A$2:$AH$120,2,FALSE)</f>
        <v>0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</row>
    <row r="92" spans="1:52" ht="15.75" customHeight="1">
      <c r="A92" s="18"/>
      <c r="B92" s="18"/>
      <c r="C92" s="3" t="s">
        <v>137</v>
      </c>
      <c r="D92" s="3" t="s">
        <v>137</v>
      </c>
      <c r="E92" s="3" t="s">
        <v>726</v>
      </c>
      <c r="F92" s="16" t="s">
        <v>726</v>
      </c>
      <c r="G92" s="16">
        <v>4</v>
      </c>
      <c r="H92" s="3">
        <v>8</v>
      </c>
      <c r="I92" s="17" t="b">
        <f t="shared" si="9"/>
        <v>0</v>
      </c>
      <c r="J92" s="17" t="b">
        <f t="shared" si="10"/>
        <v>0</v>
      </c>
      <c r="K92" s="17">
        <f t="shared" si="3"/>
        <v>0</v>
      </c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3">
        <v>0</v>
      </c>
      <c r="Y92" s="18" t="e">
        <f>VLOOKUP($D92,'Week 14'!$A$2:$AH$120,2,FALSE)</f>
        <v>#N/A</v>
      </c>
      <c r="Z92" s="18" t="e">
        <f>VLOOKUP($D92,'Week 15'!$A$2:$AH$120,2,FALSE)</f>
        <v>#N/A</v>
      </c>
      <c r="AA92" s="18" t="e">
        <f>VLOOKUP($D92,'Week 16'!$A$2:$AH$120,2,FALSE)</f>
        <v>#N/A</v>
      </c>
      <c r="AB92" s="18" t="e">
        <f>VLOOKUP($D92,'Week 17'!$A$2:$AH$120,2,FALSE)</f>
        <v>#N/A</v>
      </c>
      <c r="AC92" s="18" t="e">
        <f>VLOOKUP($D92,'Week 18'!$A$2:$AH$120,2,FALSE)</f>
        <v>#N/A</v>
      </c>
      <c r="AD92" s="18" t="e">
        <f>VLOOKUP($D92,'Week 19'!$A$2:$AH$120,2,FALSE)</f>
        <v>#N/A</v>
      </c>
      <c r="AE92" s="18" t="e">
        <f>VLOOKUP($D92,'Week 20'!$A$2:$AH$120,2,FALSE)</f>
        <v>#N/A</v>
      </c>
      <c r="AF92" s="18" t="e">
        <f>VLOOKUP($D92,'Week 21'!$A$2:$AH$120,2,FALSE)</f>
        <v>#N/A</v>
      </c>
      <c r="AG92" s="18" t="e">
        <f>VLOOKUP($D92,'Week 22'!$A$2:$AH$120,2,FALSE)</f>
        <v>#N/A</v>
      </c>
      <c r="AH92" s="18" t="e">
        <f>VLOOKUP($D92,'Week 23'!$A$2:$AH$120,2,FALSE)</f>
        <v>#N/A</v>
      </c>
      <c r="AI92" s="18">
        <f>VLOOKUP($D92,'Week 24'!$A$2:$AH$120,2,FALSE)</f>
        <v>5</v>
      </c>
      <c r="AJ92" s="18">
        <f>VLOOKUP($D92,'Week 25'!$A$2:$AH$120,2,FALSE)</f>
        <v>0</v>
      </c>
      <c r="AK92" s="18">
        <f>VLOOKUP($D92,'Week 26'!$A$2:$AH$120,2,FALSE)</f>
        <v>0</v>
      </c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</row>
    <row r="93" spans="1:52" ht="15.75" customHeight="1">
      <c r="A93" s="18"/>
      <c r="B93" s="18"/>
      <c r="C93" s="18"/>
      <c r="D93" s="18"/>
      <c r="E93" s="18"/>
      <c r="F93" s="106"/>
      <c r="G93" s="106"/>
      <c r="H93" s="18"/>
      <c r="I93" s="17"/>
      <c r="J93" s="17"/>
      <c r="K93" s="17">
        <f t="shared" si="3"/>
        <v>0</v>
      </c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3">
        <v>0</v>
      </c>
      <c r="Y93" s="18" t="e">
        <f>VLOOKUP($D93,'Week 14'!$A$2:$AH$120,2,FALSE)</f>
        <v>#N/A</v>
      </c>
      <c r="Z93" s="18" t="e">
        <f>VLOOKUP($D93,'Week 15'!$A$2:$AH$120,2,FALSE)</f>
        <v>#N/A</v>
      </c>
      <c r="AA93" s="18" t="e">
        <f>VLOOKUP($D93,'Week 16'!$A$2:$AH$120,2,FALSE)</f>
        <v>#N/A</v>
      </c>
      <c r="AB93" s="18" t="e">
        <f>VLOOKUP($D93,'Week 17'!$A$2:$AH$120,2,FALSE)</f>
        <v>#N/A</v>
      </c>
      <c r="AC93" s="18" t="e">
        <f>VLOOKUP($D93,'Week 18'!$A$2:$AH$120,2,FALSE)</f>
        <v>#N/A</v>
      </c>
      <c r="AD93" s="18" t="e">
        <f>VLOOKUP($D93,'Week 19'!$A$2:$AH$120,2,FALSE)</f>
        <v>#N/A</v>
      </c>
      <c r="AE93" s="18" t="e">
        <f>VLOOKUP($D93,'Week 20'!$A$2:$AH$120,2,FALSE)</f>
        <v>#N/A</v>
      </c>
      <c r="AF93" s="18" t="e">
        <f>VLOOKUP($D93,'Week 21'!$A$2:$AH$120,2,FALSE)</f>
        <v>#N/A</v>
      </c>
      <c r="AG93" s="18" t="e">
        <f>VLOOKUP($D93,'Week 22'!$A$2:$AH$120,2,FALSE)</f>
        <v>#N/A</v>
      </c>
      <c r="AH93" s="18" t="e">
        <f>VLOOKUP($D93,'Week 23'!$A$2:$AH$120,2,FALSE)</f>
        <v>#N/A</v>
      </c>
      <c r="AI93" s="18" t="e">
        <f>VLOOKUP($D93,'Week 24'!$A$2:$AH$120,2,FALSE)</f>
        <v>#N/A</v>
      </c>
      <c r="AJ93" s="18" t="e">
        <f>VLOOKUP($D93,'Week 25'!$A$2:$AH$120,2,FALSE)</f>
        <v>#N/A</v>
      </c>
      <c r="AK93" s="18" t="e">
        <f>VLOOKUP($D93,'Week 26'!$A$2:$AH$120,2,FALSE)</f>
        <v>#N/A</v>
      </c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</row>
    <row r="94" spans="1:52" ht="15.75" customHeight="1">
      <c r="A94" s="18"/>
      <c r="B94" s="18"/>
      <c r="C94" s="18"/>
      <c r="D94" s="18"/>
      <c r="E94" s="18"/>
      <c r="F94" s="106"/>
      <c r="G94" s="106"/>
      <c r="H94" s="18"/>
      <c r="I94" s="17"/>
      <c r="J94" s="17"/>
      <c r="K94" s="17">
        <f t="shared" si="3"/>
        <v>0</v>
      </c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3">
        <v>0</v>
      </c>
      <c r="Y94" s="18" t="e">
        <f>VLOOKUP($D94,'Week 14'!$A$2:$AH$120,2,FALSE)</f>
        <v>#N/A</v>
      </c>
      <c r="Z94" s="18" t="e">
        <f>VLOOKUP($D94,'Week 15'!$A$2:$AH$120,2,FALSE)</f>
        <v>#N/A</v>
      </c>
      <c r="AA94" s="18" t="e">
        <f>VLOOKUP($D94,'Week 16'!$A$2:$AH$120,2,FALSE)</f>
        <v>#N/A</v>
      </c>
      <c r="AB94" s="18" t="e">
        <f>VLOOKUP($D94,'Week 17'!$A$2:$AH$120,2,FALSE)</f>
        <v>#N/A</v>
      </c>
      <c r="AC94" s="18" t="e">
        <f>VLOOKUP($D94,'Week 18'!$A$2:$AH$120,2,FALSE)</f>
        <v>#N/A</v>
      </c>
      <c r="AD94" s="18" t="e">
        <f>VLOOKUP($D94,'Week 19'!$A$2:$AH$120,2,FALSE)</f>
        <v>#N/A</v>
      </c>
      <c r="AE94" s="18" t="e">
        <f>VLOOKUP($D94,'Week 20'!$A$2:$AH$120,2,FALSE)</f>
        <v>#N/A</v>
      </c>
      <c r="AF94" s="18" t="e">
        <f>VLOOKUP($D94,'Week 21'!$A$2:$AH$120,2,FALSE)</f>
        <v>#N/A</v>
      </c>
      <c r="AG94" s="18" t="e">
        <f>VLOOKUP($D94,'Week 22'!$A$2:$AH$120,2,FALSE)</f>
        <v>#N/A</v>
      </c>
      <c r="AH94" s="18" t="e">
        <f>VLOOKUP($D94,'Week 23'!$A$2:$AH$120,2,FALSE)</f>
        <v>#N/A</v>
      </c>
      <c r="AI94" s="18" t="e">
        <f>VLOOKUP($D94,'Week 24'!$A$2:$AH$120,2,FALSE)</f>
        <v>#N/A</v>
      </c>
      <c r="AJ94" s="18" t="e">
        <f>VLOOKUP($D94,'Week 25'!$A$2:$AH$120,2,FALSE)</f>
        <v>#N/A</v>
      </c>
      <c r="AK94" s="18" t="e">
        <f>VLOOKUP($D94,'Week 26'!$A$2:$AH$120,2,FALSE)</f>
        <v>#N/A</v>
      </c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</row>
    <row r="95" spans="1:52" ht="15.75" customHeight="1">
      <c r="A95" s="18"/>
      <c r="B95" s="18"/>
      <c r="C95" s="18"/>
      <c r="D95" s="18"/>
      <c r="E95" s="18"/>
      <c r="F95" s="106"/>
      <c r="G95" s="106"/>
      <c r="H95" s="18"/>
      <c r="I95" s="18"/>
      <c r="J95" s="18"/>
      <c r="K95" s="17">
        <f t="shared" si="3"/>
        <v>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3">
        <v>0</v>
      </c>
      <c r="Y95" s="18" t="e">
        <f>VLOOKUP($D95,'Week 14'!$A$2:$AH$120,2,FALSE)</f>
        <v>#N/A</v>
      </c>
      <c r="Z95" s="18" t="e">
        <f>VLOOKUP($D95,'Week 15'!$A$2:$AH$120,2,FALSE)</f>
        <v>#N/A</v>
      </c>
      <c r="AA95" s="18" t="e">
        <f>VLOOKUP($D95,'Week 16'!$A$2:$AH$120,2,FALSE)</f>
        <v>#N/A</v>
      </c>
      <c r="AB95" s="18" t="e">
        <f>VLOOKUP($D95,'Week 17'!$A$2:$AH$120,2,FALSE)</f>
        <v>#N/A</v>
      </c>
      <c r="AC95" s="18" t="e">
        <f>VLOOKUP($D95,'Week 18'!$A$2:$AH$120,2,FALSE)</f>
        <v>#N/A</v>
      </c>
      <c r="AD95" s="18" t="e">
        <f>VLOOKUP($D95,'Week 19'!$A$2:$AH$120,2,FALSE)</f>
        <v>#N/A</v>
      </c>
      <c r="AE95" s="18" t="e">
        <f>VLOOKUP($D95,'Week 20'!$A$2:$AH$120,2,FALSE)</f>
        <v>#N/A</v>
      </c>
      <c r="AF95" s="18" t="e">
        <f>VLOOKUP($D95,'Week 21'!$A$2:$AH$120,2,FALSE)</f>
        <v>#N/A</v>
      </c>
      <c r="AG95" s="18" t="e">
        <f>VLOOKUP($D95,'Week 22'!$A$2:$AH$120,2,FALSE)</f>
        <v>#N/A</v>
      </c>
      <c r="AH95" s="18" t="e">
        <f>VLOOKUP($D95,'Week 23'!$A$2:$AH$120,2,FALSE)</f>
        <v>#N/A</v>
      </c>
      <c r="AI95" s="18" t="e">
        <f>VLOOKUP($D95,'Week 24'!$A$2:$AH$120,2,FALSE)</f>
        <v>#N/A</v>
      </c>
      <c r="AJ95" s="18" t="e">
        <f>VLOOKUP($D95,'Week 25'!$A$2:$AH$120,2,FALSE)</f>
        <v>#N/A</v>
      </c>
      <c r="AK95" s="18" t="e">
        <f>VLOOKUP($D95,'Week 26'!$A$2:$AH$120,2,FALSE)</f>
        <v>#N/A</v>
      </c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</row>
    <row r="96" spans="1:52" ht="15.75" customHeight="1">
      <c r="A96" s="18"/>
      <c r="B96" s="18"/>
      <c r="C96" s="18"/>
      <c r="D96" s="18"/>
      <c r="E96" s="18"/>
      <c r="F96" s="106"/>
      <c r="G96" s="106"/>
      <c r="H96" s="18"/>
      <c r="I96" s="18">
        <f t="shared" ref="I96:J96" ca="1" si="11">AVERAGE(I3:I93)</f>
        <v>0.45111111110000002</v>
      </c>
      <c r="J96" s="18">
        <f t="shared" ca="1" si="11"/>
        <v>0.77838955030000001</v>
      </c>
      <c r="K96" s="17">
        <f t="shared" si="3"/>
        <v>0</v>
      </c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3">
        <v>0</v>
      </c>
      <c r="Y96" s="18" t="e">
        <f>VLOOKUP($D96,'Week 14'!$A$2:$AH$120,2,FALSE)</f>
        <v>#N/A</v>
      </c>
      <c r="Z96" s="18" t="e">
        <f>VLOOKUP($D96,'Week 15'!$A$2:$AH$120,2,FALSE)</f>
        <v>#N/A</v>
      </c>
      <c r="AA96" s="18" t="e">
        <f>VLOOKUP($D96,'Week 16'!$A$2:$AH$120,2,FALSE)</f>
        <v>#N/A</v>
      </c>
      <c r="AB96" s="18" t="e">
        <f>VLOOKUP($D96,'Week 17'!$A$2:$AH$120,2,FALSE)</f>
        <v>#N/A</v>
      </c>
      <c r="AC96" s="18" t="e">
        <f>VLOOKUP($D96,'Week 18'!$A$2:$AH$120,2,FALSE)</f>
        <v>#N/A</v>
      </c>
      <c r="AD96" s="18" t="e">
        <f>VLOOKUP($D96,'Week 19'!$A$2:$AH$120,2,FALSE)</f>
        <v>#N/A</v>
      </c>
      <c r="AE96" s="18" t="e">
        <f>VLOOKUP($D96,'Week 20'!$A$2:$AH$120,2,FALSE)</f>
        <v>#N/A</v>
      </c>
      <c r="AF96" s="18" t="e">
        <f>VLOOKUP($D96,'Week 21'!$A$2:$AH$120,2,FALSE)</f>
        <v>#N/A</v>
      </c>
      <c r="AG96" s="18" t="e">
        <f>VLOOKUP($D96,'Week 22'!$A$2:$AH$120,2,FALSE)</f>
        <v>#N/A</v>
      </c>
      <c r="AH96" s="18" t="e">
        <f>VLOOKUP($D96,'Week 23'!$A$2:$AH$120,2,FALSE)</f>
        <v>#N/A</v>
      </c>
      <c r="AI96" s="18" t="e">
        <f>VLOOKUP($D96,'Week 24'!$A$2:$AH$120,2,FALSE)</f>
        <v>#N/A</v>
      </c>
      <c r="AJ96" s="18" t="e">
        <f>VLOOKUP($D96,'Week 25'!$A$2:$AH$120,2,FALSE)</f>
        <v>#N/A</v>
      </c>
      <c r="AK96" s="18" t="e">
        <f>VLOOKUP($D96,'Week 26'!$A$2:$AH$120,2,FALSE)</f>
        <v>#N/A</v>
      </c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</row>
    <row r="97" spans="1:52" ht="15.75" customHeight="1">
      <c r="A97" s="18"/>
      <c r="B97" s="18"/>
      <c r="C97" s="18"/>
      <c r="D97" s="18"/>
      <c r="E97" s="18"/>
      <c r="F97" s="106"/>
      <c r="G97" s="106"/>
      <c r="H97" s="18"/>
      <c r="I97" s="18"/>
      <c r="J97" s="18"/>
      <c r="K97" s="17">
        <f t="shared" si="3"/>
        <v>0</v>
      </c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3">
        <v>0</v>
      </c>
      <c r="Y97" s="18" t="e">
        <f>VLOOKUP($D97,'Week 14'!$A$2:$AH$120,2,FALSE)</f>
        <v>#N/A</v>
      </c>
      <c r="Z97" s="18" t="e">
        <f>VLOOKUP($D97,'Week 15'!$A$2:$AH$120,2,FALSE)</f>
        <v>#N/A</v>
      </c>
      <c r="AA97" s="18" t="e">
        <f>VLOOKUP($D97,'Week 16'!$A$2:$AH$120,2,FALSE)</f>
        <v>#N/A</v>
      </c>
      <c r="AB97" s="18" t="e">
        <f>VLOOKUP($D97,'Week 17'!$A$2:$AH$120,2,FALSE)</f>
        <v>#N/A</v>
      </c>
      <c r="AC97" s="18" t="e">
        <f>VLOOKUP($D97,'Week 18'!$A$2:$AH$120,2,FALSE)</f>
        <v>#N/A</v>
      </c>
      <c r="AD97" s="18" t="e">
        <f>VLOOKUP($D97,'Week 19'!$A$2:$AH$120,2,FALSE)</f>
        <v>#N/A</v>
      </c>
      <c r="AE97" s="18" t="e">
        <f>VLOOKUP($D97,'Week 20'!$A$2:$AH$120,2,FALSE)</f>
        <v>#N/A</v>
      </c>
      <c r="AF97" s="18" t="e">
        <f>VLOOKUP($D97,'Week 21'!$A$2:$AH$120,2,FALSE)</f>
        <v>#N/A</v>
      </c>
      <c r="AG97" s="18" t="e">
        <f>VLOOKUP($D97,'Week 22'!$A$2:$AH$120,2,FALSE)</f>
        <v>#N/A</v>
      </c>
      <c r="AH97" s="18" t="e">
        <f>VLOOKUP($D97,'Week 23'!$A$2:$AH$120,2,FALSE)</f>
        <v>#N/A</v>
      </c>
      <c r="AI97" s="18" t="e">
        <f>VLOOKUP($D97,'Week 24'!$A$2:$AH$120,2,FALSE)</f>
        <v>#N/A</v>
      </c>
      <c r="AJ97" s="18" t="e">
        <f>VLOOKUP($D97,'Week 25'!$A$2:$AH$120,2,FALSE)</f>
        <v>#N/A</v>
      </c>
      <c r="AK97" s="18" t="e">
        <f>VLOOKUP($D97,'Week 26'!$A$2:$AH$120,2,FALSE)</f>
        <v>#N/A</v>
      </c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</row>
    <row r="98" spans="1:52" ht="15.75" customHeight="1">
      <c r="A98" s="18"/>
      <c r="B98" s="18"/>
      <c r="C98" s="18"/>
      <c r="D98" s="18"/>
      <c r="E98" s="18"/>
      <c r="F98" s="106"/>
      <c r="G98" s="106"/>
      <c r="H98" s="18"/>
      <c r="I98" s="18"/>
      <c r="J98" s="18"/>
      <c r="K98" s="17">
        <f t="shared" si="3"/>
        <v>0</v>
      </c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3">
        <v>0</v>
      </c>
      <c r="Y98" s="18" t="e">
        <f>VLOOKUP($D98,'Week 14'!$A$2:$AH$120,2,FALSE)</f>
        <v>#N/A</v>
      </c>
      <c r="Z98" s="18" t="e">
        <f>VLOOKUP($D98,'Week 15'!$A$2:$AH$120,2,FALSE)</f>
        <v>#N/A</v>
      </c>
      <c r="AA98" s="18" t="e">
        <f>VLOOKUP($D98,'Week 16'!$A$2:$AH$120,2,FALSE)</f>
        <v>#N/A</v>
      </c>
      <c r="AB98" s="18" t="e">
        <f>VLOOKUP($D98,'Week 17'!$A$2:$AH$120,2,FALSE)</f>
        <v>#N/A</v>
      </c>
      <c r="AC98" s="18" t="e">
        <f>VLOOKUP($D98,'Week 18'!$A$2:$AH$120,2,FALSE)</f>
        <v>#N/A</v>
      </c>
      <c r="AD98" s="18" t="e">
        <f>VLOOKUP($D98,'Week 19'!$A$2:$AH$120,2,FALSE)</f>
        <v>#N/A</v>
      </c>
      <c r="AE98" s="18" t="e">
        <f>VLOOKUP($D98,'Week 20'!$A$2:$AH$120,2,FALSE)</f>
        <v>#N/A</v>
      </c>
      <c r="AF98" s="18" t="e">
        <f>VLOOKUP($D98,'Week 21'!$A$2:$AH$120,2,FALSE)</f>
        <v>#N/A</v>
      </c>
      <c r="AG98" s="18" t="e">
        <f>VLOOKUP($D98,'Week 22'!$A$2:$AH$120,2,FALSE)</f>
        <v>#N/A</v>
      </c>
      <c r="AH98" s="18" t="e">
        <f>VLOOKUP($D98,'Week 23'!$A$2:$AH$120,2,FALSE)</f>
        <v>#N/A</v>
      </c>
      <c r="AI98" s="18" t="e">
        <f>VLOOKUP($D98,'Week 24'!$A$2:$AH$120,2,FALSE)</f>
        <v>#N/A</v>
      </c>
      <c r="AJ98" s="18" t="e">
        <f>VLOOKUP($D98,'Week 25'!$A$2:$AH$120,2,FALSE)</f>
        <v>#N/A</v>
      </c>
      <c r="AK98" s="18" t="e">
        <f>VLOOKUP($D98,'Week 26'!$A$2:$AH$120,2,FALSE)</f>
        <v>#N/A</v>
      </c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</row>
    <row r="99" spans="1:52" ht="15.75" customHeight="1">
      <c r="A99" s="18"/>
      <c r="B99" s="18"/>
      <c r="C99" s="18"/>
      <c r="D99" s="18"/>
      <c r="E99" s="18"/>
      <c r="F99" s="106"/>
      <c r="G99" s="106"/>
      <c r="H99" s="18"/>
      <c r="I99" s="18"/>
      <c r="J99" s="18"/>
      <c r="K99" s="17">
        <f t="shared" si="3"/>
        <v>0</v>
      </c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3">
        <v>0</v>
      </c>
      <c r="Y99" s="18" t="e">
        <f>VLOOKUP($D99,'Week 14'!$A$2:$AH$120,2,FALSE)</f>
        <v>#N/A</v>
      </c>
      <c r="Z99" s="18" t="e">
        <f>VLOOKUP($D99,'Week 15'!$A$2:$AH$120,2,FALSE)</f>
        <v>#N/A</v>
      </c>
      <c r="AA99" s="18" t="e">
        <f>VLOOKUP($D99,'Week 16'!$A$2:$AH$120,2,FALSE)</f>
        <v>#N/A</v>
      </c>
      <c r="AB99" s="18" t="e">
        <f>VLOOKUP($D99,'Week 17'!$A$2:$AH$120,2,FALSE)</f>
        <v>#N/A</v>
      </c>
      <c r="AC99" s="18" t="e">
        <f>VLOOKUP($D99,'Week 18'!$A$2:$AH$120,2,FALSE)</f>
        <v>#N/A</v>
      </c>
      <c r="AD99" s="18" t="e">
        <f>VLOOKUP($D99,'Week 19'!$A$2:$AH$120,2,FALSE)</f>
        <v>#N/A</v>
      </c>
      <c r="AE99" s="18" t="e">
        <f>VLOOKUP($D99,'Week 20'!$A$2:$AH$120,2,FALSE)</f>
        <v>#N/A</v>
      </c>
      <c r="AF99" s="18" t="e">
        <f>VLOOKUP($D99,'Week 21'!$A$2:$AH$120,2,FALSE)</f>
        <v>#N/A</v>
      </c>
      <c r="AG99" s="18" t="e">
        <f>VLOOKUP($D99,'Week 22'!$A$2:$AH$120,2,FALSE)</f>
        <v>#N/A</v>
      </c>
      <c r="AH99" s="18" t="e">
        <f>VLOOKUP($D99,'Week 23'!$A$2:$AH$120,2,FALSE)</f>
        <v>#N/A</v>
      </c>
      <c r="AI99" s="18" t="e">
        <f>VLOOKUP($D99,'Week 24'!$A$2:$AH$120,2,FALSE)</f>
        <v>#N/A</v>
      </c>
      <c r="AJ99" s="18" t="e">
        <f>VLOOKUP($D99,'Week 25'!$A$2:$AH$120,2,FALSE)</f>
        <v>#N/A</v>
      </c>
      <c r="AK99" s="18" t="e">
        <f>VLOOKUP($D99,'Week 26'!$A$2:$AH$120,2,FALSE)</f>
        <v>#N/A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</row>
    <row r="100" spans="1:52" ht="15.75" customHeight="1">
      <c r="A100" s="18"/>
      <c r="B100" s="18"/>
      <c r="C100" s="18"/>
      <c r="D100" s="18"/>
      <c r="E100" s="18"/>
      <c r="F100" s="106"/>
      <c r="G100" s="106"/>
      <c r="H100" s="18"/>
      <c r="I100" s="18"/>
      <c r="J100" s="18"/>
      <c r="K100" s="17">
        <f t="shared" si="3"/>
        <v>0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3">
        <v>0</v>
      </c>
      <c r="Y100" s="18"/>
      <c r="Z100" s="18" t="e">
        <f>VLOOKUP($D100,'Week 15'!$A$2:$AH$120,2,FALSE)</f>
        <v>#N/A</v>
      </c>
      <c r="AA100" s="18" t="e">
        <f>VLOOKUP($D100,'Week 16'!$A$2:$AH$120,2,FALSE)</f>
        <v>#N/A</v>
      </c>
      <c r="AB100" s="18" t="e">
        <f>VLOOKUP($D100,'Week 17'!$A$2:$AH$120,2,FALSE)</f>
        <v>#N/A</v>
      </c>
      <c r="AC100" s="18" t="e">
        <f>VLOOKUP($D100,'Week 18'!$A$2:$AH$120,2,FALSE)</f>
        <v>#N/A</v>
      </c>
      <c r="AD100" s="18" t="e">
        <f>VLOOKUP($D100,'Week 19'!$A$2:$AH$120,2,FALSE)</f>
        <v>#N/A</v>
      </c>
      <c r="AE100" s="18" t="e">
        <f>VLOOKUP($D100,'Week 20'!$A$2:$AH$120,2,FALSE)</f>
        <v>#N/A</v>
      </c>
      <c r="AF100" s="18" t="e">
        <f>VLOOKUP($D100,'Week 21'!$A$2:$AH$120,2,FALSE)</f>
        <v>#N/A</v>
      </c>
      <c r="AG100" s="18" t="e">
        <f>VLOOKUP($D100,'Week 22'!$A$2:$AH$120,2,FALSE)</f>
        <v>#N/A</v>
      </c>
      <c r="AH100" s="18" t="e">
        <f>VLOOKUP($D100,'Week 23'!$A$2:$AH$120,2,FALSE)</f>
        <v>#N/A</v>
      </c>
      <c r="AI100" s="18" t="e">
        <f>VLOOKUP($D100,'Week 24'!$A$2:$AH$120,2,FALSE)</f>
        <v>#N/A</v>
      </c>
      <c r="AJ100" s="18" t="e">
        <f>VLOOKUP($D100,'Week 25'!$A$2:$AH$120,2,FALSE)</f>
        <v>#N/A</v>
      </c>
      <c r="AK100" s="18" t="e">
        <f>VLOOKUP($D100,'Week 26'!$A$2:$AH$120,2,FALSE)</f>
        <v>#N/A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</row>
    <row r="101" spans="1:52" ht="15.75" customHeight="1">
      <c r="A101" s="18"/>
      <c r="B101" s="18"/>
      <c r="C101" s="18"/>
      <c r="D101" s="18"/>
      <c r="E101" s="18"/>
      <c r="F101" s="106"/>
      <c r="G101" s="106"/>
      <c r="H101" s="18"/>
      <c r="I101" s="18"/>
      <c r="J101" s="18"/>
      <c r="K101" s="17">
        <f t="shared" si="3"/>
        <v>0</v>
      </c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3">
        <v>0</v>
      </c>
      <c r="Y101" s="18"/>
      <c r="Z101" s="18" t="e">
        <f>VLOOKUP($D101,'Week 15'!$A$2:$AH$120,2,FALSE)</f>
        <v>#N/A</v>
      </c>
      <c r="AA101" s="18" t="e">
        <f>VLOOKUP($D101,'Week 16'!$A$2:$AH$120,2,FALSE)</f>
        <v>#N/A</v>
      </c>
      <c r="AB101" s="18" t="e">
        <f>VLOOKUP($D101,'Week 17'!$A$2:$AH$120,2,FALSE)</f>
        <v>#N/A</v>
      </c>
      <c r="AC101" s="18" t="e">
        <f>VLOOKUP($D101,'Week 18'!$A$2:$AH$120,2,FALSE)</f>
        <v>#N/A</v>
      </c>
      <c r="AD101" s="18" t="e">
        <f>VLOOKUP($D101,'Week 19'!$A$2:$AH$120,2,FALSE)</f>
        <v>#N/A</v>
      </c>
      <c r="AE101" s="18" t="e">
        <f>VLOOKUP($D101,'Week 20'!$A$2:$AH$120,2,FALSE)</f>
        <v>#N/A</v>
      </c>
      <c r="AF101" s="18" t="e">
        <f>VLOOKUP($D101,'Week 21'!$A$2:$AH$120,2,FALSE)</f>
        <v>#N/A</v>
      </c>
      <c r="AG101" s="18" t="e">
        <f>VLOOKUP($D101,'Week 22'!$A$2:$AH$120,2,FALSE)</f>
        <v>#N/A</v>
      </c>
      <c r="AH101" s="18" t="e">
        <f>VLOOKUP($D101,'Week 23'!$A$2:$AH$120,2,FALSE)</f>
        <v>#N/A</v>
      </c>
      <c r="AI101" s="18" t="e">
        <f>VLOOKUP($D101,'Week 24'!$A$2:$AH$120,2,FALSE)</f>
        <v>#N/A</v>
      </c>
      <c r="AJ101" s="18" t="e">
        <f>VLOOKUP($D101,'Week 25'!$A$2:$AH$120,2,FALSE)</f>
        <v>#N/A</v>
      </c>
      <c r="AK101" s="18" t="e">
        <f>VLOOKUP($D101,'Week 26'!$A$2:$AH$120,2,FALSE)</f>
        <v>#N/A</v>
      </c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</row>
    <row r="102" spans="1:52" ht="15.75" customHeight="1">
      <c r="A102" s="18"/>
      <c r="B102" s="18"/>
      <c r="C102" s="18"/>
      <c r="D102" s="18"/>
      <c r="E102" s="18"/>
      <c r="F102" s="106"/>
      <c r="G102" s="106"/>
      <c r="H102" s="18"/>
      <c r="I102" s="18"/>
      <c r="J102" s="18"/>
      <c r="K102" s="17">
        <f t="shared" si="3"/>
        <v>0</v>
      </c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3">
        <v>0</v>
      </c>
      <c r="Y102" s="18"/>
      <c r="Z102" s="18" t="e">
        <f>VLOOKUP($D102,'Week 15'!$A$2:$AH$120,2,FALSE)</f>
        <v>#N/A</v>
      </c>
      <c r="AA102" s="18" t="e">
        <f>VLOOKUP($D102,'Week 16'!$A$2:$AH$120,2,FALSE)</f>
        <v>#N/A</v>
      </c>
      <c r="AB102" s="18" t="e">
        <f>VLOOKUP($D102,'Week 17'!$A$2:$AH$120,2,FALSE)</f>
        <v>#N/A</v>
      </c>
      <c r="AC102" s="18" t="e">
        <f>VLOOKUP($D102,'Week 18'!$A$2:$AH$120,2,FALSE)</f>
        <v>#N/A</v>
      </c>
      <c r="AD102" s="18" t="e">
        <f>VLOOKUP($D102,'Week 19'!$A$2:$AH$120,2,FALSE)</f>
        <v>#N/A</v>
      </c>
      <c r="AE102" s="18" t="e">
        <f>VLOOKUP($D102,'Week 20'!$A$2:$AH$120,2,FALSE)</f>
        <v>#N/A</v>
      </c>
      <c r="AF102" s="18" t="e">
        <f>VLOOKUP($D102,'Week 21'!$A$2:$AH$120,2,FALSE)</f>
        <v>#N/A</v>
      </c>
      <c r="AG102" s="18" t="e">
        <f>VLOOKUP($D102,'Week 22'!$A$2:$AH$120,2,FALSE)</f>
        <v>#N/A</v>
      </c>
      <c r="AH102" s="18" t="e">
        <f>VLOOKUP($D102,'Week 23'!$A$2:$AH$120,2,FALSE)</f>
        <v>#N/A</v>
      </c>
      <c r="AI102" s="18" t="e">
        <f>VLOOKUP($D102,'Week 24'!$A$2:$AH$120,2,FALSE)</f>
        <v>#N/A</v>
      </c>
      <c r="AJ102" s="18" t="e">
        <f>VLOOKUP($D102,'Week 25'!$A$2:$AH$120,2,FALSE)</f>
        <v>#N/A</v>
      </c>
      <c r="AK102" s="18" t="e">
        <f>VLOOKUP($D102,'Week 26'!$A$2:$AH$120,2,FALSE)</f>
        <v>#N/A</v>
      </c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</row>
    <row r="103" spans="1:52" ht="15.75" customHeight="1">
      <c r="A103" s="18"/>
      <c r="B103" s="18"/>
      <c r="C103" s="18"/>
      <c r="D103" s="18"/>
      <c r="E103" s="18"/>
      <c r="F103" s="106"/>
      <c r="G103" s="106"/>
      <c r="H103" s="18"/>
      <c r="I103" s="18"/>
      <c r="J103" s="18"/>
      <c r="K103" s="17">
        <f t="shared" si="3"/>
        <v>0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 t="e">
        <f>VLOOKUP($D103,'Week 15'!$A$2:$AH$120,2,FALSE)</f>
        <v>#N/A</v>
      </c>
      <c r="AA103" s="18" t="e">
        <f>VLOOKUP($D103,'Week 16'!$A$2:$AH$120,2,FALSE)</f>
        <v>#N/A</v>
      </c>
      <c r="AB103" s="18" t="e">
        <f>VLOOKUP($D103,'Week 17'!$A$2:$AH$120,2,FALSE)</f>
        <v>#N/A</v>
      </c>
      <c r="AC103" s="18" t="e">
        <f>VLOOKUP($D103,'Week 18'!$A$2:$AH$120,2,FALSE)</f>
        <v>#N/A</v>
      </c>
      <c r="AD103" s="18" t="e">
        <f>VLOOKUP($D103,'Week 19'!$A$2:$AH$120,2,FALSE)</f>
        <v>#N/A</v>
      </c>
      <c r="AE103" s="18" t="e">
        <f>VLOOKUP($D103,'Week 20'!$A$2:$AH$120,2,FALSE)</f>
        <v>#N/A</v>
      </c>
      <c r="AF103" s="18" t="e">
        <f>VLOOKUP($D103,'Week 21'!$A$2:$AH$120,2,FALSE)</f>
        <v>#N/A</v>
      </c>
      <c r="AG103" s="18" t="e">
        <f>VLOOKUP($D103,'Week 22'!$A$2:$AH$120,2,FALSE)</f>
        <v>#N/A</v>
      </c>
      <c r="AH103" s="18" t="e">
        <f>VLOOKUP($D103,'Week 23'!$A$2:$AH$120,2,FALSE)</f>
        <v>#N/A</v>
      </c>
      <c r="AI103" s="18" t="e">
        <f>VLOOKUP($D103,'Week 24'!$A$2:$AH$120,2,FALSE)</f>
        <v>#N/A</v>
      </c>
      <c r="AJ103" s="18" t="e">
        <f>VLOOKUP($D103,'Week 25'!$A$2:$AH$120,2,FALSE)</f>
        <v>#N/A</v>
      </c>
      <c r="AK103" s="18" t="e">
        <f>VLOOKUP($D103,'Week 26'!$A$2:$AH$120,2,FALSE)</f>
        <v>#N/A</v>
      </c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</row>
    <row r="104" spans="1:52" ht="15.75" customHeight="1">
      <c r="A104" s="18"/>
      <c r="B104" s="18"/>
      <c r="C104" s="18"/>
      <c r="D104" s="18"/>
      <c r="E104" s="18"/>
      <c r="F104" s="106"/>
      <c r="G104" s="106"/>
      <c r="H104" s="18"/>
      <c r="I104" s="18"/>
      <c r="J104" s="18"/>
      <c r="K104" s="17">
        <f t="shared" si="3"/>
        <v>0</v>
      </c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 t="e">
        <f>VLOOKUP($D104,'Week 15'!$A$2:$AH$120,2,FALSE)</f>
        <v>#N/A</v>
      </c>
      <c r="AA104" s="18" t="e">
        <f>VLOOKUP($D104,'Week 16'!$A$2:$AH$120,2,FALSE)</f>
        <v>#N/A</v>
      </c>
      <c r="AB104" s="18" t="e">
        <f>VLOOKUP($D104,'Week 17'!$A$2:$AH$120,2,FALSE)</f>
        <v>#N/A</v>
      </c>
      <c r="AC104" s="18" t="e">
        <f>VLOOKUP($D104,'Week 18'!$A$2:$AH$120,2,FALSE)</f>
        <v>#N/A</v>
      </c>
      <c r="AD104" s="18" t="e">
        <f>VLOOKUP($D104,'Week 19'!$A$2:$AH$120,2,FALSE)</f>
        <v>#N/A</v>
      </c>
      <c r="AE104" s="18" t="e">
        <f>VLOOKUP($D104,'Week 20'!$A$2:$AH$120,2,FALSE)</f>
        <v>#N/A</v>
      </c>
      <c r="AF104" s="18" t="e">
        <f>VLOOKUP($D104,'Week 21'!$A$2:$AH$120,2,FALSE)</f>
        <v>#N/A</v>
      </c>
      <c r="AG104" s="18" t="e">
        <f>VLOOKUP($D104,'Week 22'!$A$2:$AH$120,2,FALSE)</f>
        <v>#N/A</v>
      </c>
      <c r="AH104" s="18" t="e">
        <f>VLOOKUP($D104,'Week 23'!$A$2:$AH$120,2,FALSE)</f>
        <v>#N/A</v>
      </c>
      <c r="AI104" s="18" t="e">
        <f>VLOOKUP($D104,'Week 24'!$A$2:$AH$120,2,FALSE)</f>
        <v>#N/A</v>
      </c>
      <c r="AJ104" s="18" t="e">
        <f>VLOOKUP($D104,'Week 25'!$A$2:$AH$120,2,FALSE)</f>
        <v>#N/A</v>
      </c>
      <c r="AK104" s="18" t="e">
        <f>VLOOKUP($D104,'Week 26'!$A$2:$AH$120,2,FALSE)</f>
        <v>#N/A</v>
      </c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</row>
    <row r="105" spans="1:52" ht="15.75" customHeight="1">
      <c r="A105" s="18"/>
      <c r="B105" s="18"/>
      <c r="C105" s="18"/>
      <c r="D105" s="18"/>
      <c r="E105" s="18"/>
      <c r="F105" s="106"/>
      <c r="G105" s="106"/>
      <c r="H105" s="18"/>
      <c r="I105" s="18"/>
      <c r="J105" s="18"/>
      <c r="K105" s="17">
        <f t="shared" si="3"/>
        <v>0</v>
      </c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 t="e">
        <f>VLOOKUP($D105,'Week 15'!$A$2:$AH$120,2,FALSE)</f>
        <v>#N/A</v>
      </c>
      <c r="AA105" s="18" t="e">
        <f>VLOOKUP($D105,'Week 16'!$A$2:$AH$120,2,FALSE)</f>
        <v>#N/A</v>
      </c>
      <c r="AB105" s="18" t="e">
        <f>VLOOKUP($D105,'Week 17'!$A$2:$AH$120,2,FALSE)</f>
        <v>#N/A</v>
      </c>
      <c r="AC105" s="18" t="e">
        <f>VLOOKUP($D105,'Week 18'!$A$2:$AH$120,2,FALSE)</f>
        <v>#N/A</v>
      </c>
      <c r="AD105" s="18" t="e">
        <f>VLOOKUP($D105,'Week 19'!$A$2:$AH$120,2,FALSE)</f>
        <v>#N/A</v>
      </c>
      <c r="AE105" s="18" t="e">
        <f>VLOOKUP($D105,'Week 20'!$A$2:$AH$120,2,FALSE)</f>
        <v>#N/A</v>
      </c>
      <c r="AF105" s="18" t="e">
        <f>VLOOKUP($D105,'Week 21'!$A$2:$AH$120,2,FALSE)</f>
        <v>#N/A</v>
      </c>
      <c r="AG105" s="18" t="e">
        <f>VLOOKUP($D105,'Week 22'!$A$2:$AH$120,2,FALSE)</f>
        <v>#N/A</v>
      </c>
      <c r="AH105" s="18" t="e">
        <f>VLOOKUP($D105,'Week 23'!$A$2:$AH$120,2,FALSE)</f>
        <v>#N/A</v>
      </c>
      <c r="AI105" s="18" t="e">
        <f>VLOOKUP($D105,'Week 24'!$A$2:$AH$120,2,FALSE)</f>
        <v>#N/A</v>
      </c>
      <c r="AJ105" s="18" t="e">
        <f>VLOOKUP($D105,'Week 25'!$A$2:$AH$120,2,FALSE)</f>
        <v>#N/A</v>
      </c>
      <c r="AK105" s="18" t="e">
        <f>VLOOKUP($D105,'Week 26'!$A$2:$AH$120,2,FALSE)</f>
        <v>#N/A</v>
      </c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</row>
    <row r="106" spans="1:52" ht="15.75" customHeight="1">
      <c r="A106" s="18"/>
      <c r="B106" s="18"/>
      <c r="C106" s="18"/>
      <c r="D106" s="18"/>
      <c r="E106" s="18"/>
      <c r="F106" s="106"/>
      <c r="G106" s="106"/>
      <c r="H106" s="18"/>
      <c r="I106" s="18"/>
      <c r="J106" s="18"/>
      <c r="K106" s="17">
        <f t="shared" si="3"/>
        <v>0</v>
      </c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 t="e">
        <f>VLOOKUP($D106,'Week 15'!$A$2:$AH$120,2,FALSE)</f>
        <v>#N/A</v>
      </c>
      <c r="AA106" s="18" t="e">
        <f>VLOOKUP($D106,'Week 16'!$A$2:$AH$120,2,FALSE)</f>
        <v>#N/A</v>
      </c>
      <c r="AB106" s="18" t="e">
        <f>VLOOKUP($D106,'Week 17'!$A$2:$AH$120,2,FALSE)</f>
        <v>#N/A</v>
      </c>
      <c r="AC106" s="18" t="e">
        <f>VLOOKUP($D106,'Week 18'!$A$2:$AH$120,2,FALSE)</f>
        <v>#N/A</v>
      </c>
      <c r="AD106" s="18" t="e">
        <f>VLOOKUP($D106,'Week 19'!$A$2:$AH$120,2,FALSE)</f>
        <v>#N/A</v>
      </c>
      <c r="AE106" s="18" t="e">
        <f>VLOOKUP($D106,'Week 20'!$A$2:$AH$120,2,FALSE)</f>
        <v>#N/A</v>
      </c>
      <c r="AF106" s="18" t="e">
        <f>VLOOKUP($D106,'Week 21'!$A$2:$AH$120,2,FALSE)</f>
        <v>#N/A</v>
      </c>
      <c r="AG106" s="18" t="e">
        <f>VLOOKUP($D106,'Week 22'!$A$2:$AH$120,2,FALSE)</f>
        <v>#N/A</v>
      </c>
      <c r="AH106" s="18" t="e">
        <f>VLOOKUP($D106,'Week 23'!$A$2:$AH$120,2,FALSE)</f>
        <v>#N/A</v>
      </c>
      <c r="AI106" s="18" t="e">
        <f>VLOOKUP($D106,'Week 24'!$A$2:$AH$120,2,FALSE)</f>
        <v>#N/A</v>
      </c>
      <c r="AJ106" s="18" t="e">
        <f>VLOOKUP($D106,'Week 25'!$A$2:$AH$120,2,FALSE)</f>
        <v>#N/A</v>
      </c>
      <c r="AK106" s="18" t="e">
        <f>VLOOKUP($D106,'Week 26'!$A$2:$AH$120,2,FALSE)</f>
        <v>#N/A</v>
      </c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</row>
    <row r="107" spans="1:52" ht="15.75" customHeight="1">
      <c r="A107" s="18"/>
      <c r="B107" s="18"/>
      <c r="C107" s="18"/>
      <c r="D107" s="18"/>
      <c r="E107" s="18"/>
      <c r="F107" s="106"/>
      <c r="G107" s="106"/>
      <c r="H107" s="18"/>
      <c r="I107" s="18"/>
      <c r="J107" s="18"/>
      <c r="K107" s="17">
        <f t="shared" si="3"/>
        <v>0</v>
      </c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 t="e">
        <f>VLOOKUP($D107,'Week 15'!$A$2:$AH$120,2,FALSE)</f>
        <v>#N/A</v>
      </c>
      <c r="AA107" s="18" t="e">
        <f>VLOOKUP($D107,'Week 16'!$A$2:$AH$120,2,FALSE)</f>
        <v>#N/A</v>
      </c>
      <c r="AB107" s="18" t="e">
        <f>VLOOKUP($D107,'Week 17'!$A$2:$AH$120,2,FALSE)</f>
        <v>#N/A</v>
      </c>
      <c r="AC107" s="18" t="e">
        <f>VLOOKUP($D107,'Week 18'!$A$2:$AH$120,2,FALSE)</f>
        <v>#N/A</v>
      </c>
      <c r="AD107" s="18" t="e">
        <f>VLOOKUP($D107,'Week 19'!$A$2:$AH$120,2,FALSE)</f>
        <v>#N/A</v>
      </c>
      <c r="AE107" s="18" t="e">
        <f>VLOOKUP($D107,'Week 20'!$A$2:$AH$120,2,FALSE)</f>
        <v>#N/A</v>
      </c>
      <c r="AF107" s="18" t="e">
        <f>VLOOKUP($D107,'Week 21'!$A$2:$AH$120,2,FALSE)</f>
        <v>#N/A</v>
      </c>
      <c r="AG107" s="18" t="e">
        <f>VLOOKUP($D107,'Week 22'!$A$2:$AH$120,2,FALSE)</f>
        <v>#N/A</v>
      </c>
      <c r="AH107" s="18" t="e">
        <f>VLOOKUP($D107,'Week 23'!$A$2:$AH$120,2,FALSE)</f>
        <v>#N/A</v>
      </c>
      <c r="AI107" s="18" t="e">
        <f>VLOOKUP($D107,'Week 24'!$A$2:$AH$120,2,FALSE)</f>
        <v>#N/A</v>
      </c>
      <c r="AJ107" s="18" t="e">
        <f>VLOOKUP($D107,'Week 25'!$A$2:$AH$120,2,FALSE)</f>
        <v>#N/A</v>
      </c>
      <c r="AK107" s="18" t="e">
        <f>VLOOKUP($D107,'Week 26'!$A$2:$AH$120,2,FALSE)</f>
        <v>#N/A</v>
      </c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</row>
    <row r="108" spans="1:52" ht="15.75" customHeight="1">
      <c r="A108" s="18"/>
      <c r="B108" s="18"/>
      <c r="C108" s="18"/>
      <c r="D108" s="18"/>
      <c r="E108" s="18"/>
      <c r="F108" s="106"/>
      <c r="G108" s="106"/>
      <c r="H108" s="18"/>
      <c r="I108" s="18"/>
      <c r="J108" s="18"/>
      <c r="K108" s="17">
        <f t="shared" si="3"/>
        <v>0</v>
      </c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 t="e">
        <f>VLOOKUP($D108,'Week 15'!$A$2:$AH$120,2,FALSE)</f>
        <v>#N/A</v>
      </c>
      <c r="AA108" s="18"/>
      <c r="AB108" s="18" t="e">
        <f>VLOOKUP($D108,'Week 17'!$A$2:$AH$120,2,FALSE)</f>
        <v>#N/A</v>
      </c>
      <c r="AC108" s="18" t="e">
        <f>VLOOKUP($D108,'Week 18'!$A$2:$AH$120,2,FALSE)</f>
        <v>#N/A</v>
      </c>
      <c r="AD108" s="18" t="e">
        <f>VLOOKUP($D108,'Week 19'!$A$2:$AH$120,2,FALSE)</f>
        <v>#N/A</v>
      </c>
      <c r="AE108" s="18" t="e">
        <f>VLOOKUP($D108,'Week 20'!$A$2:$AH$120,2,FALSE)</f>
        <v>#N/A</v>
      </c>
      <c r="AF108" s="18" t="e">
        <f>VLOOKUP($D108,'Week 21'!$A$2:$AH$120,2,FALSE)</f>
        <v>#N/A</v>
      </c>
      <c r="AG108" s="18" t="e">
        <f>VLOOKUP($D108,'Week 22'!$A$2:$AH$120,2,FALSE)</f>
        <v>#N/A</v>
      </c>
      <c r="AH108" s="18" t="e">
        <f>VLOOKUP($D108,'Week 23'!$A$2:$AH$120,2,FALSE)</f>
        <v>#N/A</v>
      </c>
      <c r="AI108" s="18" t="e">
        <f>VLOOKUP($D108,'Week 24'!$A$2:$AH$120,2,FALSE)</f>
        <v>#N/A</v>
      </c>
      <c r="AJ108" s="18" t="e">
        <f>VLOOKUP($D108,'Week 25'!$A$2:$AH$120,2,FALSE)</f>
        <v>#N/A</v>
      </c>
      <c r="AK108" s="18" t="e">
        <f>VLOOKUP($D108,'Week 26'!$A$2:$AH$120,2,FALSE)</f>
        <v>#N/A</v>
      </c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</row>
    <row r="109" spans="1:52" ht="15.75" customHeight="1">
      <c r="A109" s="18"/>
      <c r="B109" s="18"/>
      <c r="C109" s="18"/>
      <c r="D109" s="18"/>
      <c r="E109" s="18"/>
      <c r="F109" s="106"/>
      <c r="G109" s="106"/>
      <c r="H109" s="18"/>
      <c r="I109" s="18"/>
      <c r="J109" s="18"/>
      <c r="K109" s="17">
        <f t="shared" si="3"/>
        <v>0</v>
      </c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 t="e">
        <f>VLOOKUP($D109,'Week 15'!$A$2:$AH$120,2,FALSE)</f>
        <v>#N/A</v>
      </c>
      <c r="AA109" s="18"/>
      <c r="AB109" s="18" t="e">
        <f>VLOOKUP($D109,'Week 17'!$A$2:$AH$120,2,FALSE)</f>
        <v>#N/A</v>
      </c>
      <c r="AC109" s="18" t="e">
        <f>VLOOKUP($D109,'Week 18'!$A$2:$AH$120,2,FALSE)</f>
        <v>#N/A</v>
      </c>
      <c r="AD109" s="18" t="e">
        <f>VLOOKUP($D109,'Week 19'!$A$2:$AH$120,2,FALSE)</f>
        <v>#N/A</v>
      </c>
      <c r="AE109" s="18" t="e">
        <f>VLOOKUP($D109,'Week 20'!$A$2:$AH$120,2,FALSE)</f>
        <v>#N/A</v>
      </c>
      <c r="AF109" s="18" t="e">
        <f>VLOOKUP($D109,'Week 21'!$A$2:$AH$120,2,FALSE)</f>
        <v>#N/A</v>
      </c>
      <c r="AG109" s="18" t="e">
        <f>VLOOKUP($D109,'Week 22'!$A$2:$AH$120,2,FALSE)</f>
        <v>#N/A</v>
      </c>
      <c r="AH109" s="18" t="e">
        <f>VLOOKUP($D109,'Week 23'!$A$2:$AH$120,2,FALSE)</f>
        <v>#N/A</v>
      </c>
      <c r="AI109" s="18" t="e">
        <f>VLOOKUP($D109,'Week 24'!$A$2:$AH$120,2,FALSE)</f>
        <v>#N/A</v>
      </c>
      <c r="AJ109" s="18" t="e">
        <f>VLOOKUP($D109,'Week 25'!$A$2:$AH$120,2,FALSE)</f>
        <v>#N/A</v>
      </c>
      <c r="AK109" s="18" t="e">
        <f>VLOOKUP($D109,'Week 26'!$A$2:$AH$120,2,FALSE)</f>
        <v>#N/A</v>
      </c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</row>
    <row r="110" spans="1:52" ht="15.75" customHeight="1">
      <c r="A110" s="18"/>
      <c r="B110" s="18"/>
      <c r="C110" s="18"/>
      <c r="D110" s="18"/>
      <c r="E110" s="18"/>
      <c r="F110" s="106"/>
      <c r="G110" s="106"/>
      <c r="H110" s="18"/>
      <c r="I110" s="18"/>
      <c r="J110" s="18"/>
      <c r="K110" s="17">
        <f t="shared" si="3"/>
        <v>0</v>
      </c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 t="e">
        <f>VLOOKUP($D110,'Week 17'!$A$2:$AH$120,2,FALSE)</f>
        <v>#N/A</v>
      </c>
      <c r="AC110" s="18" t="e">
        <f>VLOOKUP($D110,'Week 18'!$A$2:$AH$120,2,FALSE)</f>
        <v>#N/A</v>
      </c>
      <c r="AD110" s="18" t="e">
        <f>VLOOKUP($D110,'Week 19'!$A$2:$AH$120,2,FALSE)</f>
        <v>#N/A</v>
      </c>
      <c r="AE110" s="18" t="e">
        <f>VLOOKUP($D110,'Week 20'!$A$2:$AH$120,2,FALSE)</f>
        <v>#N/A</v>
      </c>
      <c r="AF110" s="18" t="e">
        <f>VLOOKUP($D110,'Week 21'!$A$2:$AH$120,2,FALSE)</f>
        <v>#N/A</v>
      </c>
      <c r="AG110" s="18" t="e">
        <f>VLOOKUP($D110,'Week 22'!$A$2:$AH$120,2,FALSE)</f>
        <v>#N/A</v>
      </c>
      <c r="AH110" s="18" t="e">
        <f>VLOOKUP($D110,'Week 23'!$A$2:$AH$120,2,FALSE)</f>
        <v>#N/A</v>
      </c>
      <c r="AI110" s="18" t="e">
        <f>VLOOKUP($D110,'Week 24'!$A$2:$AH$120,2,FALSE)</f>
        <v>#N/A</v>
      </c>
      <c r="AJ110" s="18" t="e">
        <f>VLOOKUP($D110,'Week 25'!$A$2:$AH$120,2,FALSE)</f>
        <v>#N/A</v>
      </c>
      <c r="AK110" s="18" t="e">
        <f>VLOOKUP($D110,'Week 26'!$A$2:$AH$120,2,FALSE)</f>
        <v>#N/A</v>
      </c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</row>
    <row r="111" spans="1:52" ht="15.75" customHeight="1">
      <c r="A111" s="18"/>
      <c r="B111" s="18"/>
      <c r="C111" s="18"/>
      <c r="D111" s="18"/>
      <c r="E111" s="18"/>
      <c r="F111" s="106"/>
      <c r="G111" s="106"/>
      <c r="H111" s="18"/>
      <c r="I111" s="18"/>
      <c r="J111" s="18"/>
      <c r="K111" s="17">
        <f t="shared" si="3"/>
        <v>0</v>
      </c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 t="e">
        <f>VLOOKUP($D111,'Week 17'!$A$2:$AH$120,2,FALSE)</f>
        <v>#N/A</v>
      </c>
      <c r="AC111" s="18" t="e">
        <f>VLOOKUP($D111,'Week 18'!$A$2:$AH$120,2,FALSE)</f>
        <v>#N/A</v>
      </c>
      <c r="AD111" s="18" t="e">
        <f>VLOOKUP($D111,'Week 19'!$A$2:$AH$120,2,FALSE)</f>
        <v>#N/A</v>
      </c>
      <c r="AE111" s="18" t="e">
        <f>VLOOKUP($D111,'Week 20'!$A$2:$AH$120,2,FALSE)</f>
        <v>#N/A</v>
      </c>
      <c r="AF111" s="18" t="e">
        <f>VLOOKUP($D111,'Week 21'!$A$2:$AH$120,2,FALSE)</f>
        <v>#N/A</v>
      </c>
      <c r="AG111" s="18" t="e">
        <f>VLOOKUP($D111,'Week 22'!$A$2:$AH$120,2,FALSE)</f>
        <v>#N/A</v>
      </c>
      <c r="AH111" s="18" t="e">
        <f>VLOOKUP($D111,'Week 23'!$A$2:$AH$120,2,FALSE)</f>
        <v>#N/A</v>
      </c>
      <c r="AI111" s="18" t="e">
        <f>VLOOKUP($D111,'Week 24'!$A$2:$AH$120,2,FALSE)</f>
        <v>#N/A</v>
      </c>
      <c r="AJ111" s="18" t="e">
        <f>VLOOKUP($D111,'Week 25'!$A$2:$AH$120,2,FALSE)</f>
        <v>#N/A</v>
      </c>
      <c r="AK111" s="18" t="e">
        <f>VLOOKUP($D111,'Week 26'!$A$2:$AH$120,2,FALSE)</f>
        <v>#N/A</v>
      </c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</row>
    <row r="112" spans="1:52" ht="15.75" customHeight="1">
      <c r="A112" s="18"/>
      <c r="B112" s="18"/>
      <c r="C112" s="18"/>
      <c r="D112" s="18"/>
      <c r="E112" s="18"/>
      <c r="F112" s="106"/>
      <c r="G112" s="106"/>
      <c r="H112" s="18"/>
      <c r="I112" s="18"/>
      <c r="J112" s="18"/>
      <c r="K112" s="17">
        <f t="shared" si="3"/>
        <v>0</v>
      </c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 t="e">
        <f>VLOOKUP($D112,'Week 17'!$A$2:$AH$120,2,FALSE)</f>
        <v>#N/A</v>
      </c>
      <c r="AC112" s="18" t="e">
        <f>VLOOKUP($D112,'Week 18'!$A$2:$AH$120,2,FALSE)</f>
        <v>#N/A</v>
      </c>
      <c r="AD112" s="18" t="e">
        <f>VLOOKUP($D112,'Week 19'!$A$2:$AH$120,2,FALSE)</f>
        <v>#N/A</v>
      </c>
      <c r="AE112" s="18" t="e">
        <f>VLOOKUP($D112,'Week 20'!$A$2:$AH$120,2,FALSE)</f>
        <v>#N/A</v>
      </c>
      <c r="AF112" s="18" t="e">
        <f>VLOOKUP($D112,'Week 21'!$A$2:$AH$120,2,FALSE)</f>
        <v>#N/A</v>
      </c>
      <c r="AG112" s="18" t="e">
        <f>VLOOKUP($D112,'Week 22'!$A$2:$AH$120,2,FALSE)</f>
        <v>#N/A</v>
      </c>
      <c r="AH112" s="18" t="e">
        <f>VLOOKUP($D112,'Week 23'!$A$2:$AH$120,2,FALSE)</f>
        <v>#N/A</v>
      </c>
      <c r="AI112" s="18" t="e">
        <f>VLOOKUP($D112,'Week 24'!$A$2:$AH$120,2,FALSE)</f>
        <v>#N/A</v>
      </c>
      <c r="AJ112" s="18" t="e">
        <f>VLOOKUP($D112,'Week 25'!$A$2:$AH$120,2,FALSE)</f>
        <v>#N/A</v>
      </c>
      <c r="AK112" s="18" t="e">
        <f>VLOOKUP($D112,'Week 26'!$A$2:$AH$120,2,FALSE)</f>
        <v>#N/A</v>
      </c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</row>
    <row r="113" spans="1:52" ht="15.75" customHeight="1">
      <c r="A113" s="18"/>
      <c r="B113" s="18"/>
      <c r="C113" s="18"/>
      <c r="D113" s="18"/>
      <c r="E113" s="18"/>
      <c r="F113" s="106"/>
      <c r="G113" s="106"/>
      <c r="H113" s="18"/>
      <c r="I113" s="18"/>
      <c r="J113" s="18"/>
      <c r="K113" s="17">
        <f t="shared" si="3"/>
        <v>0</v>
      </c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 t="e">
        <f>VLOOKUP($D113,'Week 17'!$A$2:$AH$120,2,FALSE)</f>
        <v>#N/A</v>
      </c>
      <c r="AC113" s="18" t="e">
        <f>VLOOKUP($D113,'Week 18'!$A$2:$AH$120,2,FALSE)</f>
        <v>#N/A</v>
      </c>
      <c r="AD113" s="18" t="e">
        <f>VLOOKUP($D113,'Week 19'!$A$2:$AH$120,2,FALSE)</f>
        <v>#N/A</v>
      </c>
      <c r="AE113" s="18" t="e">
        <f>VLOOKUP($D113,'Week 20'!$A$2:$AH$120,2,FALSE)</f>
        <v>#N/A</v>
      </c>
      <c r="AF113" s="18" t="e">
        <f>VLOOKUP($D113,'Week 21'!$A$2:$AH$120,2,FALSE)</f>
        <v>#N/A</v>
      </c>
      <c r="AG113" s="18" t="e">
        <f>VLOOKUP($D113,'Week 22'!$A$2:$AH$120,2,FALSE)</f>
        <v>#N/A</v>
      </c>
      <c r="AH113" s="18" t="e">
        <f>VLOOKUP($D113,'Week 23'!$A$2:$AH$120,2,FALSE)</f>
        <v>#N/A</v>
      </c>
      <c r="AI113" s="18" t="e">
        <f>VLOOKUP($D113,'Week 24'!$A$2:$AH$120,2,FALSE)</f>
        <v>#N/A</v>
      </c>
      <c r="AJ113" s="18" t="e">
        <f>VLOOKUP($D113,'Week 25'!$A$2:$AH$120,2,FALSE)</f>
        <v>#N/A</v>
      </c>
      <c r="AK113" s="18" t="e">
        <f>VLOOKUP($D113,'Week 26'!$A$2:$AH$120,2,FALSE)</f>
        <v>#N/A</v>
      </c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</row>
    <row r="114" spans="1:52" ht="15.75" customHeight="1">
      <c r="A114" s="18"/>
      <c r="B114" s="18"/>
      <c r="C114" s="18"/>
      <c r="D114" s="18"/>
      <c r="E114" s="18"/>
      <c r="F114" s="106"/>
      <c r="G114" s="106"/>
      <c r="H114" s="18"/>
      <c r="I114" s="18"/>
      <c r="J114" s="18"/>
      <c r="K114" s="17">
        <f t="shared" si="3"/>
        <v>0</v>
      </c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 t="e">
        <f>VLOOKUP($D114,'Week 17'!$A$2:$AH$120,2,FALSE)</f>
        <v>#N/A</v>
      </c>
      <c r="AC114" s="18" t="e">
        <f>VLOOKUP($D114,'Week 18'!$A$2:$AH$120,2,FALSE)</f>
        <v>#N/A</v>
      </c>
      <c r="AD114" s="18" t="e">
        <f>VLOOKUP($D114,'Week 19'!$A$2:$AH$120,2,FALSE)</f>
        <v>#N/A</v>
      </c>
      <c r="AE114" s="18" t="e">
        <f>VLOOKUP($D114,'Week 20'!$A$2:$AH$120,2,FALSE)</f>
        <v>#N/A</v>
      </c>
      <c r="AF114" s="18" t="e">
        <f>VLOOKUP($D114,'Week 21'!$A$2:$AH$120,2,FALSE)</f>
        <v>#N/A</v>
      </c>
      <c r="AG114" s="18" t="e">
        <f>VLOOKUP($D114,'Week 22'!$A$2:$AH$120,2,FALSE)</f>
        <v>#N/A</v>
      </c>
      <c r="AH114" s="18" t="e">
        <f>VLOOKUP($D114,'Week 23'!$A$2:$AH$120,2,FALSE)</f>
        <v>#N/A</v>
      </c>
      <c r="AI114" s="18" t="e">
        <f>VLOOKUP($D114,'Week 24'!$A$2:$AH$120,2,FALSE)</f>
        <v>#N/A</v>
      </c>
      <c r="AJ114" s="18" t="e">
        <f>VLOOKUP($D114,'Week 25'!$A$2:$AH$120,2,FALSE)</f>
        <v>#N/A</v>
      </c>
      <c r="AK114" s="18" t="e">
        <f>VLOOKUP($D114,'Week 26'!$A$2:$AH$120,2,FALSE)</f>
        <v>#N/A</v>
      </c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</row>
    <row r="115" spans="1:52" ht="15.75" customHeight="1">
      <c r="A115" s="18"/>
      <c r="B115" s="18"/>
      <c r="C115" s="18"/>
      <c r="D115" s="18"/>
      <c r="E115" s="18"/>
      <c r="F115" s="106"/>
      <c r="G115" s="106"/>
      <c r="H115" s="18"/>
      <c r="I115" s="18"/>
      <c r="J115" s="18"/>
      <c r="K115" s="17">
        <f t="shared" si="3"/>
        <v>0</v>
      </c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 t="e">
        <f>VLOOKUP($D115,'Week 17'!$A$2:$AH$120,2,FALSE)</f>
        <v>#N/A</v>
      </c>
      <c r="AC115" s="18" t="e">
        <f>VLOOKUP($D115,'Week 18'!$A$2:$AH$120,2,FALSE)</f>
        <v>#N/A</v>
      </c>
      <c r="AD115" s="18" t="e">
        <f>VLOOKUP($D115,'Week 19'!$A$2:$AH$120,2,FALSE)</f>
        <v>#N/A</v>
      </c>
      <c r="AE115" s="18" t="e">
        <f>VLOOKUP($D115,'Week 20'!$A$2:$AH$120,2,FALSE)</f>
        <v>#N/A</v>
      </c>
      <c r="AF115" s="18" t="e">
        <f>VLOOKUP($D115,'Week 21'!$A$2:$AH$120,2,FALSE)</f>
        <v>#N/A</v>
      </c>
      <c r="AG115" s="18" t="e">
        <f>VLOOKUP($D115,'Week 22'!$A$2:$AH$120,2,FALSE)</f>
        <v>#N/A</v>
      </c>
      <c r="AH115" s="18" t="e">
        <f>VLOOKUP($D115,'Week 23'!$A$2:$AH$120,2,FALSE)</f>
        <v>#N/A</v>
      </c>
      <c r="AI115" s="18" t="e">
        <f>VLOOKUP($D115,'Week 24'!$A$2:$AH$120,2,FALSE)</f>
        <v>#N/A</v>
      </c>
      <c r="AJ115" s="18" t="e">
        <f>VLOOKUP($D115,'Week 25'!$A$2:$AH$120,2,FALSE)</f>
        <v>#N/A</v>
      </c>
      <c r="AK115" s="18" t="e">
        <f>VLOOKUP($D115,'Week 26'!$A$2:$AH$120,2,FALSE)</f>
        <v>#N/A</v>
      </c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</row>
    <row r="116" spans="1:52" ht="15.75" customHeight="1">
      <c r="A116" s="18"/>
      <c r="B116" s="18"/>
      <c r="C116" s="18"/>
      <c r="D116" s="18"/>
      <c r="E116" s="18"/>
      <c r="F116" s="106"/>
      <c r="G116" s="106"/>
      <c r="H116" s="18"/>
      <c r="I116" s="18"/>
      <c r="J116" s="18"/>
      <c r="K116" s="17">
        <f t="shared" si="3"/>
        <v>0</v>
      </c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 t="e">
        <f>VLOOKUP($D116,'Week 17'!$A$2:$AH$120,2,FALSE)</f>
        <v>#N/A</v>
      </c>
      <c r="AC116" s="18" t="e">
        <f>VLOOKUP($D116,'Week 18'!$A$2:$AH$120,2,FALSE)</f>
        <v>#N/A</v>
      </c>
      <c r="AD116" s="18" t="e">
        <f>VLOOKUP($D116,'Week 19'!$A$2:$AH$120,2,FALSE)</f>
        <v>#N/A</v>
      </c>
      <c r="AE116" s="18" t="e">
        <f>VLOOKUP($D116,'Week 20'!$A$2:$AH$120,2,FALSE)</f>
        <v>#N/A</v>
      </c>
      <c r="AF116" s="18" t="e">
        <f>VLOOKUP($D116,'Week 21'!$A$2:$AH$120,2,FALSE)</f>
        <v>#N/A</v>
      </c>
      <c r="AG116" s="18" t="e">
        <f>VLOOKUP($D116,'Week 22'!$A$2:$AH$120,2,FALSE)</f>
        <v>#N/A</v>
      </c>
      <c r="AH116" s="18" t="e">
        <f>VLOOKUP($D116,'Week 23'!$A$2:$AH$120,2,FALSE)</f>
        <v>#N/A</v>
      </c>
      <c r="AI116" s="18" t="e">
        <f>VLOOKUP($D116,'Week 24'!$A$2:$AH$120,2,FALSE)</f>
        <v>#N/A</v>
      </c>
      <c r="AJ116" s="18" t="e">
        <f>VLOOKUP($D116,'Week 25'!$A$2:$AH$120,2,FALSE)</f>
        <v>#N/A</v>
      </c>
      <c r="AK116" s="18" t="e">
        <f>VLOOKUP($D116,'Week 26'!$A$2:$AH$120,2,FALSE)</f>
        <v>#N/A</v>
      </c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</row>
    <row r="117" spans="1:52" ht="15.75" customHeight="1">
      <c r="A117" s="18"/>
      <c r="B117" s="18"/>
      <c r="C117" s="18"/>
      <c r="D117" s="18"/>
      <c r="E117" s="18"/>
      <c r="F117" s="106"/>
      <c r="G117" s="106"/>
      <c r="H117" s="18"/>
      <c r="I117" s="18"/>
      <c r="J117" s="18"/>
      <c r="K117" s="17">
        <f t="shared" si="3"/>
        <v>0</v>
      </c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 t="e">
        <f>VLOOKUP($D117,'Week 17'!$A$2:$AH$120,2,FALSE)</f>
        <v>#N/A</v>
      </c>
      <c r="AC117" s="18" t="e">
        <f>VLOOKUP($D117,'Week 18'!$A$2:$AH$120,2,FALSE)</f>
        <v>#N/A</v>
      </c>
      <c r="AD117" s="18" t="e">
        <f>VLOOKUP($D117,'Week 19'!$A$2:$AH$120,2,FALSE)</f>
        <v>#N/A</v>
      </c>
      <c r="AE117" s="18" t="e">
        <f>VLOOKUP($D117,'Week 20'!$A$2:$AH$120,2,FALSE)</f>
        <v>#N/A</v>
      </c>
      <c r="AF117" s="18" t="e">
        <f>VLOOKUP($D117,'Week 21'!$A$2:$AH$120,2,FALSE)</f>
        <v>#N/A</v>
      </c>
      <c r="AG117" s="18" t="e">
        <f>VLOOKUP($D117,'Week 22'!$A$2:$AH$120,2,FALSE)</f>
        <v>#N/A</v>
      </c>
      <c r="AH117" s="18" t="e">
        <f>VLOOKUP($D117,'Week 23'!$A$2:$AH$120,2,FALSE)</f>
        <v>#N/A</v>
      </c>
      <c r="AI117" s="18" t="e">
        <f>VLOOKUP($D117,'Week 24'!$A$2:$AH$120,2,FALSE)</f>
        <v>#N/A</v>
      </c>
      <c r="AJ117" s="18" t="e">
        <f>VLOOKUP($D117,'Week 25'!$A$2:$AH$120,2,FALSE)</f>
        <v>#N/A</v>
      </c>
      <c r="AK117" s="18" t="e">
        <f>VLOOKUP($D117,'Week 26'!$A$2:$AH$120,2,FALSE)</f>
        <v>#N/A</v>
      </c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</row>
    <row r="118" spans="1:52" ht="15.75" customHeight="1">
      <c r="A118" s="18"/>
      <c r="B118" s="18"/>
      <c r="C118" s="18"/>
      <c r="D118" s="18"/>
      <c r="E118" s="18"/>
      <c r="F118" s="106"/>
      <c r="G118" s="106"/>
      <c r="H118" s="18"/>
      <c r="I118" s="18"/>
      <c r="J118" s="18"/>
      <c r="K118" s="17">
        <f t="shared" si="3"/>
        <v>0</v>
      </c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 t="e">
        <f>VLOOKUP($D118,'Week 17'!$A$2:$AH$120,2,FALSE)</f>
        <v>#N/A</v>
      </c>
      <c r="AC118" s="18" t="e">
        <f>VLOOKUP($D118,'Week 18'!$A$2:$AH$120,2,FALSE)</f>
        <v>#N/A</v>
      </c>
      <c r="AD118" s="18" t="e">
        <f>VLOOKUP($D118,'Week 19'!$A$2:$AH$120,2,FALSE)</f>
        <v>#N/A</v>
      </c>
      <c r="AE118" s="18" t="e">
        <f>VLOOKUP($D118,'Week 20'!$A$2:$AH$120,2,FALSE)</f>
        <v>#N/A</v>
      </c>
      <c r="AF118" s="18" t="e">
        <f>VLOOKUP($D118,'Week 21'!$A$2:$AH$120,2,FALSE)</f>
        <v>#N/A</v>
      </c>
      <c r="AG118" s="18" t="e">
        <f>VLOOKUP($D118,'Week 22'!$A$2:$AH$120,2,FALSE)</f>
        <v>#N/A</v>
      </c>
      <c r="AH118" s="18" t="e">
        <f>VLOOKUP($D118,'Week 23'!$A$2:$AH$120,2,FALSE)</f>
        <v>#N/A</v>
      </c>
      <c r="AI118" s="18" t="e">
        <f>VLOOKUP($D118,'Week 24'!$A$2:$AH$120,2,FALSE)</f>
        <v>#N/A</v>
      </c>
      <c r="AJ118" s="18" t="e">
        <f>VLOOKUP($D118,'Week 25'!$A$2:$AH$120,2,FALSE)</f>
        <v>#N/A</v>
      </c>
      <c r="AK118" s="18" t="e">
        <f>VLOOKUP($D118,'Week 26'!$A$2:$AH$120,2,FALSE)</f>
        <v>#N/A</v>
      </c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</row>
    <row r="119" spans="1:52" ht="15.75" customHeight="1">
      <c r="A119" s="18"/>
      <c r="B119" s="18"/>
      <c r="C119" s="18"/>
      <c r="D119" s="18"/>
      <c r="E119" s="18"/>
      <c r="F119" s="106"/>
      <c r="G119" s="106"/>
      <c r="H119" s="18"/>
      <c r="I119" s="18"/>
      <c r="J119" s="18"/>
      <c r="K119" s="17">
        <f t="shared" si="3"/>
        <v>0</v>
      </c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 t="e">
        <f>VLOOKUP($D119,'Week 17'!$A$2:$AH$120,2,FALSE)</f>
        <v>#N/A</v>
      </c>
      <c r="AC119" s="18" t="e">
        <f>VLOOKUP($D119,'Week 18'!$A$2:$AH$120,2,FALSE)</f>
        <v>#N/A</v>
      </c>
      <c r="AD119" s="18" t="e">
        <f>VLOOKUP($D119,'Week 19'!$A$2:$AH$120,2,FALSE)</f>
        <v>#N/A</v>
      </c>
      <c r="AE119" s="18" t="e">
        <f>VLOOKUP($D119,'Week 20'!$A$2:$AH$120,2,FALSE)</f>
        <v>#N/A</v>
      </c>
      <c r="AF119" s="18" t="e">
        <f>VLOOKUP($D119,'Week 21'!$A$2:$AH$120,2,FALSE)</f>
        <v>#N/A</v>
      </c>
      <c r="AG119" s="18" t="e">
        <f>VLOOKUP($D119,'Week 22'!$A$2:$AH$120,2,FALSE)</f>
        <v>#N/A</v>
      </c>
      <c r="AH119" s="18" t="e">
        <f>VLOOKUP($D119,'Week 23'!$A$2:$AH$120,2,FALSE)</f>
        <v>#N/A</v>
      </c>
      <c r="AI119" s="18" t="e">
        <f>VLOOKUP($D119,'Week 24'!$A$2:$AH$120,2,FALSE)</f>
        <v>#N/A</v>
      </c>
      <c r="AJ119" s="18" t="e">
        <f>VLOOKUP($D119,'Week 25'!$A$2:$AH$120,2,FALSE)</f>
        <v>#N/A</v>
      </c>
      <c r="AK119" s="18" t="e">
        <f>VLOOKUP($D119,'Week 26'!$A$2:$AH$120,2,FALSE)</f>
        <v>#N/A</v>
      </c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</row>
    <row r="120" spans="1:52" ht="15.75" customHeight="1">
      <c r="A120" s="18"/>
      <c r="B120" s="18"/>
      <c r="C120" s="18"/>
      <c r="D120" s="18"/>
      <c r="E120" s="18"/>
      <c r="F120" s="106"/>
      <c r="G120" s="106"/>
      <c r="H120" s="18"/>
      <c r="I120" s="18"/>
      <c r="J120" s="18"/>
      <c r="K120" s="17">
        <f t="shared" si="3"/>
        <v>0</v>
      </c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 t="e">
        <f>VLOOKUP($D120,'Week 17'!$A$2:$AH$120,2,FALSE)</f>
        <v>#N/A</v>
      </c>
      <c r="AC120" s="18" t="e">
        <f>VLOOKUP($D120,'Week 18'!$A$2:$AH$120,2,FALSE)</f>
        <v>#N/A</v>
      </c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</row>
    <row r="121" spans="1:52" ht="15.75" customHeight="1">
      <c r="A121" s="18"/>
      <c r="B121" s="18"/>
      <c r="C121" s="18"/>
      <c r="D121" s="18"/>
      <c r="E121" s="18"/>
      <c r="F121" s="106"/>
      <c r="G121" s="106"/>
      <c r="H121" s="18"/>
      <c r="I121" s="18"/>
      <c r="J121" s="18"/>
      <c r="K121" s="17">
        <f t="shared" si="3"/>
        <v>0</v>
      </c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</row>
    <row r="122" spans="1:52" ht="15.75" customHeight="1">
      <c r="A122" s="18"/>
      <c r="B122" s="18"/>
      <c r="C122" s="18"/>
      <c r="D122" s="18"/>
      <c r="E122" s="18"/>
      <c r="F122" s="106"/>
      <c r="G122" s="106"/>
      <c r="H122" s="18"/>
      <c r="I122" s="18"/>
      <c r="J122" s="18"/>
      <c r="K122" s="17">
        <f t="shared" si="3"/>
        <v>0</v>
      </c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</row>
    <row r="123" spans="1:52" ht="15.75" customHeight="1">
      <c r="A123" s="18"/>
      <c r="B123" s="18"/>
      <c r="C123" s="18"/>
      <c r="D123" s="18"/>
      <c r="E123" s="18"/>
      <c r="F123" s="106"/>
      <c r="G123" s="106"/>
      <c r="H123" s="18"/>
      <c r="I123" s="18"/>
      <c r="J123" s="18"/>
      <c r="K123" s="17">
        <f t="shared" si="3"/>
        <v>0</v>
      </c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</row>
    <row r="124" spans="1:52" ht="15.75" customHeight="1">
      <c r="A124" s="18"/>
      <c r="B124" s="18"/>
      <c r="C124" s="18"/>
      <c r="D124" s="18"/>
      <c r="E124" s="18"/>
      <c r="F124" s="106"/>
      <c r="G124" s="106"/>
      <c r="H124" s="18"/>
      <c r="I124" s="18"/>
      <c r="J124" s="18"/>
      <c r="K124" s="17">
        <f t="shared" si="3"/>
        <v>0</v>
      </c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</row>
    <row r="125" spans="1:52" ht="15.75" customHeight="1">
      <c r="A125" s="18"/>
      <c r="B125" s="18"/>
      <c r="C125" s="18"/>
      <c r="D125" s="18"/>
      <c r="E125" s="18"/>
      <c r="F125" s="106"/>
      <c r="G125" s="106"/>
      <c r="H125" s="18"/>
      <c r="I125" s="18"/>
      <c r="J125" s="18"/>
      <c r="K125" s="17">
        <f t="shared" si="3"/>
        <v>0</v>
      </c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</row>
    <row r="126" spans="1:52" ht="15.75" customHeight="1">
      <c r="A126" s="18"/>
      <c r="B126" s="18"/>
      <c r="C126" s="18"/>
      <c r="D126" s="18"/>
      <c r="E126" s="18"/>
      <c r="F126" s="106"/>
      <c r="G126" s="106"/>
      <c r="H126" s="18"/>
      <c r="I126" s="18"/>
      <c r="J126" s="18"/>
      <c r="K126" s="17">
        <f t="shared" si="3"/>
        <v>0</v>
      </c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</row>
    <row r="127" spans="1:52" ht="15.75" customHeight="1">
      <c r="A127" s="18"/>
      <c r="B127" s="18"/>
      <c r="C127" s="18"/>
      <c r="D127" s="18"/>
      <c r="E127" s="18"/>
      <c r="F127" s="106"/>
      <c r="G127" s="106"/>
      <c r="H127" s="18"/>
      <c r="I127" s="18"/>
      <c r="J127" s="18"/>
      <c r="K127" s="17">
        <f t="shared" si="3"/>
        <v>0</v>
      </c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</row>
    <row r="128" spans="1:52" ht="15.75" customHeight="1">
      <c r="A128" s="18"/>
      <c r="B128" s="18"/>
      <c r="C128" s="18"/>
      <c r="D128" s="18"/>
      <c r="E128" s="18"/>
      <c r="F128" s="106"/>
      <c r="G128" s="106"/>
      <c r="H128" s="18"/>
      <c r="I128" s="18"/>
      <c r="J128" s="18"/>
      <c r="K128" s="17">
        <f t="shared" si="3"/>
        <v>0</v>
      </c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</row>
    <row r="129" spans="1:52" ht="15.75" customHeight="1">
      <c r="A129" s="18"/>
      <c r="B129" s="18"/>
      <c r="C129" s="18"/>
      <c r="D129" s="18"/>
      <c r="E129" s="18"/>
      <c r="F129" s="106"/>
      <c r="G129" s="106"/>
      <c r="H129" s="18"/>
      <c r="I129" s="18"/>
      <c r="J129" s="18"/>
      <c r="K129" s="17">
        <f t="shared" si="3"/>
        <v>0</v>
      </c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</row>
    <row r="130" spans="1:52" ht="15.75" customHeight="1">
      <c r="A130" s="18"/>
      <c r="B130" s="18"/>
      <c r="C130" s="18"/>
      <c r="D130" s="18"/>
      <c r="E130" s="18"/>
      <c r="F130" s="106"/>
      <c r="G130" s="106"/>
      <c r="H130" s="18"/>
      <c r="I130" s="18"/>
      <c r="J130" s="18"/>
      <c r="K130" s="17">
        <f t="shared" si="3"/>
        <v>0</v>
      </c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</row>
    <row r="131" spans="1:52" ht="15.75" customHeight="1">
      <c r="A131" s="18"/>
      <c r="B131" s="18"/>
      <c r="C131" s="18"/>
      <c r="D131" s="18"/>
      <c r="E131" s="18"/>
      <c r="F131" s="106"/>
      <c r="G131" s="106"/>
      <c r="H131" s="18"/>
      <c r="I131" s="18"/>
      <c r="J131" s="18"/>
      <c r="K131" s="17">
        <f t="shared" si="3"/>
        <v>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</row>
    <row r="132" spans="1:52" ht="15.75" customHeight="1">
      <c r="A132" s="18"/>
      <c r="B132" s="18"/>
      <c r="C132" s="18"/>
      <c r="D132" s="18"/>
      <c r="E132" s="18"/>
      <c r="F132" s="106"/>
      <c r="G132" s="106"/>
      <c r="H132" s="18"/>
      <c r="I132" s="18"/>
      <c r="J132" s="18"/>
      <c r="K132" s="17">
        <f t="shared" si="3"/>
        <v>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</row>
    <row r="133" spans="1:52" ht="15.75" customHeight="1">
      <c r="A133" s="18"/>
      <c r="B133" s="18"/>
      <c r="C133" s="18"/>
      <c r="D133" s="18"/>
      <c r="E133" s="18"/>
      <c r="F133" s="106"/>
      <c r="G133" s="106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</row>
    <row r="134" spans="1:52" ht="15.75" customHeight="1">
      <c r="A134" s="18"/>
      <c r="B134" s="18"/>
      <c r="C134" s="18"/>
      <c r="D134" s="18"/>
      <c r="E134" s="18"/>
      <c r="F134" s="106"/>
      <c r="G134" s="106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</row>
    <row r="135" spans="1:52" ht="15.75" customHeight="1">
      <c r="A135" s="18"/>
      <c r="B135" s="18"/>
      <c r="C135" s="18"/>
      <c r="D135" s="18"/>
      <c r="E135" s="18"/>
      <c r="F135" s="106"/>
      <c r="G135" s="106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</row>
    <row r="136" spans="1:52" ht="15.75" customHeight="1">
      <c r="A136" s="18"/>
      <c r="B136" s="18"/>
      <c r="C136" s="18"/>
      <c r="D136" s="18"/>
      <c r="E136" s="18"/>
      <c r="F136" s="106"/>
      <c r="G136" s="106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</row>
    <row r="137" spans="1:52" ht="15.75" customHeight="1">
      <c r="A137" s="18"/>
      <c r="B137" s="18"/>
      <c r="C137" s="18"/>
      <c r="D137" s="18"/>
      <c r="E137" s="18"/>
      <c r="F137" s="106"/>
      <c r="G137" s="106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</row>
    <row r="138" spans="1:52" ht="15.75" customHeight="1">
      <c r="A138" s="18"/>
      <c r="B138" s="18"/>
      <c r="C138" s="18"/>
      <c r="D138" s="18"/>
      <c r="E138" s="18"/>
      <c r="F138" s="106"/>
      <c r="G138" s="106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</row>
    <row r="139" spans="1:52" ht="15.75" customHeight="1">
      <c r="A139" s="18"/>
      <c r="B139" s="18"/>
      <c r="C139" s="18"/>
      <c r="D139" s="18"/>
      <c r="E139" s="18"/>
      <c r="F139" s="106"/>
      <c r="G139" s="106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</row>
    <row r="140" spans="1:52" ht="15.75" customHeight="1">
      <c r="A140" s="18"/>
      <c r="B140" s="18"/>
      <c r="C140" s="18"/>
      <c r="D140" s="18"/>
      <c r="E140" s="18"/>
      <c r="F140" s="106"/>
      <c r="G140" s="106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</row>
    <row r="141" spans="1:52" ht="15.75" customHeight="1">
      <c r="A141" s="18"/>
      <c r="B141" s="18"/>
      <c r="C141" s="18"/>
      <c r="D141" s="18"/>
      <c r="E141" s="18"/>
      <c r="F141" s="106"/>
      <c r="G141" s="106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</row>
    <row r="142" spans="1:52" ht="15.75" customHeight="1">
      <c r="A142" s="18"/>
      <c r="B142" s="18"/>
      <c r="C142" s="18"/>
      <c r="D142" s="18"/>
      <c r="E142" s="18"/>
      <c r="F142" s="106"/>
      <c r="G142" s="106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</row>
    <row r="143" spans="1:52" ht="15.75" customHeight="1">
      <c r="A143" s="18"/>
      <c r="B143" s="18"/>
      <c r="C143" s="18"/>
      <c r="D143" s="18"/>
      <c r="E143" s="18"/>
      <c r="F143" s="106"/>
      <c r="G143" s="106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</row>
    <row r="144" spans="1:52" ht="15.75" customHeight="1">
      <c r="A144" s="18"/>
      <c r="B144" s="18"/>
      <c r="C144" s="18"/>
      <c r="D144" s="18"/>
      <c r="E144" s="18"/>
      <c r="F144" s="106"/>
      <c r="G144" s="106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</row>
    <row r="145" spans="1:52" ht="15.75" customHeight="1">
      <c r="A145" s="18"/>
      <c r="B145" s="18"/>
      <c r="C145" s="18"/>
      <c r="D145" s="18"/>
      <c r="E145" s="18"/>
      <c r="F145" s="106"/>
      <c r="G145" s="106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</row>
    <row r="146" spans="1:52" ht="15.75" customHeight="1">
      <c r="A146" s="18"/>
      <c r="B146" s="18"/>
      <c r="C146" s="18"/>
      <c r="D146" s="18"/>
      <c r="E146" s="18"/>
      <c r="F146" s="106"/>
      <c r="G146" s="106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</row>
    <row r="147" spans="1:52" ht="15.75" customHeight="1">
      <c r="A147" s="18"/>
      <c r="B147" s="18"/>
      <c r="C147" s="18"/>
      <c r="D147" s="18"/>
      <c r="E147" s="18"/>
      <c r="F147" s="106"/>
      <c r="G147" s="106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</row>
    <row r="148" spans="1:52" ht="15.75" customHeight="1">
      <c r="A148" s="18"/>
      <c r="B148" s="18"/>
      <c r="C148" s="18"/>
      <c r="D148" s="18"/>
      <c r="E148" s="18"/>
      <c r="F148" s="106"/>
      <c r="G148" s="106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</row>
    <row r="149" spans="1:52" ht="15.75" customHeight="1">
      <c r="A149" s="18"/>
      <c r="B149" s="18"/>
      <c r="C149" s="18"/>
      <c r="D149" s="18"/>
      <c r="E149" s="18"/>
      <c r="F149" s="106"/>
      <c r="G149" s="106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</row>
    <row r="150" spans="1:52" ht="15.75" customHeight="1">
      <c r="A150" s="18"/>
      <c r="B150" s="18"/>
      <c r="C150" s="18"/>
      <c r="D150" s="18"/>
      <c r="E150" s="18"/>
      <c r="F150" s="106"/>
      <c r="G150" s="106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</row>
    <row r="151" spans="1:52" ht="15.75" customHeight="1">
      <c r="A151" s="18"/>
      <c r="B151" s="18"/>
      <c r="C151" s="18"/>
      <c r="D151" s="18"/>
      <c r="E151" s="18"/>
      <c r="F151" s="106"/>
      <c r="G151" s="106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</row>
    <row r="152" spans="1:52" ht="15.75" customHeight="1">
      <c r="A152" s="18"/>
      <c r="B152" s="18"/>
      <c r="C152" s="18"/>
      <c r="D152" s="18"/>
      <c r="E152" s="18"/>
      <c r="F152" s="106"/>
      <c r="G152" s="106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</row>
    <row r="153" spans="1:52" ht="15.75" customHeight="1">
      <c r="A153" s="18"/>
      <c r="B153" s="18"/>
      <c r="C153" s="18"/>
      <c r="D153" s="18"/>
      <c r="E153" s="18"/>
      <c r="F153" s="106"/>
      <c r="G153" s="106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</row>
    <row r="154" spans="1:52" ht="15.75" customHeight="1">
      <c r="A154" s="18"/>
      <c r="B154" s="18"/>
      <c r="C154" s="18"/>
      <c r="D154" s="18"/>
      <c r="E154" s="18"/>
      <c r="F154" s="106"/>
      <c r="G154" s="106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</row>
    <row r="155" spans="1:52" ht="15.75" customHeight="1">
      <c r="A155" s="18"/>
      <c r="B155" s="18"/>
      <c r="C155" s="18"/>
      <c r="D155" s="18"/>
      <c r="E155" s="18"/>
      <c r="F155" s="106"/>
      <c r="G155" s="106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</row>
    <row r="156" spans="1:52" ht="15.75" customHeight="1">
      <c r="A156" s="18"/>
      <c r="B156" s="18"/>
      <c r="C156" s="18"/>
      <c r="D156" s="18"/>
      <c r="E156" s="18"/>
      <c r="F156" s="106"/>
      <c r="G156" s="106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</row>
    <row r="157" spans="1:52" ht="15.75" customHeight="1">
      <c r="A157" s="18"/>
      <c r="B157" s="18"/>
      <c r="C157" s="18"/>
      <c r="D157" s="18"/>
      <c r="E157" s="18"/>
      <c r="F157" s="106"/>
      <c r="G157" s="106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</row>
    <row r="158" spans="1:52" ht="15.75" customHeight="1">
      <c r="A158" s="18"/>
      <c r="B158" s="18"/>
      <c r="C158" s="18"/>
      <c r="D158" s="18"/>
      <c r="E158" s="18"/>
      <c r="F158" s="106"/>
      <c r="G158" s="106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</row>
    <row r="159" spans="1:52" ht="15.75" customHeight="1">
      <c r="A159" s="18"/>
      <c r="B159" s="18"/>
      <c r="C159" s="18"/>
      <c r="D159" s="18"/>
      <c r="E159" s="18"/>
      <c r="F159" s="106"/>
      <c r="G159" s="106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</row>
    <row r="160" spans="1:52" ht="15.75" customHeight="1">
      <c r="A160" s="18"/>
      <c r="B160" s="18"/>
      <c r="C160" s="18"/>
      <c r="D160" s="18"/>
      <c r="E160" s="18"/>
      <c r="F160" s="106"/>
      <c r="G160" s="106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</row>
    <row r="161" spans="1:52" ht="15.75" customHeight="1">
      <c r="A161" s="18"/>
      <c r="B161" s="18"/>
      <c r="C161" s="18"/>
      <c r="D161" s="18"/>
      <c r="E161" s="18"/>
      <c r="F161" s="106"/>
      <c r="G161" s="106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</row>
    <row r="162" spans="1:52" ht="15.75" customHeight="1">
      <c r="A162" s="18"/>
      <c r="B162" s="18"/>
      <c r="C162" s="18"/>
      <c r="D162" s="18"/>
      <c r="E162" s="18"/>
      <c r="F162" s="106"/>
      <c r="G162" s="106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</row>
    <row r="163" spans="1:52" ht="15.75" customHeight="1">
      <c r="A163" s="18"/>
      <c r="B163" s="18"/>
      <c r="C163" s="18"/>
      <c r="D163" s="18"/>
      <c r="E163" s="18"/>
      <c r="F163" s="106"/>
      <c r="G163" s="106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</row>
    <row r="164" spans="1:52" ht="15.75" customHeight="1">
      <c r="A164" s="18"/>
      <c r="B164" s="18"/>
      <c r="C164" s="18"/>
      <c r="D164" s="18"/>
      <c r="E164" s="18"/>
      <c r="F164" s="106"/>
      <c r="G164" s="106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</row>
    <row r="165" spans="1:52" ht="15.75" customHeight="1">
      <c r="A165" s="18"/>
      <c r="B165" s="18"/>
      <c r="C165" s="18"/>
      <c r="D165" s="18"/>
      <c r="E165" s="18"/>
      <c r="F165" s="106"/>
      <c r="G165" s="106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</row>
    <row r="166" spans="1:52" ht="15.75" customHeight="1">
      <c r="A166" s="18"/>
      <c r="B166" s="18"/>
      <c r="C166" s="18"/>
      <c r="D166" s="18"/>
      <c r="E166" s="18"/>
      <c r="F166" s="106"/>
      <c r="G166" s="106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</row>
    <row r="167" spans="1:52" ht="15.75" customHeight="1">
      <c r="A167" s="18"/>
      <c r="B167" s="18"/>
      <c r="C167" s="18"/>
      <c r="D167" s="18"/>
      <c r="E167" s="18"/>
      <c r="F167" s="106"/>
      <c r="G167" s="106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</row>
    <row r="168" spans="1:52" ht="15.75" customHeight="1">
      <c r="A168" s="18"/>
      <c r="B168" s="18"/>
      <c r="C168" s="18"/>
      <c r="D168" s="18"/>
      <c r="E168" s="18"/>
      <c r="F168" s="106"/>
      <c r="G168" s="106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</row>
    <row r="169" spans="1:52" ht="15.75" customHeight="1">
      <c r="A169" s="18"/>
      <c r="B169" s="18"/>
      <c r="C169" s="18"/>
      <c r="D169" s="18"/>
      <c r="E169" s="18"/>
      <c r="F169" s="106"/>
      <c r="G169" s="106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</row>
    <row r="170" spans="1:52" ht="15.75" customHeight="1">
      <c r="A170" s="18"/>
      <c r="B170" s="18"/>
      <c r="C170" s="18"/>
      <c r="D170" s="18"/>
      <c r="E170" s="18"/>
      <c r="F170" s="106"/>
      <c r="G170" s="106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</row>
    <row r="171" spans="1:52" ht="15.75" customHeight="1">
      <c r="A171" s="18"/>
      <c r="B171" s="18"/>
      <c r="C171" s="18"/>
      <c r="D171" s="18"/>
      <c r="E171" s="18"/>
      <c r="F171" s="106"/>
      <c r="G171" s="106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</row>
    <row r="172" spans="1:52" ht="15.75" customHeight="1">
      <c r="A172" s="18"/>
      <c r="B172" s="18"/>
      <c r="C172" s="18"/>
      <c r="D172" s="18"/>
      <c r="E172" s="18"/>
      <c r="F172" s="106"/>
      <c r="G172" s="106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</row>
    <row r="173" spans="1:52" ht="15.75" customHeight="1">
      <c r="A173" s="18"/>
      <c r="B173" s="18"/>
      <c r="C173" s="18"/>
      <c r="D173" s="18"/>
      <c r="E173" s="18"/>
      <c r="F173" s="106"/>
      <c r="G173" s="106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</row>
    <row r="174" spans="1:52" ht="15.75" customHeight="1">
      <c r="A174" s="18"/>
      <c r="B174" s="18"/>
      <c r="C174" s="18"/>
      <c r="D174" s="18"/>
      <c r="E174" s="18"/>
      <c r="F174" s="106"/>
      <c r="G174" s="106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</row>
    <row r="175" spans="1:52" ht="15.75" customHeight="1">
      <c r="A175" s="18"/>
      <c r="B175" s="18"/>
      <c r="C175" s="18"/>
      <c r="D175" s="18"/>
      <c r="E175" s="18"/>
      <c r="F175" s="106"/>
      <c r="G175" s="106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</row>
    <row r="176" spans="1:52" ht="15.75" customHeight="1">
      <c r="A176" s="18"/>
      <c r="B176" s="18"/>
      <c r="C176" s="18"/>
      <c r="D176" s="18"/>
      <c r="E176" s="18"/>
      <c r="F176" s="106"/>
      <c r="G176" s="106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</row>
    <row r="177" spans="1:52" ht="15.75" customHeight="1">
      <c r="A177" s="18"/>
      <c r="B177" s="18"/>
      <c r="C177" s="18"/>
      <c r="D177" s="18"/>
      <c r="E177" s="18"/>
      <c r="F177" s="106"/>
      <c r="G177" s="106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</row>
    <row r="178" spans="1:52" ht="15.75" customHeight="1">
      <c r="A178" s="18"/>
      <c r="B178" s="18"/>
      <c r="C178" s="18"/>
      <c r="D178" s="18"/>
      <c r="E178" s="18"/>
      <c r="F178" s="106"/>
      <c r="G178" s="106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</row>
    <row r="179" spans="1:52" ht="15.75" customHeight="1">
      <c r="A179" s="18"/>
      <c r="B179" s="18"/>
      <c r="C179" s="18"/>
      <c r="D179" s="18"/>
      <c r="E179" s="18"/>
      <c r="F179" s="106"/>
      <c r="G179" s="106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</row>
    <row r="180" spans="1:52" ht="15.75" customHeight="1">
      <c r="A180" s="18"/>
      <c r="B180" s="18"/>
      <c r="C180" s="18"/>
      <c r="D180" s="18"/>
      <c r="E180" s="18"/>
      <c r="F180" s="106"/>
      <c r="G180" s="106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</row>
    <row r="181" spans="1:52" ht="15.75" customHeight="1">
      <c r="A181" s="18"/>
      <c r="B181" s="18"/>
      <c r="C181" s="18"/>
      <c r="D181" s="18"/>
      <c r="E181" s="18"/>
      <c r="F181" s="106"/>
      <c r="G181" s="106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</row>
    <row r="182" spans="1:52" ht="15.75" customHeight="1">
      <c r="A182" s="18"/>
      <c r="B182" s="18"/>
      <c r="C182" s="18"/>
      <c r="D182" s="18"/>
      <c r="E182" s="18"/>
      <c r="F182" s="106"/>
      <c r="G182" s="106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</row>
    <row r="183" spans="1:52" ht="15.75" customHeight="1">
      <c r="A183" s="18"/>
      <c r="B183" s="18"/>
      <c r="C183" s="18"/>
      <c r="D183" s="18"/>
      <c r="E183" s="18"/>
      <c r="F183" s="106"/>
      <c r="G183" s="106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</row>
    <row r="184" spans="1:52" ht="15.75" customHeight="1">
      <c r="A184" s="18"/>
      <c r="B184" s="18"/>
      <c r="C184" s="18"/>
      <c r="D184" s="18"/>
      <c r="E184" s="18"/>
      <c r="F184" s="106"/>
      <c r="G184" s="106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</row>
    <row r="185" spans="1:52" ht="15.75" customHeight="1">
      <c r="A185" s="18"/>
      <c r="B185" s="18"/>
      <c r="C185" s="18"/>
      <c r="D185" s="18"/>
      <c r="E185" s="18"/>
      <c r="F185" s="106"/>
      <c r="G185" s="106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</row>
    <row r="186" spans="1:52" ht="15.75" customHeight="1">
      <c r="A186" s="18"/>
      <c r="B186" s="18"/>
      <c r="C186" s="18"/>
      <c r="D186" s="18"/>
      <c r="E186" s="18"/>
      <c r="F186" s="106"/>
      <c r="G186" s="106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</row>
    <row r="187" spans="1:52" ht="15.75" customHeight="1">
      <c r="A187" s="18"/>
      <c r="B187" s="18"/>
      <c r="C187" s="18"/>
      <c r="D187" s="18"/>
      <c r="E187" s="18"/>
      <c r="F187" s="106"/>
      <c r="G187" s="106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</row>
    <row r="188" spans="1:52" ht="15.75" customHeight="1">
      <c r="A188" s="18"/>
      <c r="B188" s="18"/>
      <c r="C188" s="18"/>
      <c r="D188" s="18"/>
      <c r="E188" s="18"/>
      <c r="F188" s="106"/>
      <c r="G188" s="106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</row>
    <row r="189" spans="1:52" ht="15.75" customHeight="1">
      <c r="A189" s="18"/>
      <c r="B189" s="18"/>
      <c r="C189" s="18"/>
      <c r="D189" s="18"/>
      <c r="E189" s="18"/>
      <c r="F189" s="106"/>
      <c r="G189" s="106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</row>
    <row r="190" spans="1:52" ht="15.75" customHeight="1">
      <c r="A190" s="18"/>
      <c r="B190" s="18"/>
      <c r="C190" s="18"/>
      <c r="D190" s="18"/>
      <c r="E190" s="18"/>
      <c r="F190" s="106"/>
      <c r="G190" s="106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</row>
    <row r="191" spans="1:52" ht="15.75" customHeight="1">
      <c r="A191" s="18"/>
      <c r="B191" s="18"/>
      <c r="C191" s="18"/>
      <c r="D191" s="18"/>
      <c r="E191" s="18"/>
      <c r="F191" s="106"/>
      <c r="G191" s="106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</row>
    <row r="192" spans="1:52" ht="15.75" customHeight="1">
      <c r="A192" s="18"/>
      <c r="B192" s="18"/>
      <c r="C192" s="18"/>
      <c r="D192" s="18"/>
      <c r="E192" s="18"/>
      <c r="F192" s="106"/>
      <c r="G192" s="106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</row>
    <row r="193" spans="1:52" ht="15.75" customHeight="1">
      <c r="A193" s="18"/>
      <c r="B193" s="18"/>
      <c r="C193" s="18"/>
      <c r="D193" s="18"/>
      <c r="E193" s="18"/>
      <c r="F193" s="106"/>
      <c r="G193" s="106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</row>
    <row r="194" spans="1:52" ht="15.75" customHeight="1">
      <c r="A194" s="18"/>
      <c r="B194" s="18"/>
      <c r="C194" s="18"/>
      <c r="D194" s="18"/>
      <c r="E194" s="18"/>
      <c r="F194" s="106"/>
      <c r="G194" s="106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</row>
    <row r="195" spans="1:52" ht="15.75" customHeight="1">
      <c r="A195" s="18"/>
      <c r="B195" s="18"/>
      <c r="C195" s="18"/>
      <c r="D195" s="18"/>
      <c r="E195" s="18"/>
      <c r="F195" s="106"/>
      <c r="G195" s="106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</row>
    <row r="196" spans="1:52" ht="15.75" customHeight="1">
      <c r="A196" s="18"/>
      <c r="B196" s="18"/>
      <c r="C196" s="18"/>
      <c r="D196" s="18"/>
      <c r="E196" s="18"/>
      <c r="F196" s="106"/>
      <c r="G196" s="106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</row>
    <row r="197" spans="1:52" ht="15.75" customHeight="1">
      <c r="A197" s="18"/>
      <c r="B197" s="18"/>
      <c r="C197" s="18"/>
      <c r="D197" s="18"/>
      <c r="E197" s="18"/>
      <c r="F197" s="106"/>
      <c r="G197" s="106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</row>
    <row r="198" spans="1:52" ht="15.75" customHeight="1">
      <c r="A198" s="18"/>
      <c r="B198" s="18"/>
      <c r="C198" s="18"/>
      <c r="D198" s="18"/>
      <c r="E198" s="18"/>
      <c r="F198" s="106"/>
      <c r="G198" s="106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</row>
    <row r="199" spans="1:52" ht="15.75" customHeight="1">
      <c r="A199" s="18"/>
      <c r="B199" s="18"/>
      <c r="C199" s="18"/>
      <c r="D199" s="18"/>
      <c r="E199" s="18"/>
      <c r="F199" s="106"/>
      <c r="G199" s="106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</row>
    <row r="200" spans="1:52" ht="15.75" customHeight="1">
      <c r="A200" s="18"/>
      <c r="B200" s="18"/>
      <c r="C200" s="18"/>
      <c r="D200" s="18"/>
      <c r="E200" s="18"/>
      <c r="F200" s="106"/>
      <c r="G200" s="106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</row>
    <row r="201" spans="1:52" ht="15.75" customHeight="1">
      <c r="A201" s="18"/>
      <c r="B201" s="18"/>
      <c r="C201" s="18"/>
      <c r="D201" s="18"/>
      <c r="E201" s="18"/>
      <c r="F201" s="106"/>
      <c r="G201" s="106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</row>
    <row r="202" spans="1:52" ht="15.75" customHeight="1">
      <c r="A202" s="18"/>
      <c r="B202" s="18"/>
      <c r="C202" s="18"/>
      <c r="D202" s="18"/>
      <c r="E202" s="18"/>
      <c r="F202" s="106"/>
      <c r="G202" s="106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</row>
    <row r="203" spans="1:52" ht="15.75" customHeight="1">
      <c r="A203" s="18"/>
      <c r="B203" s="18"/>
      <c r="C203" s="18"/>
      <c r="D203" s="18"/>
      <c r="E203" s="18"/>
      <c r="F203" s="106"/>
      <c r="G203" s="106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</row>
    <row r="204" spans="1:52" ht="15.75" customHeight="1">
      <c r="A204" s="18"/>
      <c r="B204" s="18"/>
      <c r="C204" s="18"/>
      <c r="D204" s="18"/>
      <c r="E204" s="18"/>
      <c r="F204" s="106"/>
      <c r="G204" s="106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</row>
    <row r="205" spans="1:52" ht="15.75" customHeight="1">
      <c r="A205" s="18"/>
      <c r="B205" s="18"/>
      <c r="C205" s="18"/>
      <c r="D205" s="18"/>
      <c r="E205" s="18"/>
      <c r="F205" s="106"/>
      <c r="G205" s="106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</row>
    <row r="206" spans="1:52" ht="15.75" customHeight="1">
      <c r="A206" s="18"/>
      <c r="B206" s="18"/>
      <c r="C206" s="18"/>
      <c r="D206" s="18"/>
      <c r="E206" s="18"/>
      <c r="F206" s="106"/>
      <c r="G206" s="106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</row>
    <row r="207" spans="1:52" ht="15.75" customHeight="1">
      <c r="A207" s="18"/>
      <c r="B207" s="18"/>
      <c r="C207" s="18"/>
      <c r="D207" s="18"/>
      <c r="E207" s="18"/>
      <c r="F207" s="106"/>
      <c r="G207" s="106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</row>
    <row r="208" spans="1:52" ht="15.75" customHeight="1">
      <c r="A208" s="18"/>
      <c r="B208" s="18"/>
      <c r="C208" s="18"/>
      <c r="D208" s="18"/>
      <c r="E208" s="18"/>
      <c r="F208" s="106"/>
      <c r="G208" s="106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</row>
    <row r="209" spans="1:52" ht="15.75" customHeight="1">
      <c r="A209" s="18"/>
      <c r="B209" s="18"/>
      <c r="C209" s="18"/>
      <c r="D209" s="18"/>
      <c r="E209" s="18"/>
      <c r="F209" s="106"/>
      <c r="G209" s="106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</row>
    <row r="210" spans="1:52" ht="15.75" customHeight="1">
      <c r="A210" s="18"/>
      <c r="B210" s="18"/>
      <c r="C210" s="18"/>
      <c r="D210" s="18"/>
      <c r="E210" s="18"/>
      <c r="F210" s="106"/>
      <c r="G210" s="106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</row>
    <row r="211" spans="1:52" ht="15.75" customHeight="1">
      <c r="A211" s="18"/>
      <c r="B211" s="18"/>
      <c r="C211" s="18"/>
      <c r="D211" s="18"/>
      <c r="E211" s="18"/>
      <c r="F211" s="106"/>
      <c r="G211" s="106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</row>
    <row r="212" spans="1:52" ht="15.75" customHeight="1">
      <c r="A212" s="18"/>
      <c r="B212" s="18"/>
      <c r="C212" s="18"/>
      <c r="D212" s="18"/>
      <c r="E212" s="18"/>
      <c r="F212" s="106"/>
      <c r="G212" s="106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</row>
    <row r="213" spans="1:52" ht="15.75" customHeight="1">
      <c r="A213" s="18"/>
      <c r="B213" s="18"/>
      <c r="C213" s="18"/>
      <c r="D213" s="18"/>
      <c r="E213" s="18"/>
      <c r="F213" s="106"/>
      <c r="G213" s="106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</row>
    <row r="214" spans="1:52" ht="15.75" customHeight="1">
      <c r="A214" s="18"/>
      <c r="B214" s="18"/>
      <c r="C214" s="18"/>
      <c r="D214" s="18"/>
      <c r="E214" s="18"/>
      <c r="F214" s="106"/>
      <c r="G214" s="106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</row>
    <row r="215" spans="1:52" ht="15.75" customHeight="1">
      <c r="A215" s="18"/>
      <c r="B215" s="18"/>
      <c r="C215" s="18"/>
      <c r="D215" s="18"/>
      <c r="E215" s="18"/>
      <c r="F215" s="106"/>
      <c r="G215" s="106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</row>
    <row r="216" spans="1:52" ht="15.75" customHeight="1">
      <c r="A216" s="18"/>
      <c r="B216" s="18"/>
      <c r="C216" s="18"/>
      <c r="D216" s="18"/>
      <c r="E216" s="18"/>
      <c r="F216" s="106"/>
      <c r="G216" s="106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</row>
    <row r="217" spans="1:52" ht="15.75" customHeight="1">
      <c r="A217" s="18"/>
      <c r="B217" s="18"/>
      <c r="C217" s="18"/>
      <c r="D217" s="18"/>
      <c r="E217" s="18"/>
      <c r="F217" s="106"/>
      <c r="G217" s="106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</row>
    <row r="218" spans="1:52" ht="15.75" customHeight="1">
      <c r="A218" s="18"/>
      <c r="B218" s="18"/>
      <c r="C218" s="18"/>
      <c r="D218" s="18"/>
      <c r="E218" s="18"/>
      <c r="F218" s="106"/>
      <c r="G218" s="106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</row>
    <row r="219" spans="1:52" ht="15.75" customHeight="1">
      <c r="A219" s="18"/>
      <c r="B219" s="18"/>
      <c r="C219" s="18"/>
      <c r="D219" s="18"/>
      <c r="E219" s="18"/>
      <c r="F219" s="106"/>
      <c r="G219" s="106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</row>
    <row r="220" spans="1:52" ht="15.75" customHeight="1">
      <c r="A220" s="18"/>
      <c r="B220" s="18"/>
      <c r="C220" s="18"/>
      <c r="D220" s="18"/>
      <c r="E220" s="18"/>
      <c r="F220" s="106"/>
      <c r="G220" s="106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</row>
    <row r="221" spans="1:52" ht="15.75" customHeight="1">
      <c r="A221" s="18"/>
      <c r="B221" s="18"/>
      <c r="C221" s="18"/>
      <c r="D221" s="18"/>
      <c r="E221" s="18"/>
      <c r="F221" s="106"/>
      <c r="G221" s="106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</row>
    <row r="222" spans="1:52" ht="15.75" customHeight="1">
      <c r="A222" s="18"/>
      <c r="B222" s="18"/>
      <c r="C222" s="18"/>
      <c r="D222" s="18"/>
      <c r="E222" s="18"/>
      <c r="F222" s="106"/>
      <c r="G222" s="106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</row>
    <row r="223" spans="1:52" ht="15.75" customHeight="1">
      <c r="A223" s="18"/>
      <c r="B223" s="18"/>
      <c r="C223" s="18"/>
      <c r="D223" s="18"/>
      <c r="E223" s="18"/>
      <c r="F223" s="106"/>
      <c r="G223" s="106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</row>
    <row r="224" spans="1:52" ht="15.75" customHeight="1">
      <c r="A224" s="18"/>
      <c r="B224" s="18"/>
      <c r="C224" s="18"/>
      <c r="D224" s="18"/>
      <c r="E224" s="18"/>
      <c r="F224" s="106"/>
      <c r="G224" s="106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</row>
    <row r="225" spans="1:52" ht="15.75" customHeight="1">
      <c r="A225" s="18"/>
      <c r="B225" s="18"/>
      <c r="C225" s="18"/>
      <c r="D225" s="18"/>
      <c r="E225" s="18"/>
      <c r="F225" s="106"/>
      <c r="G225" s="106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</row>
    <row r="226" spans="1:52" ht="15.75" customHeight="1">
      <c r="A226" s="18"/>
      <c r="B226" s="18"/>
      <c r="C226" s="18"/>
      <c r="D226" s="18"/>
      <c r="E226" s="18"/>
      <c r="F226" s="106"/>
      <c r="G226" s="106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</row>
    <row r="227" spans="1:52" ht="15.75" customHeight="1">
      <c r="A227" s="18"/>
      <c r="B227" s="18"/>
      <c r="C227" s="18"/>
      <c r="D227" s="18"/>
      <c r="E227" s="18"/>
      <c r="F227" s="106"/>
      <c r="G227" s="106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</row>
    <row r="228" spans="1:52" ht="15.75" customHeight="1">
      <c r="A228" s="18"/>
      <c r="B228" s="18"/>
      <c r="C228" s="18"/>
      <c r="D228" s="18"/>
      <c r="E228" s="18"/>
      <c r="F228" s="106"/>
      <c r="G228" s="106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</row>
    <row r="229" spans="1:52" ht="15.75" customHeight="1">
      <c r="A229" s="18"/>
      <c r="B229" s="18"/>
      <c r="C229" s="18"/>
      <c r="D229" s="18"/>
      <c r="E229" s="18"/>
      <c r="F229" s="106"/>
      <c r="G229" s="106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</row>
    <row r="230" spans="1:52" ht="15.75" customHeight="1">
      <c r="A230" s="18"/>
      <c r="B230" s="18"/>
      <c r="C230" s="18"/>
      <c r="D230" s="18"/>
      <c r="E230" s="18"/>
      <c r="F230" s="106"/>
      <c r="G230" s="106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</row>
    <row r="231" spans="1:52" ht="15.75" customHeight="1">
      <c r="A231" s="18"/>
      <c r="B231" s="18"/>
      <c r="C231" s="18"/>
      <c r="D231" s="18"/>
      <c r="E231" s="18"/>
      <c r="F231" s="106"/>
      <c r="G231" s="106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</row>
    <row r="232" spans="1:52" ht="15.75" customHeight="1">
      <c r="A232" s="18"/>
      <c r="B232" s="18"/>
      <c r="C232" s="18"/>
      <c r="D232" s="18"/>
      <c r="E232" s="18"/>
      <c r="F232" s="106"/>
      <c r="G232" s="106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</row>
    <row r="233" spans="1:52" ht="15.75" customHeight="1">
      <c r="A233" s="18"/>
      <c r="B233" s="18"/>
      <c r="C233" s="18"/>
      <c r="D233" s="18"/>
      <c r="E233" s="18"/>
      <c r="F233" s="106"/>
      <c r="G233" s="106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</row>
    <row r="234" spans="1:52" ht="15.75" customHeight="1">
      <c r="A234" s="18"/>
      <c r="B234" s="18"/>
      <c r="C234" s="18"/>
      <c r="D234" s="18"/>
      <c r="E234" s="18"/>
      <c r="F234" s="106"/>
      <c r="G234" s="106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</row>
    <row r="235" spans="1:52" ht="15.75" customHeight="1">
      <c r="A235" s="18"/>
      <c r="B235" s="18"/>
      <c r="C235" s="18"/>
      <c r="D235" s="18"/>
      <c r="E235" s="18"/>
      <c r="F235" s="106"/>
      <c r="G235" s="106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</row>
    <row r="236" spans="1:52" ht="15.75" customHeight="1">
      <c r="A236" s="18"/>
      <c r="B236" s="18"/>
      <c r="C236" s="18"/>
      <c r="D236" s="18"/>
      <c r="E236" s="18"/>
      <c r="F236" s="106"/>
      <c r="G236" s="106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</row>
    <row r="237" spans="1:52" ht="15.75" customHeight="1">
      <c r="A237" s="18"/>
      <c r="B237" s="18"/>
      <c r="C237" s="18"/>
      <c r="D237" s="18"/>
      <c r="E237" s="18"/>
      <c r="F237" s="106"/>
      <c r="G237" s="106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</row>
    <row r="238" spans="1:52" ht="15.75" customHeight="1">
      <c r="A238" s="18"/>
      <c r="B238" s="18"/>
      <c r="C238" s="18"/>
      <c r="D238" s="18"/>
      <c r="E238" s="18"/>
      <c r="F238" s="106"/>
      <c r="G238" s="106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</row>
    <row r="239" spans="1:52" ht="15.75" customHeight="1">
      <c r="A239" s="18"/>
      <c r="B239" s="18"/>
      <c r="C239" s="18"/>
      <c r="D239" s="18"/>
      <c r="E239" s="18"/>
      <c r="F239" s="106"/>
      <c r="G239" s="106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</row>
    <row r="240" spans="1:52" ht="15.75" customHeight="1">
      <c r="A240" s="18"/>
      <c r="B240" s="18"/>
      <c r="C240" s="18"/>
      <c r="D240" s="18"/>
      <c r="E240" s="18"/>
      <c r="F240" s="106"/>
      <c r="G240" s="106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</row>
    <row r="241" spans="1:52" ht="15.75" customHeight="1">
      <c r="A241" s="18"/>
      <c r="B241" s="18"/>
      <c r="C241" s="18"/>
      <c r="D241" s="18"/>
      <c r="E241" s="18"/>
      <c r="F241" s="106"/>
      <c r="G241" s="106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</row>
    <row r="242" spans="1:52" ht="15.75" customHeight="1">
      <c r="A242" s="18"/>
      <c r="B242" s="18"/>
      <c r="C242" s="18"/>
      <c r="D242" s="18"/>
      <c r="E242" s="18"/>
      <c r="F242" s="106"/>
      <c r="G242" s="106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</row>
    <row r="243" spans="1:52" ht="15.75" customHeight="1">
      <c r="A243" s="18"/>
      <c r="B243" s="18"/>
      <c r="C243" s="18"/>
      <c r="D243" s="18"/>
      <c r="E243" s="18"/>
      <c r="F243" s="106"/>
      <c r="G243" s="106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</row>
    <row r="244" spans="1:52" ht="15.75" customHeight="1">
      <c r="A244" s="18"/>
      <c r="B244" s="18"/>
      <c r="C244" s="18"/>
      <c r="D244" s="18"/>
      <c r="E244" s="18"/>
      <c r="F244" s="106"/>
      <c r="G244" s="106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</row>
    <row r="245" spans="1:52" ht="15.75" customHeight="1">
      <c r="A245" s="18"/>
      <c r="B245" s="18"/>
      <c r="C245" s="18"/>
      <c r="D245" s="18"/>
      <c r="E245" s="18"/>
      <c r="F245" s="106"/>
      <c r="G245" s="106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</row>
    <row r="246" spans="1:52" ht="15.75" customHeight="1">
      <c r="A246" s="18"/>
      <c r="B246" s="18"/>
      <c r="C246" s="18"/>
      <c r="D246" s="18"/>
      <c r="E246" s="18"/>
      <c r="F246" s="106"/>
      <c r="G246" s="106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</row>
    <row r="247" spans="1:52" ht="15.75" customHeight="1">
      <c r="A247" s="18"/>
      <c r="B247" s="18"/>
      <c r="C247" s="18"/>
      <c r="D247" s="18"/>
      <c r="E247" s="18"/>
      <c r="F247" s="106"/>
      <c r="G247" s="106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</row>
    <row r="248" spans="1:52" ht="15.75" customHeight="1">
      <c r="A248" s="18"/>
      <c r="B248" s="18"/>
      <c r="C248" s="18"/>
      <c r="D248" s="18"/>
      <c r="E248" s="18"/>
      <c r="F248" s="106"/>
      <c r="G248" s="106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</row>
    <row r="249" spans="1:52" ht="15.75" customHeight="1">
      <c r="A249" s="18"/>
      <c r="B249" s="18"/>
      <c r="C249" s="18"/>
      <c r="D249" s="18"/>
      <c r="E249" s="18"/>
      <c r="F249" s="106"/>
      <c r="G249" s="106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</row>
    <row r="250" spans="1:52" ht="15.75" customHeight="1">
      <c r="A250" s="18"/>
      <c r="B250" s="18"/>
      <c r="C250" s="18"/>
      <c r="D250" s="18"/>
      <c r="E250" s="18"/>
      <c r="F250" s="106"/>
      <c r="G250" s="106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</row>
    <row r="251" spans="1:52" ht="15.75" customHeight="1">
      <c r="A251" s="18"/>
      <c r="B251" s="18"/>
      <c r="C251" s="18"/>
      <c r="D251" s="18"/>
      <c r="E251" s="18"/>
      <c r="F251" s="106"/>
      <c r="G251" s="106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</row>
    <row r="252" spans="1:52" ht="15.75" customHeight="1">
      <c r="A252" s="18"/>
      <c r="B252" s="18"/>
      <c r="C252" s="18"/>
      <c r="D252" s="18"/>
      <c r="E252" s="18"/>
      <c r="F252" s="106"/>
      <c r="G252" s="106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</row>
    <row r="253" spans="1:52" ht="15.75" customHeight="1">
      <c r="A253" s="18"/>
      <c r="B253" s="18"/>
      <c r="C253" s="18"/>
      <c r="D253" s="18"/>
      <c r="E253" s="18"/>
      <c r="F253" s="106"/>
      <c r="G253" s="106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</row>
    <row r="254" spans="1:52" ht="15.75" customHeight="1">
      <c r="A254" s="18"/>
      <c r="B254" s="18"/>
      <c r="C254" s="18"/>
      <c r="D254" s="18"/>
      <c r="E254" s="18"/>
      <c r="F254" s="106"/>
      <c r="G254" s="106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</row>
    <row r="255" spans="1:52" ht="15.75" customHeight="1">
      <c r="A255" s="18"/>
      <c r="B255" s="18"/>
      <c r="C255" s="18"/>
      <c r="D255" s="18"/>
      <c r="E255" s="18"/>
      <c r="F255" s="106"/>
      <c r="G255" s="106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</row>
    <row r="256" spans="1:52" ht="15.75" customHeight="1">
      <c r="A256" s="18"/>
      <c r="B256" s="18"/>
      <c r="C256" s="18"/>
      <c r="D256" s="18"/>
      <c r="E256" s="18"/>
      <c r="F256" s="106"/>
      <c r="G256" s="106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</row>
    <row r="257" spans="1:52" ht="15.75" customHeight="1">
      <c r="A257" s="18"/>
      <c r="B257" s="18"/>
      <c r="C257" s="18"/>
      <c r="D257" s="18"/>
      <c r="E257" s="18"/>
      <c r="F257" s="106"/>
      <c r="G257" s="106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</row>
    <row r="258" spans="1:52" ht="15.75" customHeight="1">
      <c r="A258" s="18"/>
      <c r="B258" s="18"/>
      <c r="C258" s="18"/>
      <c r="D258" s="18"/>
      <c r="E258" s="18"/>
      <c r="F258" s="106"/>
      <c r="G258" s="106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</row>
    <row r="259" spans="1:52" ht="15.75" customHeight="1">
      <c r="A259" s="18"/>
      <c r="B259" s="18"/>
      <c r="C259" s="18"/>
      <c r="D259" s="18"/>
      <c r="E259" s="18"/>
      <c r="F259" s="106"/>
      <c r="G259" s="106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</row>
    <row r="260" spans="1:52" ht="15.75" customHeight="1">
      <c r="A260" s="18"/>
      <c r="B260" s="18"/>
      <c r="C260" s="18"/>
      <c r="D260" s="18"/>
      <c r="E260" s="18"/>
      <c r="F260" s="106"/>
      <c r="G260" s="106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</row>
    <row r="261" spans="1:52" ht="15.75" customHeight="1">
      <c r="A261" s="18"/>
      <c r="B261" s="18"/>
      <c r="C261" s="18"/>
      <c r="D261" s="18"/>
      <c r="E261" s="18"/>
      <c r="F261" s="106"/>
      <c r="G261" s="106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</row>
    <row r="262" spans="1:52" ht="15.75" customHeight="1">
      <c r="A262" s="18"/>
      <c r="B262" s="18"/>
      <c r="C262" s="18"/>
      <c r="D262" s="18"/>
      <c r="E262" s="18"/>
      <c r="F262" s="106"/>
      <c r="G262" s="106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</row>
    <row r="263" spans="1:52" ht="15.75" customHeight="1">
      <c r="A263" s="18"/>
      <c r="B263" s="18"/>
      <c r="C263" s="18"/>
      <c r="D263" s="18"/>
      <c r="E263" s="18"/>
      <c r="F263" s="106"/>
      <c r="G263" s="106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</row>
    <row r="264" spans="1:52" ht="15.75" customHeight="1">
      <c r="A264" s="18"/>
      <c r="B264" s="18"/>
      <c r="C264" s="18"/>
      <c r="D264" s="18"/>
      <c r="E264" s="18"/>
      <c r="F264" s="106"/>
      <c r="G264" s="106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</row>
    <row r="265" spans="1:52" ht="15.75" customHeight="1">
      <c r="A265" s="18"/>
      <c r="B265" s="18"/>
      <c r="C265" s="18"/>
      <c r="D265" s="18"/>
      <c r="E265" s="18"/>
      <c r="F265" s="106"/>
      <c r="G265" s="106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</row>
    <row r="266" spans="1:52" ht="15.75" customHeight="1">
      <c r="A266" s="18"/>
      <c r="B266" s="18"/>
      <c r="C266" s="18"/>
      <c r="D266" s="18"/>
      <c r="E266" s="18"/>
      <c r="F266" s="106"/>
      <c r="G266" s="106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</row>
    <row r="267" spans="1:52" ht="15.75" customHeight="1">
      <c r="A267" s="18"/>
      <c r="B267" s="18"/>
      <c r="C267" s="18"/>
      <c r="D267" s="18"/>
      <c r="E267" s="18"/>
      <c r="F267" s="106"/>
      <c r="G267" s="106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</row>
    <row r="268" spans="1:52" ht="15.75" customHeight="1">
      <c r="A268" s="18"/>
      <c r="B268" s="18"/>
      <c r="C268" s="18"/>
      <c r="D268" s="18"/>
      <c r="E268" s="18"/>
      <c r="F268" s="106"/>
      <c r="G268" s="106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</row>
    <row r="269" spans="1:52" ht="15.75" customHeight="1">
      <c r="A269" s="18"/>
      <c r="B269" s="18"/>
      <c r="C269" s="18"/>
      <c r="D269" s="18"/>
      <c r="E269" s="18"/>
      <c r="F269" s="106"/>
      <c r="G269" s="106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</row>
    <row r="270" spans="1:52" ht="15.75" customHeight="1">
      <c r="A270" s="18"/>
      <c r="B270" s="18"/>
      <c r="C270" s="18"/>
      <c r="D270" s="18"/>
      <c r="E270" s="18"/>
      <c r="F270" s="106"/>
      <c r="G270" s="106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</row>
    <row r="271" spans="1:52" ht="15.75" customHeight="1">
      <c r="A271" s="18"/>
      <c r="B271" s="18"/>
      <c r="C271" s="18"/>
      <c r="D271" s="18"/>
      <c r="E271" s="18"/>
      <c r="F271" s="106"/>
      <c r="G271" s="106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</row>
    <row r="272" spans="1:52" ht="15.75" customHeight="1">
      <c r="A272" s="18"/>
      <c r="B272" s="18"/>
      <c r="C272" s="18"/>
      <c r="D272" s="18"/>
      <c r="E272" s="18"/>
      <c r="F272" s="106"/>
      <c r="G272" s="106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</row>
    <row r="273" spans="1:52" ht="15.75" customHeight="1">
      <c r="A273" s="18"/>
      <c r="B273" s="18"/>
      <c r="C273" s="18"/>
      <c r="D273" s="18"/>
      <c r="E273" s="18"/>
      <c r="F273" s="106"/>
      <c r="G273" s="106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</row>
    <row r="274" spans="1:52" ht="15.75" customHeight="1">
      <c r="A274" s="18"/>
      <c r="B274" s="18"/>
      <c r="C274" s="18"/>
      <c r="D274" s="18"/>
      <c r="E274" s="18"/>
      <c r="F274" s="106"/>
      <c r="G274" s="106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</row>
    <row r="275" spans="1:52" ht="15.75" customHeight="1">
      <c r="A275" s="18"/>
      <c r="B275" s="18"/>
      <c r="C275" s="18"/>
      <c r="D275" s="18"/>
      <c r="E275" s="18"/>
      <c r="F275" s="106"/>
      <c r="G275" s="106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</row>
    <row r="276" spans="1:52" ht="15.75" customHeight="1">
      <c r="A276" s="18"/>
      <c r="B276" s="18"/>
      <c r="C276" s="18"/>
      <c r="D276" s="18"/>
      <c r="E276" s="18"/>
      <c r="F276" s="106"/>
      <c r="G276" s="106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</row>
    <row r="277" spans="1:52" ht="15.75" customHeight="1">
      <c r="A277" s="18"/>
      <c r="B277" s="18"/>
      <c r="C277" s="18"/>
      <c r="D277" s="18"/>
      <c r="E277" s="18"/>
      <c r="F277" s="106"/>
      <c r="G277" s="106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</row>
    <row r="278" spans="1:52" ht="15.75" customHeight="1">
      <c r="A278" s="18"/>
      <c r="B278" s="18"/>
      <c r="C278" s="18"/>
      <c r="D278" s="18"/>
      <c r="E278" s="18"/>
      <c r="F278" s="106"/>
      <c r="G278" s="106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</row>
    <row r="279" spans="1:52" ht="15.75" customHeight="1">
      <c r="A279" s="18"/>
      <c r="B279" s="18"/>
      <c r="C279" s="18"/>
      <c r="D279" s="18"/>
      <c r="E279" s="18"/>
      <c r="F279" s="106"/>
      <c r="G279" s="106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</row>
    <row r="280" spans="1:52" ht="15.75" customHeight="1">
      <c r="A280" s="18"/>
      <c r="B280" s="18"/>
      <c r="C280" s="18"/>
      <c r="D280" s="18"/>
      <c r="E280" s="18"/>
      <c r="F280" s="106"/>
      <c r="G280" s="106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</row>
    <row r="281" spans="1:52" ht="15.75" customHeight="1">
      <c r="A281" s="18"/>
      <c r="B281" s="18"/>
      <c r="C281" s="18"/>
      <c r="D281" s="18"/>
      <c r="E281" s="18"/>
      <c r="F281" s="106"/>
      <c r="G281" s="106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</row>
    <row r="282" spans="1:52" ht="15.75" customHeight="1">
      <c r="A282" s="18"/>
      <c r="B282" s="18"/>
      <c r="C282" s="18"/>
      <c r="D282" s="18"/>
      <c r="E282" s="18"/>
      <c r="F282" s="106"/>
      <c r="G282" s="106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</row>
    <row r="283" spans="1:52" ht="15.75" customHeight="1">
      <c r="A283" s="18"/>
      <c r="B283" s="18"/>
      <c r="C283" s="18"/>
      <c r="D283" s="18"/>
      <c r="E283" s="18"/>
      <c r="F283" s="106"/>
      <c r="G283" s="106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</row>
    <row r="284" spans="1:52" ht="15.75" customHeight="1">
      <c r="A284" s="18"/>
      <c r="B284" s="18"/>
      <c r="C284" s="18"/>
      <c r="D284" s="18"/>
      <c r="E284" s="18"/>
      <c r="F284" s="106"/>
      <c r="G284" s="106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</row>
    <row r="285" spans="1:52" ht="15.75" customHeight="1">
      <c r="A285" s="18"/>
      <c r="B285" s="18"/>
      <c r="C285" s="18"/>
      <c r="D285" s="18"/>
      <c r="E285" s="18"/>
      <c r="F285" s="106"/>
      <c r="G285" s="106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</row>
    <row r="286" spans="1:52" ht="15.75" customHeight="1">
      <c r="A286" s="18"/>
      <c r="B286" s="18"/>
      <c r="C286" s="18"/>
      <c r="D286" s="18"/>
      <c r="E286" s="18"/>
      <c r="F286" s="106"/>
      <c r="G286" s="106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</row>
    <row r="287" spans="1:52" ht="15.75" customHeight="1">
      <c r="A287" s="18"/>
      <c r="B287" s="18"/>
      <c r="C287" s="18"/>
      <c r="D287" s="18"/>
      <c r="E287" s="18"/>
      <c r="F287" s="106"/>
      <c r="G287" s="106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</row>
    <row r="288" spans="1:52" ht="15.75" customHeight="1">
      <c r="A288" s="18"/>
      <c r="B288" s="18"/>
      <c r="C288" s="18"/>
      <c r="D288" s="18"/>
      <c r="E288" s="18"/>
      <c r="F288" s="106"/>
      <c r="G288" s="106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</row>
    <row r="289" spans="1:52" ht="15.75" customHeight="1">
      <c r="A289" s="18"/>
      <c r="B289" s="18"/>
      <c r="C289" s="18"/>
      <c r="D289" s="18"/>
      <c r="E289" s="18"/>
      <c r="F289" s="106"/>
      <c r="G289" s="106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</row>
    <row r="290" spans="1:52" ht="15.75" customHeight="1">
      <c r="A290" s="18"/>
      <c r="B290" s="18"/>
      <c r="C290" s="18"/>
      <c r="D290" s="18"/>
      <c r="E290" s="18"/>
      <c r="F290" s="106"/>
      <c r="G290" s="106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</row>
    <row r="291" spans="1:52" ht="15.75" customHeight="1">
      <c r="A291" s="18"/>
      <c r="B291" s="18"/>
      <c r="C291" s="18"/>
      <c r="D291" s="18"/>
      <c r="E291" s="18"/>
      <c r="F291" s="106"/>
      <c r="G291" s="106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</row>
    <row r="292" spans="1:52" ht="15.75" customHeight="1">
      <c r="A292" s="18"/>
      <c r="B292" s="18"/>
      <c r="C292" s="18"/>
      <c r="D292" s="18"/>
      <c r="E292" s="18"/>
      <c r="F292" s="106"/>
      <c r="G292" s="106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</row>
    <row r="293" spans="1:52" ht="15.75" customHeight="1">
      <c r="A293" s="18"/>
      <c r="B293" s="18"/>
      <c r="C293" s="18"/>
      <c r="D293" s="18"/>
      <c r="E293" s="18"/>
      <c r="F293" s="106"/>
      <c r="G293" s="106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</row>
    <row r="294" spans="1:52" ht="15.75" customHeight="1">
      <c r="A294" s="18"/>
      <c r="B294" s="18"/>
      <c r="C294" s="18"/>
      <c r="D294" s="18"/>
      <c r="E294" s="18"/>
      <c r="F294" s="106"/>
      <c r="G294" s="106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</row>
    <row r="295" spans="1:52" ht="15.75" customHeight="1">
      <c r="A295" s="18"/>
      <c r="B295" s="18"/>
      <c r="C295" s="18"/>
      <c r="D295" s="18"/>
      <c r="E295" s="18"/>
      <c r="F295" s="106"/>
      <c r="G295" s="106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</row>
    <row r="296" spans="1:52" ht="15.75" customHeight="1">
      <c r="A296" s="18"/>
      <c r="B296" s="18"/>
      <c r="C296" s="18"/>
      <c r="D296" s="18"/>
      <c r="E296" s="18"/>
      <c r="F296" s="106"/>
      <c r="G296" s="106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</row>
    <row r="297" spans="1:52" ht="15.75" customHeight="1">
      <c r="A297" s="18"/>
      <c r="B297" s="18"/>
      <c r="C297" s="18"/>
      <c r="D297" s="18"/>
      <c r="E297" s="18"/>
      <c r="F297" s="106"/>
      <c r="G297" s="106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</row>
    <row r="298" spans="1:52" ht="15.75" customHeight="1">
      <c r="A298" s="18"/>
      <c r="B298" s="18"/>
      <c r="C298" s="18"/>
      <c r="D298" s="18"/>
      <c r="E298" s="18"/>
      <c r="F298" s="106"/>
      <c r="G298" s="106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</row>
    <row r="299" spans="1:52" ht="15.75" customHeight="1">
      <c r="A299" s="18"/>
      <c r="B299" s="18"/>
      <c r="C299" s="18"/>
      <c r="D299" s="18"/>
      <c r="E299" s="18"/>
      <c r="F299" s="106"/>
      <c r="G299" s="106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</row>
    <row r="300" spans="1:52" ht="15.75" customHeight="1">
      <c r="A300" s="18"/>
      <c r="B300" s="18"/>
      <c r="C300" s="18"/>
      <c r="D300" s="18"/>
      <c r="E300" s="18"/>
      <c r="F300" s="106"/>
      <c r="G300" s="106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</row>
    <row r="301" spans="1:52" ht="15.75" customHeight="1">
      <c r="A301" s="18"/>
      <c r="B301" s="18"/>
      <c r="C301" s="18"/>
      <c r="D301" s="18"/>
      <c r="E301" s="18"/>
      <c r="F301" s="106"/>
      <c r="G301" s="106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</row>
    <row r="302" spans="1:52" ht="15.75" customHeight="1">
      <c r="A302" s="18"/>
      <c r="B302" s="18"/>
      <c r="C302" s="18"/>
      <c r="D302" s="18"/>
      <c r="E302" s="18"/>
      <c r="F302" s="106"/>
      <c r="G302" s="106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</row>
    <row r="303" spans="1:52" ht="15.75" customHeight="1">
      <c r="A303" s="18"/>
      <c r="B303" s="18"/>
      <c r="C303" s="18"/>
      <c r="D303" s="18"/>
      <c r="E303" s="18"/>
      <c r="F303" s="106"/>
      <c r="G303" s="106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</row>
    <row r="304" spans="1:52" ht="15.75" customHeight="1">
      <c r="A304" s="18"/>
      <c r="B304" s="18"/>
      <c r="C304" s="18"/>
      <c r="D304" s="18"/>
      <c r="E304" s="18"/>
      <c r="F304" s="106"/>
      <c r="G304" s="106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</row>
    <row r="305" spans="1:52" ht="15.75" customHeight="1">
      <c r="A305" s="18"/>
      <c r="B305" s="18"/>
      <c r="C305" s="18"/>
      <c r="D305" s="18"/>
      <c r="E305" s="18"/>
      <c r="F305" s="106"/>
      <c r="G305" s="106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</row>
    <row r="306" spans="1:52" ht="15.75" customHeight="1">
      <c r="A306" s="18"/>
      <c r="B306" s="18"/>
      <c r="C306" s="18"/>
      <c r="D306" s="18"/>
      <c r="E306" s="18"/>
      <c r="F306" s="106"/>
      <c r="G306" s="106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</row>
    <row r="307" spans="1:52" ht="15.75" customHeight="1">
      <c r="A307" s="18"/>
      <c r="B307" s="18"/>
      <c r="C307" s="18"/>
      <c r="D307" s="18"/>
      <c r="E307" s="18"/>
      <c r="F307" s="106"/>
      <c r="G307" s="106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</row>
    <row r="308" spans="1:52" ht="15.75" customHeight="1">
      <c r="A308" s="18"/>
      <c r="B308" s="18"/>
      <c r="C308" s="18"/>
      <c r="D308" s="18"/>
      <c r="E308" s="18"/>
      <c r="F308" s="106"/>
      <c r="G308" s="106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</row>
    <row r="309" spans="1:52" ht="15.75" customHeight="1">
      <c r="A309" s="18"/>
      <c r="B309" s="18"/>
      <c r="C309" s="18"/>
      <c r="D309" s="18"/>
      <c r="E309" s="18"/>
      <c r="F309" s="106"/>
      <c r="G309" s="106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</row>
    <row r="310" spans="1:52" ht="15.75" customHeight="1">
      <c r="A310" s="18"/>
      <c r="B310" s="18"/>
      <c r="C310" s="18"/>
      <c r="D310" s="18"/>
      <c r="E310" s="18"/>
      <c r="F310" s="106"/>
      <c r="G310" s="106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</row>
    <row r="311" spans="1:52" ht="15.75" customHeight="1">
      <c r="A311" s="18"/>
      <c r="B311" s="18"/>
      <c r="C311" s="18"/>
      <c r="D311" s="18"/>
      <c r="E311" s="18"/>
      <c r="F311" s="106"/>
      <c r="G311" s="106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</row>
    <row r="312" spans="1:52" ht="15.75" customHeight="1">
      <c r="A312" s="18"/>
      <c r="B312" s="18"/>
      <c r="C312" s="18"/>
      <c r="D312" s="18"/>
      <c r="E312" s="18"/>
      <c r="F312" s="106"/>
      <c r="G312" s="106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</row>
    <row r="313" spans="1:52" ht="15.75" customHeight="1">
      <c r="A313" s="18"/>
      <c r="B313" s="18"/>
      <c r="C313" s="18"/>
      <c r="D313" s="18"/>
      <c r="E313" s="18"/>
      <c r="F313" s="106"/>
      <c r="G313" s="106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</row>
    <row r="314" spans="1:52" ht="15.75" customHeight="1">
      <c r="A314" s="18"/>
      <c r="B314" s="18"/>
      <c r="C314" s="18"/>
      <c r="D314" s="18"/>
      <c r="E314" s="18"/>
      <c r="F314" s="106"/>
      <c r="G314" s="106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</row>
    <row r="315" spans="1:52" ht="15.75" customHeight="1">
      <c r="A315" s="18"/>
      <c r="B315" s="18"/>
      <c r="C315" s="18"/>
      <c r="D315" s="18"/>
      <c r="E315" s="18"/>
      <c r="F315" s="106"/>
      <c r="G315" s="106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</row>
    <row r="316" spans="1:52" ht="15.75" customHeight="1">
      <c r="A316" s="18"/>
      <c r="B316" s="18"/>
      <c r="C316" s="18"/>
      <c r="D316" s="18"/>
      <c r="E316" s="18"/>
      <c r="F316" s="106"/>
      <c r="G316" s="106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</row>
    <row r="317" spans="1:52" ht="15.75" customHeight="1">
      <c r="A317" s="18"/>
      <c r="B317" s="18"/>
      <c r="C317" s="18"/>
      <c r="D317" s="18"/>
      <c r="E317" s="18"/>
      <c r="F317" s="106"/>
      <c r="G317" s="106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</row>
    <row r="318" spans="1:52" ht="15.75" customHeight="1">
      <c r="A318" s="18"/>
      <c r="B318" s="18"/>
      <c r="C318" s="18"/>
      <c r="D318" s="18"/>
      <c r="E318" s="18"/>
      <c r="F318" s="106"/>
      <c r="G318" s="106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</row>
    <row r="319" spans="1:52" ht="15.75" customHeight="1">
      <c r="A319" s="18"/>
      <c r="B319" s="18"/>
      <c r="C319" s="18"/>
      <c r="D319" s="18"/>
      <c r="E319" s="18"/>
      <c r="F319" s="106"/>
      <c r="G319" s="106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</row>
    <row r="320" spans="1:52" ht="15.75" customHeight="1">
      <c r="A320" s="18"/>
      <c r="B320" s="18"/>
      <c r="C320" s="18"/>
      <c r="D320" s="18"/>
      <c r="E320" s="18"/>
      <c r="F320" s="106"/>
      <c r="G320" s="106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</row>
    <row r="321" spans="1:52" ht="15.75" customHeight="1">
      <c r="A321" s="18"/>
      <c r="B321" s="18"/>
      <c r="C321" s="18"/>
      <c r="D321" s="18"/>
      <c r="E321" s="18"/>
      <c r="F321" s="106"/>
      <c r="G321" s="106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</row>
    <row r="322" spans="1:52" ht="15.75" customHeight="1">
      <c r="A322" s="18"/>
      <c r="B322" s="18"/>
      <c r="C322" s="18"/>
      <c r="D322" s="18"/>
      <c r="E322" s="18"/>
      <c r="F322" s="106"/>
      <c r="G322" s="106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</row>
    <row r="323" spans="1:52" ht="15.75" customHeight="1">
      <c r="A323" s="18"/>
      <c r="B323" s="18"/>
      <c r="C323" s="18"/>
      <c r="D323" s="18"/>
      <c r="E323" s="18"/>
      <c r="F323" s="106"/>
      <c r="G323" s="106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</row>
    <row r="324" spans="1:52" ht="15.75" customHeight="1">
      <c r="A324" s="18"/>
      <c r="B324" s="18"/>
      <c r="C324" s="18"/>
      <c r="D324" s="18"/>
      <c r="E324" s="18"/>
      <c r="F324" s="106"/>
      <c r="G324" s="106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</row>
    <row r="325" spans="1:52" ht="15.75" customHeight="1">
      <c r="A325" s="18"/>
      <c r="B325" s="18"/>
      <c r="C325" s="18"/>
      <c r="D325" s="18"/>
      <c r="E325" s="18"/>
      <c r="F325" s="106"/>
      <c r="G325" s="106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</row>
    <row r="326" spans="1:52" ht="15.75" customHeight="1">
      <c r="A326" s="18"/>
      <c r="B326" s="18"/>
      <c r="C326" s="18"/>
      <c r="D326" s="18"/>
      <c r="E326" s="18"/>
      <c r="F326" s="106"/>
      <c r="G326" s="106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</row>
    <row r="327" spans="1:52" ht="15.75" customHeight="1">
      <c r="A327" s="18"/>
      <c r="B327" s="18"/>
      <c r="C327" s="18"/>
      <c r="D327" s="18"/>
      <c r="E327" s="18"/>
      <c r="F327" s="106"/>
      <c r="G327" s="106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</row>
    <row r="328" spans="1:52" ht="15.75" customHeight="1">
      <c r="A328" s="18"/>
      <c r="B328" s="18"/>
      <c r="C328" s="18"/>
      <c r="D328" s="18"/>
      <c r="E328" s="18"/>
      <c r="F328" s="106"/>
      <c r="G328" s="106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</row>
    <row r="329" spans="1:52" ht="15.75" customHeight="1">
      <c r="A329" s="18"/>
      <c r="B329" s="18"/>
      <c r="C329" s="18"/>
      <c r="D329" s="18"/>
      <c r="E329" s="18"/>
      <c r="F329" s="106"/>
      <c r="G329" s="106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</row>
    <row r="330" spans="1:52" ht="15.75" customHeight="1">
      <c r="A330" s="18"/>
      <c r="B330" s="18"/>
      <c r="C330" s="18"/>
      <c r="D330" s="18"/>
      <c r="E330" s="18"/>
      <c r="F330" s="106"/>
      <c r="G330" s="106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</row>
    <row r="331" spans="1:52" ht="15.75" customHeight="1">
      <c r="A331" s="18"/>
      <c r="B331" s="18"/>
      <c r="C331" s="18"/>
      <c r="D331" s="18"/>
      <c r="E331" s="18"/>
      <c r="F331" s="106"/>
      <c r="G331" s="106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</row>
    <row r="332" spans="1:52" ht="15.75" customHeight="1">
      <c r="A332" s="18"/>
      <c r="B332" s="18"/>
      <c r="C332" s="18"/>
      <c r="D332" s="18"/>
      <c r="E332" s="18"/>
      <c r="F332" s="106"/>
      <c r="G332" s="106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</row>
    <row r="333" spans="1:52" ht="15.75" customHeight="1">
      <c r="A333" s="18"/>
      <c r="B333" s="18"/>
      <c r="C333" s="18"/>
      <c r="D333" s="18"/>
      <c r="E333" s="18"/>
      <c r="F333" s="106"/>
      <c r="G333" s="106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</row>
    <row r="334" spans="1:52" ht="15.75" customHeight="1">
      <c r="A334" s="18"/>
      <c r="B334" s="18"/>
      <c r="C334" s="18"/>
      <c r="D334" s="18"/>
      <c r="E334" s="18"/>
      <c r="F334" s="106"/>
      <c r="G334" s="106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</row>
    <row r="335" spans="1:52" ht="15.75" customHeight="1">
      <c r="A335" s="18"/>
      <c r="B335" s="18"/>
      <c r="C335" s="18"/>
      <c r="D335" s="18"/>
      <c r="E335" s="18"/>
      <c r="F335" s="106"/>
      <c r="G335" s="106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</row>
    <row r="336" spans="1:52" ht="15.75" customHeight="1">
      <c r="A336" s="18"/>
      <c r="B336" s="18"/>
      <c r="C336" s="18"/>
      <c r="D336" s="18"/>
      <c r="E336" s="18"/>
      <c r="F336" s="106"/>
      <c r="G336" s="106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</row>
    <row r="337" spans="1:52" ht="15.75" customHeight="1">
      <c r="A337" s="18"/>
      <c r="B337" s="18"/>
      <c r="C337" s="18"/>
      <c r="D337" s="18"/>
      <c r="E337" s="18"/>
      <c r="F337" s="106"/>
      <c r="G337" s="106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</row>
    <row r="338" spans="1:52" ht="15.75" customHeight="1">
      <c r="A338" s="18"/>
      <c r="B338" s="18"/>
      <c r="C338" s="18"/>
      <c r="D338" s="18"/>
      <c r="E338" s="18"/>
      <c r="F338" s="106"/>
      <c r="G338" s="106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</row>
    <row r="339" spans="1:52" ht="15.75" customHeight="1">
      <c r="A339" s="18"/>
      <c r="B339" s="18"/>
      <c r="C339" s="18"/>
      <c r="D339" s="18"/>
      <c r="E339" s="18"/>
      <c r="F339" s="106"/>
      <c r="G339" s="106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</row>
    <row r="340" spans="1:52" ht="15.75" customHeight="1">
      <c r="A340" s="18"/>
      <c r="B340" s="18"/>
      <c r="C340" s="18"/>
      <c r="D340" s="18"/>
      <c r="E340" s="18"/>
      <c r="F340" s="106"/>
      <c r="G340" s="106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</row>
    <row r="341" spans="1:52" ht="15.75" customHeight="1">
      <c r="A341" s="18"/>
      <c r="B341" s="18"/>
      <c r="C341" s="18"/>
      <c r="D341" s="18"/>
      <c r="E341" s="18"/>
      <c r="F341" s="106"/>
      <c r="G341" s="106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</row>
    <row r="342" spans="1:52" ht="15.75" customHeight="1">
      <c r="A342" s="18"/>
      <c r="B342" s="18"/>
      <c r="C342" s="18"/>
      <c r="D342" s="18"/>
      <c r="E342" s="18"/>
      <c r="F342" s="106"/>
      <c r="G342" s="106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</row>
    <row r="343" spans="1:52" ht="15.75" customHeight="1">
      <c r="A343" s="18"/>
      <c r="B343" s="18"/>
      <c r="C343" s="18"/>
      <c r="D343" s="18"/>
      <c r="E343" s="18"/>
      <c r="F343" s="106"/>
      <c r="G343" s="106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</row>
    <row r="344" spans="1:52" ht="15.75" customHeight="1">
      <c r="A344" s="18"/>
      <c r="B344" s="18"/>
      <c r="C344" s="18"/>
      <c r="D344" s="18"/>
      <c r="E344" s="18"/>
      <c r="F344" s="106"/>
      <c r="G344" s="106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</row>
    <row r="345" spans="1:52" ht="15.75" customHeight="1">
      <c r="A345" s="18"/>
      <c r="B345" s="18"/>
      <c r="C345" s="18"/>
      <c r="D345" s="18"/>
      <c r="E345" s="18"/>
      <c r="F345" s="106"/>
      <c r="G345" s="106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</row>
    <row r="346" spans="1:52" ht="15.75" customHeight="1">
      <c r="A346" s="18"/>
      <c r="B346" s="18"/>
      <c r="C346" s="18"/>
      <c r="D346" s="18"/>
      <c r="E346" s="18"/>
      <c r="F346" s="106"/>
      <c r="G346" s="106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</row>
    <row r="347" spans="1:52" ht="15.75" customHeight="1">
      <c r="A347" s="18"/>
      <c r="B347" s="18"/>
      <c r="C347" s="18"/>
      <c r="D347" s="18"/>
      <c r="E347" s="18"/>
      <c r="F347" s="106"/>
      <c r="G347" s="106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</row>
    <row r="348" spans="1:52" ht="15.75" customHeight="1">
      <c r="A348" s="18"/>
      <c r="B348" s="18"/>
      <c r="C348" s="18"/>
      <c r="D348" s="18"/>
      <c r="E348" s="18"/>
      <c r="F348" s="106"/>
      <c r="G348" s="106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</row>
    <row r="349" spans="1:52" ht="15.75" customHeight="1">
      <c r="A349" s="18"/>
      <c r="B349" s="18"/>
      <c r="C349" s="18"/>
      <c r="D349" s="18"/>
      <c r="E349" s="18"/>
      <c r="F349" s="106"/>
      <c r="G349" s="106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</row>
    <row r="350" spans="1:52" ht="15.75" customHeight="1">
      <c r="A350" s="18"/>
      <c r="B350" s="18"/>
      <c r="C350" s="18"/>
      <c r="D350" s="18"/>
      <c r="E350" s="18"/>
      <c r="F350" s="106"/>
      <c r="G350" s="106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</row>
    <row r="351" spans="1:52" ht="15.75" customHeight="1">
      <c r="A351" s="18"/>
      <c r="B351" s="18"/>
      <c r="C351" s="18"/>
      <c r="D351" s="18"/>
      <c r="E351" s="18"/>
      <c r="F351" s="106"/>
      <c r="G351" s="106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</row>
    <row r="352" spans="1:52" ht="15.75" customHeight="1">
      <c r="A352" s="18"/>
      <c r="B352" s="18"/>
      <c r="C352" s="18"/>
      <c r="D352" s="18"/>
      <c r="E352" s="18"/>
      <c r="F352" s="106"/>
      <c r="G352" s="106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</row>
    <row r="353" spans="1:52" ht="15.75" customHeight="1">
      <c r="A353" s="18"/>
      <c r="B353" s="18"/>
      <c r="C353" s="18"/>
      <c r="D353" s="18"/>
      <c r="E353" s="18"/>
      <c r="F353" s="106"/>
      <c r="G353" s="106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</row>
    <row r="354" spans="1:52" ht="15.75" customHeight="1">
      <c r="A354" s="18"/>
      <c r="B354" s="18"/>
      <c r="C354" s="18"/>
      <c r="D354" s="18"/>
      <c r="E354" s="18"/>
      <c r="F354" s="106"/>
      <c r="G354" s="106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</row>
    <row r="355" spans="1:52" ht="15.75" customHeight="1">
      <c r="A355" s="18"/>
      <c r="B355" s="18"/>
      <c r="C355" s="18"/>
      <c r="D355" s="18"/>
      <c r="E355" s="18"/>
      <c r="F355" s="106"/>
      <c r="G355" s="106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</row>
    <row r="356" spans="1:52" ht="15.75" customHeight="1">
      <c r="A356" s="18"/>
      <c r="B356" s="18"/>
      <c r="C356" s="18"/>
      <c r="D356" s="18"/>
      <c r="E356" s="18"/>
      <c r="F356" s="106"/>
      <c r="G356" s="106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</row>
    <row r="357" spans="1:52" ht="15.75" customHeight="1">
      <c r="A357" s="18"/>
      <c r="B357" s="18"/>
      <c r="C357" s="18"/>
      <c r="D357" s="18"/>
      <c r="E357" s="18"/>
      <c r="F357" s="106"/>
      <c r="G357" s="106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</row>
    <row r="358" spans="1:52" ht="15.75" customHeight="1">
      <c r="A358" s="18"/>
      <c r="B358" s="18"/>
      <c r="C358" s="18"/>
      <c r="D358" s="18"/>
      <c r="E358" s="18"/>
      <c r="F358" s="106"/>
      <c r="G358" s="106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</row>
    <row r="359" spans="1:52" ht="15.75" customHeight="1">
      <c r="A359" s="18"/>
      <c r="B359" s="18"/>
      <c r="C359" s="18"/>
      <c r="D359" s="18"/>
      <c r="E359" s="18"/>
      <c r="F359" s="106"/>
      <c r="G359" s="106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</row>
    <row r="360" spans="1:52" ht="15.75" customHeight="1">
      <c r="A360" s="18"/>
      <c r="B360" s="18"/>
      <c r="C360" s="18"/>
      <c r="D360" s="18"/>
      <c r="E360" s="18"/>
      <c r="F360" s="106"/>
      <c r="G360" s="106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</row>
    <row r="361" spans="1:52" ht="15.75" customHeight="1">
      <c r="A361" s="18"/>
      <c r="B361" s="18"/>
      <c r="C361" s="18"/>
      <c r="D361" s="18"/>
      <c r="E361" s="18"/>
      <c r="F361" s="106"/>
      <c r="G361" s="106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</row>
    <row r="362" spans="1:52" ht="15.75" customHeight="1">
      <c r="A362" s="18"/>
      <c r="B362" s="18"/>
      <c r="C362" s="18"/>
      <c r="D362" s="18"/>
      <c r="E362" s="18"/>
      <c r="F362" s="106"/>
      <c r="G362" s="106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</row>
    <row r="363" spans="1:52" ht="15.75" customHeight="1">
      <c r="A363" s="18"/>
      <c r="B363" s="18"/>
      <c r="C363" s="18"/>
      <c r="D363" s="18"/>
      <c r="E363" s="18"/>
      <c r="F363" s="106"/>
      <c r="G363" s="106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</row>
    <row r="364" spans="1:52" ht="15.75" customHeight="1">
      <c r="A364" s="18"/>
      <c r="B364" s="18"/>
      <c r="C364" s="18"/>
      <c r="D364" s="18"/>
      <c r="E364" s="18"/>
      <c r="F364" s="106"/>
      <c r="G364" s="106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</row>
    <row r="365" spans="1:52" ht="15.75" customHeight="1">
      <c r="A365" s="18"/>
      <c r="B365" s="18"/>
      <c r="C365" s="18"/>
      <c r="D365" s="18"/>
      <c r="E365" s="18"/>
      <c r="F365" s="106"/>
      <c r="G365" s="106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</row>
    <row r="366" spans="1:52" ht="15.75" customHeight="1">
      <c r="A366" s="18"/>
      <c r="B366" s="18"/>
      <c r="C366" s="18"/>
      <c r="D366" s="18"/>
      <c r="E366" s="18"/>
      <c r="F366" s="106"/>
      <c r="G366" s="106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</row>
    <row r="367" spans="1:52" ht="15.75" customHeight="1">
      <c r="A367" s="18"/>
      <c r="B367" s="18"/>
      <c r="C367" s="18"/>
      <c r="D367" s="18"/>
      <c r="E367" s="18"/>
      <c r="F367" s="106"/>
      <c r="G367" s="106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</row>
    <row r="368" spans="1:52" ht="15.75" customHeight="1">
      <c r="A368" s="18"/>
      <c r="B368" s="18"/>
      <c r="C368" s="18"/>
      <c r="D368" s="18"/>
      <c r="E368" s="18"/>
      <c r="F368" s="106"/>
      <c r="G368" s="106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</row>
    <row r="369" spans="1:52" ht="15.75" customHeight="1">
      <c r="A369" s="18"/>
      <c r="B369" s="18"/>
      <c r="C369" s="18"/>
      <c r="D369" s="18"/>
      <c r="E369" s="18"/>
      <c r="F369" s="106"/>
      <c r="G369" s="106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</row>
    <row r="370" spans="1:52" ht="15.75" customHeight="1">
      <c r="A370" s="18"/>
      <c r="B370" s="18"/>
      <c r="C370" s="18"/>
      <c r="D370" s="18"/>
      <c r="E370" s="18"/>
      <c r="F370" s="106"/>
      <c r="G370" s="106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</row>
    <row r="371" spans="1:52" ht="15.75" customHeight="1">
      <c r="A371" s="18"/>
      <c r="B371" s="18"/>
      <c r="C371" s="18"/>
      <c r="D371" s="18"/>
      <c r="E371" s="18"/>
      <c r="F371" s="106"/>
      <c r="G371" s="106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</row>
    <row r="372" spans="1:52" ht="15.75" customHeight="1">
      <c r="A372" s="18"/>
      <c r="B372" s="18"/>
      <c r="C372" s="18"/>
      <c r="D372" s="18"/>
      <c r="E372" s="18"/>
      <c r="F372" s="106"/>
      <c r="G372" s="106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</row>
    <row r="373" spans="1:52" ht="15.75" customHeight="1">
      <c r="A373" s="18"/>
      <c r="B373" s="18"/>
      <c r="C373" s="18"/>
      <c r="D373" s="18"/>
      <c r="E373" s="18"/>
      <c r="F373" s="106"/>
      <c r="G373" s="106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</row>
    <row r="374" spans="1:52" ht="15.75" customHeight="1">
      <c r="A374" s="18"/>
      <c r="B374" s="18"/>
      <c r="C374" s="18"/>
      <c r="D374" s="18"/>
      <c r="E374" s="18"/>
      <c r="F374" s="106"/>
      <c r="G374" s="106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</row>
    <row r="375" spans="1:52" ht="15.75" customHeight="1">
      <c r="A375" s="18"/>
      <c r="B375" s="18"/>
      <c r="C375" s="18"/>
      <c r="D375" s="18"/>
      <c r="E375" s="18"/>
      <c r="F375" s="106"/>
      <c r="G375" s="106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</row>
    <row r="376" spans="1:52" ht="15.75" customHeight="1">
      <c r="A376" s="18"/>
      <c r="B376" s="18"/>
      <c r="C376" s="18"/>
      <c r="D376" s="18"/>
      <c r="E376" s="18"/>
      <c r="F376" s="106"/>
      <c r="G376" s="106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</row>
    <row r="377" spans="1:52" ht="15.75" customHeight="1">
      <c r="A377" s="18"/>
      <c r="B377" s="18"/>
      <c r="C377" s="18"/>
      <c r="D377" s="18"/>
      <c r="E377" s="18"/>
      <c r="F377" s="106"/>
      <c r="G377" s="106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</row>
    <row r="378" spans="1:52" ht="15.75" customHeight="1">
      <c r="A378" s="18"/>
      <c r="B378" s="18"/>
      <c r="C378" s="18"/>
      <c r="D378" s="18"/>
      <c r="E378" s="18"/>
      <c r="F378" s="106"/>
      <c r="G378" s="106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</row>
    <row r="379" spans="1:52" ht="15.75" customHeight="1">
      <c r="A379" s="18"/>
      <c r="B379" s="18"/>
      <c r="C379" s="18"/>
      <c r="D379" s="18"/>
      <c r="E379" s="18"/>
      <c r="F379" s="106"/>
      <c r="G379" s="106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</row>
    <row r="380" spans="1:52" ht="15.75" customHeight="1">
      <c r="A380" s="18"/>
      <c r="B380" s="18"/>
      <c r="C380" s="18"/>
      <c r="D380" s="18"/>
      <c r="E380" s="18"/>
      <c r="F380" s="106"/>
      <c r="G380" s="106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</row>
    <row r="381" spans="1:52" ht="15.75" customHeight="1">
      <c r="A381" s="18"/>
      <c r="B381" s="18"/>
      <c r="C381" s="18"/>
      <c r="D381" s="18"/>
      <c r="E381" s="18"/>
      <c r="F381" s="106"/>
      <c r="G381" s="106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</row>
    <row r="382" spans="1:52" ht="15.75" customHeight="1">
      <c r="A382" s="18"/>
      <c r="B382" s="18"/>
      <c r="C382" s="18"/>
      <c r="D382" s="18"/>
      <c r="E382" s="18"/>
      <c r="F382" s="106"/>
      <c r="G382" s="106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</row>
    <row r="383" spans="1:52" ht="15.75" customHeight="1">
      <c r="A383" s="18"/>
      <c r="B383" s="18"/>
      <c r="C383" s="18"/>
      <c r="D383" s="18"/>
      <c r="E383" s="18"/>
      <c r="F383" s="106"/>
      <c r="G383" s="106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</row>
    <row r="384" spans="1:52" ht="15.75" customHeight="1">
      <c r="A384" s="18"/>
      <c r="B384" s="18"/>
      <c r="C384" s="18"/>
      <c r="D384" s="18"/>
      <c r="E384" s="18"/>
      <c r="F384" s="106"/>
      <c r="G384" s="106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</row>
    <row r="385" spans="1:52" ht="15.75" customHeight="1">
      <c r="A385" s="18"/>
      <c r="B385" s="18"/>
      <c r="C385" s="18"/>
      <c r="D385" s="18"/>
      <c r="E385" s="18"/>
      <c r="F385" s="106"/>
      <c r="G385" s="106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</row>
    <row r="386" spans="1:52" ht="15.75" customHeight="1">
      <c r="A386" s="18"/>
      <c r="B386" s="18"/>
      <c r="C386" s="18"/>
      <c r="D386" s="18"/>
      <c r="E386" s="18"/>
      <c r="F386" s="106"/>
      <c r="G386" s="106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</row>
    <row r="387" spans="1:52" ht="15.75" customHeight="1">
      <c r="A387" s="18"/>
      <c r="B387" s="18"/>
      <c r="C387" s="18"/>
      <c r="D387" s="18"/>
      <c r="E387" s="18"/>
      <c r="F387" s="106"/>
      <c r="G387" s="106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</row>
    <row r="388" spans="1:52" ht="15.75" customHeight="1">
      <c r="A388" s="18"/>
      <c r="B388" s="18"/>
      <c r="C388" s="18"/>
      <c r="D388" s="18"/>
      <c r="E388" s="18"/>
      <c r="F388" s="106"/>
      <c r="G388" s="106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</row>
    <row r="389" spans="1:52" ht="15.75" customHeight="1">
      <c r="A389" s="18"/>
      <c r="B389" s="18"/>
      <c r="C389" s="18"/>
      <c r="D389" s="18"/>
      <c r="E389" s="18"/>
      <c r="F389" s="106"/>
      <c r="G389" s="106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</row>
    <row r="390" spans="1:52" ht="15.75" customHeight="1">
      <c r="A390" s="18"/>
      <c r="B390" s="18"/>
      <c r="C390" s="18"/>
      <c r="D390" s="18"/>
      <c r="E390" s="18"/>
      <c r="F390" s="106"/>
      <c r="G390" s="106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</row>
    <row r="391" spans="1:52" ht="15.75" customHeight="1">
      <c r="A391" s="18"/>
      <c r="B391" s="18"/>
      <c r="C391" s="18"/>
      <c r="D391" s="18"/>
      <c r="E391" s="18"/>
      <c r="F391" s="106"/>
      <c r="G391" s="106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</row>
    <row r="392" spans="1:52" ht="15.75" customHeight="1">
      <c r="A392" s="18"/>
      <c r="B392" s="18"/>
      <c r="C392" s="18"/>
      <c r="D392" s="18"/>
      <c r="E392" s="18"/>
      <c r="F392" s="106"/>
      <c r="G392" s="106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</row>
    <row r="393" spans="1:52" ht="15.75" customHeight="1">
      <c r="A393" s="18"/>
      <c r="B393" s="18"/>
      <c r="C393" s="18"/>
      <c r="D393" s="18"/>
      <c r="E393" s="18"/>
      <c r="F393" s="106"/>
      <c r="G393" s="106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</row>
    <row r="394" spans="1:52" ht="15.75" customHeight="1">
      <c r="A394" s="18"/>
      <c r="B394" s="18"/>
      <c r="C394" s="18"/>
      <c r="D394" s="18"/>
      <c r="E394" s="18"/>
      <c r="F394" s="106"/>
      <c r="G394" s="106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</row>
    <row r="395" spans="1:52" ht="15.75" customHeight="1">
      <c r="A395" s="18"/>
      <c r="B395" s="18"/>
      <c r="C395" s="18"/>
      <c r="D395" s="18"/>
      <c r="E395" s="18"/>
      <c r="F395" s="106"/>
      <c r="G395" s="106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</row>
    <row r="396" spans="1:52" ht="15.75" customHeight="1">
      <c r="A396" s="18"/>
      <c r="B396" s="18"/>
      <c r="C396" s="18"/>
      <c r="D396" s="18"/>
      <c r="E396" s="18"/>
      <c r="F396" s="106"/>
      <c r="G396" s="106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</row>
    <row r="397" spans="1:52" ht="15.75" customHeight="1">
      <c r="A397" s="18"/>
      <c r="B397" s="18"/>
      <c r="C397" s="18"/>
      <c r="D397" s="18"/>
      <c r="E397" s="18"/>
      <c r="F397" s="106"/>
      <c r="G397" s="106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</row>
    <row r="398" spans="1:52" ht="15.75" customHeight="1">
      <c r="A398" s="18"/>
      <c r="B398" s="18"/>
      <c r="C398" s="18"/>
      <c r="D398" s="18"/>
      <c r="E398" s="18"/>
      <c r="F398" s="106"/>
      <c r="G398" s="106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</row>
    <row r="399" spans="1:52" ht="15.75" customHeight="1">
      <c r="A399" s="18"/>
      <c r="B399" s="18"/>
      <c r="C399" s="18"/>
      <c r="D399" s="18"/>
      <c r="E399" s="18"/>
      <c r="F399" s="106"/>
      <c r="G399" s="106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</row>
    <row r="400" spans="1:52" ht="15.75" customHeight="1">
      <c r="A400" s="18"/>
      <c r="B400" s="18"/>
      <c r="C400" s="18"/>
      <c r="D400" s="18"/>
      <c r="E400" s="18"/>
      <c r="F400" s="106"/>
      <c r="G400" s="106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</row>
    <row r="401" spans="1:52" ht="15.75" customHeight="1">
      <c r="A401" s="18"/>
      <c r="B401" s="18"/>
      <c r="C401" s="18"/>
      <c r="D401" s="18"/>
      <c r="E401" s="18"/>
      <c r="F401" s="106"/>
      <c r="G401" s="106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</row>
    <row r="402" spans="1:52" ht="15.75" customHeight="1">
      <c r="A402" s="18"/>
      <c r="B402" s="18"/>
      <c r="C402" s="18"/>
      <c r="D402" s="18"/>
      <c r="E402" s="18"/>
      <c r="F402" s="106"/>
      <c r="G402" s="106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</row>
    <row r="403" spans="1:52" ht="15.75" customHeight="1">
      <c r="A403" s="18"/>
      <c r="B403" s="18"/>
      <c r="C403" s="18"/>
      <c r="D403" s="18"/>
      <c r="E403" s="18"/>
      <c r="F403" s="106"/>
      <c r="G403" s="106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</row>
    <row r="404" spans="1:52" ht="15.75" customHeight="1">
      <c r="A404" s="18"/>
      <c r="B404" s="18"/>
      <c r="C404" s="18"/>
      <c r="D404" s="18"/>
      <c r="E404" s="18"/>
      <c r="F404" s="106"/>
      <c r="G404" s="106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</row>
    <row r="405" spans="1:52" ht="15.75" customHeight="1">
      <c r="A405" s="18"/>
      <c r="B405" s="18"/>
      <c r="C405" s="18"/>
      <c r="D405" s="18"/>
      <c r="E405" s="18"/>
      <c r="F405" s="106"/>
      <c r="G405" s="106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</row>
    <row r="406" spans="1:52" ht="15.75" customHeight="1">
      <c r="A406" s="18"/>
      <c r="B406" s="18"/>
      <c r="C406" s="18"/>
      <c r="D406" s="18"/>
      <c r="E406" s="18"/>
      <c r="F406" s="106"/>
      <c r="G406" s="106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</row>
    <row r="407" spans="1:52" ht="15.75" customHeight="1">
      <c r="A407" s="18"/>
      <c r="B407" s="18"/>
      <c r="C407" s="18"/>
      <c r="D407" s="18"/>
      <c r="E407" s="18"/>
      <c r="F407" s="106"/>
      <c r="G407" s="106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</row>
    <row r="408" spans="1:52" ht="15.75" customHeight="1">
      <c r="A408" s="18"/>
      <c r="B408" s="18"/>
      <c r="C408" s="18"/>
      <c r="D408" s="18"/>
      <c r="E408" s="18"/>
      <c r="F408" s="106"/>
      <c r="G408" s="106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</row>
    <row r="409" spans="1:52" ht="15.75" customHeight="1">
      <c r="A409" s="18"/>
      <c r="B409" s="18"/>
      <c r="C409" s="18"/>
      <c r="D409" s="18"/>
      <c r="E409" s="18"/>
      <c r="F409" s="106"/>
      <c r="G409" s="106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</row>
    <row r="410" spans="1:52" ht="15.75" customHeight="1">
      <c r="A410" s="18"/>
      <c r="B410" s="18"/>
      <c r="C410" s="18"/>
      <c r="D410" s="18"/>
      <c r="E410" s="18"/>
      <c r="F410" s="106"/>
      <c r="G410" s="106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</row>
    <row r="411" spans="1:52" ht="15.75" customHeight="1">
      <c r="A411" s="18"/>
      <c r="B411" s="18"/>
      <c r="C411" s="18"/>
      <c r="D411" s="18"/>
      <c r="E411" s="18"/>
      <c r="F411" s="106"/>
      <c r="G411" s="106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</row>
    <row r="412" spans="1:52" ht="15.75" customHeight="1">
      <c r="A412" s="18"/>
      <c r="B412" s="18"/>
      <c r="C412" s="18"/>
      <c r="D412" s="18"/>
      <c r="E412" s="18"/>
      <c r="F412" s="106"/>
      <c r="G412" s="106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</row>
    <row r="413" spans="1:52" ht="15.75" customHeight="1">
      <c r="A413" s="18"/>
      <c r="B413" s="18"/>
      <c r="C413" s="18"/>
      <c r="D413" s="18"/>
      <c r="E413" s="18"/>
      <c r="F413" s="106"/>
      <c r="G413" s="106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</row>
    <row r="414" spans="1:52" ht="15.75" customHeight="1">
      <c r="A414" s="18"/>
      <c r="B414" s="18"/>
      <c r="C414" s="18"/>
      <c r="D414" s="18"/>
      <c r="E414" s="18"/>
      <c r="F414" s="106"/>
      <c r="G414" s="106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</row>
    <row r="415" spans="1:52" ht="15.75" customHeight="1">
      <c r="A415" s="18"/>
      <c r="B415" s="18"/>
      <c r="C415" s="18"/>
      <c r="D415" s="18"/>
      <c r="E415" s="18"/>
      <c r="F415" s="106"/>
      <c r="G415" s="106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</row>
    <row r="416" spans="1:52" ht="15.75" customHeight="1">
      <c r="A416" s="18"/>
      <c r="B416" s="18"/>
      <c r="C416" s="18"/>
      <c r="D416" s="18"/>
      <c r="E416" s="18"/>
      <c r="F416" s="106"/>
      <c r="G416" s="106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</row>
    <row r="417" spans="1:52" ht="15.75" customHeight="1">
      <c r="A417" s="18"/>
      <c r="B417" s="18"/>
      <c r="C417" s="18"/>
      <c r="D417" s="18"/>
      <c r="E417" s="18"/>
      <c r="F417" s="106"/>
      <c r="G417" s="106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</row>
    <row r="418" spans="1:52" ht="15.75" customHeight="1">
      <c r="A418" s="18"/>
      <c r="B418" s="18"/>
      <c r="C418" s="18"/>
      <c r="D418" s="18"/>
      <c r="E418" s="18"/>
      <c r="F418" s="106"/>
      <c r="G418" s="106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</row>
    <row r="419" spans="1:52" ht="15.75" customHeight="1">
      <c r="A419" s="18"/>
      <c r="B419" s="18"/>
      <c r="C419" s="18"/>
      <c r="D419" s="18"/>
      <c r="E419" s="18"/>
      <c r="F419" s="106"/>
      <c r="G419" s="106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</row>
    <row r="420" spans="1:52" ht="15.75" customHeight="1">
      <c r="A420" s="18"/>
      <c r="B420" s="18"/>
      <c r="C420" s="18"/>
      <c r="D420" s="18"/>
      <c r="E420" s="18"/>
      <c r="F420" s="106"/>
      <c r="G420" s="106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</row>
    <row r="421" spans="1:52" ht="15.75" customHeight="1">
      <c r="A421" s="18"/>
      <c r="B421" s="18"/>
      <c r="C421" s="18"/>
      <c r="D421" s="18"/>
      <c r="E421" s="18"/>
      <c r="F421" s="106"/>
      <c r="G421" s="106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</row>
    <row r="422" spans="1:52" ht="15.75" customHeight="1">
      <c r="A422" s="18"/>
      <c r="B422" s="18"/>
      <c r="C422" s="18"/>
      <c r="D422" s="18"/>
      <c r="E422" s="18"/>
      <c r="F422" s="106"/>
      <c r="G422" s="106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</row>
    <row r="423" spans="1:52" ht="15.75" customHeight="1">
      <c r="A423" s="18"/>
      <c r="B423" s="18"/>
      <c r="C423" s="18"/>
      <c r="D423" s="18"/>
      <c r="E423" s="18"/>
      <c r="F423" s="106"/>
      <c r="G423" s="106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</row>
    <row r="424" spans="1:52" ht="15.75" customHeight="1">
      <c r="A424" s="18"/>
      <c r="B424" s="18"/>
      <c r="C424" s="18"/>
      <c r="D424" s="18"/>
      <c r="E424" s="18"/>
      <c r="F424" s="106"/>
      <c r="G424" s="106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</row>
    <row r="425" spans="1:52" ht="15.75" customHeight="1">
      <c r="A425" s="18"/>
      <c r="B425" s="18"/>
      <c r="C425" s="18"/>
      <c r="D425" s="18"/>
      <c r="E425" s="18"/>
      <c r="F425" s="106"/>
      <c r="G425" s="106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</row>
    <row r="426" spans="1:52" ht="15.75" customHeight="1">
      <c r="A426" s="18"/>
      <c r="B426" s="18"/>
      <c r="C426" s="18"/>
      <c r="D426" s="18"/>
      <c r="E426" s="18"/>
      <c r="F426" s="106"/>
      <c r="G426" s="106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</row>
    <row r="427" spans="1:52" ht="15.75" customHeight="1">
      <c r="A427" s="18"/>
      <c r="B427" s="18"/>
      <c r="C427" s="18"/>
      <c r="D427" s="18"/>
      <c r="E427" s="18"/>
      <c r="F427" s="106"/>
      <c r="G427" s="106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</row>
    <row r="428" spans="1:52" ht="15.75" customHeight="1">
      <c r="A428" s="18"/>
      <c r="B428" s="18"/>
      <c r="C428" s="18"/>
      <c r="D428" s="18"/>
      <c r="E428" s="18"/>
      <c r="F428" s="106"/>
      <c r="G428" s="106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</row>
    <row r="429" spans="1:52" ht="15.75" customHeight="1">
      <c r="A429" s="18"/>
      <c r="B429" s="18"/>
      <c r="C429" s="18"/>
      <c r="D429" s="18"/>
      <c r="E429" s="18"/>
      <c r="F429" s="106"/>
      <c r="G429" s="106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</row>
    <row r="430" spans="1:52" ht="15.75" customHeight="1">
      <c r="A430" s="18"/>
      <c r="B430" s="18"/>
      <c r="C430" s="18"/>
      <c r="D430" s="18"/>
      <c r="E430" s="18"/>
      <c r="F430" s="106"/>
      <c r="G430" s="106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</row>
    <row r="431" spans="1:52" ht="15.75" customHeight="1">
      <c r="A431" s="18"/>
      <c r="B431" s="18"/>
      <c r="C431" s="18"/>
      <c r="D431" s="18"/>
      <c r="E431" s="18"/>
      <c r="F431" s="106"/>
      <c r="G431" s="106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</row>
    <row r="432" spans="1:52" ht="15.75" customHeight="1">
      <c r="A432" s="18"/>
      <c r="B432" s="18"/>
      <c r="C432" s="18"/>
      <c r="D432" s="18"/>
      <c r="E432" s="18"/>
      <c r="F432" s="106"/>
      <c r="G432" s="106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</row>
    <row r="433" spans="1:52" ht="15.75" customHeight="1">
      <c r="A433" s="18"/>
      <c r="B433" s="18"/>
      <c r="C433" s="18"/>
      <c r="D433" s="18"/>
      <c r="E433" s="18"/>
      <c r="F433" s="106"/>
      <c r="G433" s="106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</row>
    <row r="434" spans="1:52" ht="15.75" customHeight="1">
      <c r="A434" s="18"/>
      <c r="B434" s="18"/>
      <c r="C434" s="18"/>
      <c r="D434" s="18"/>
      <c r="E434" s="18"/>
      <c r="F434" s="106"/>
      <c r="G434" s="106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</row>
    <row r="435" spans="1:52" ht="15.75" customHeight="1">
      <c r="A435" s="18"/>
      <c r="B435" s="18"/>
      <c r="C435" s="18"/>
      <c r="D435" s="18"/>
      <c r="E435" s="18"/>
      <c r="F435" s="106"/>
      <c r="G435" s="106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</row>
    <row r="436" spans="1:52" ht="15.75" customHeight="1">
      <c r="A436" s="18"/>
      <c r="B436" s="18"/>
      <c r="C436" s="18"/>
      <c r="D436" s="18"/>
      <c r="E436" s="18"/>
      <c r="F436" s="106"/>
      <c r="G436" s="106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</row>
    <row r="437" spans="1:52" ht="15.75" customHeight="1">
      <c r="A437" s="18"/>
      <c r="B437" s="18"/>
      <c r="C437" s="18"/>
      <c r="D437" s="18"/>
      <c r="E437" s="18"/>
      <c r="F437" s="106"/>
      <c r="G437" s="106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</row>
    <row r="438" spans="1:52" ht="15.75" customHeight="1">
      <c r="A438" s="18"/>
      <c r="B438" s="18"/>
      <c r="C438" s="18"/>
      <c r="D438" s="18"/>
      <c r="E438" s="18"/>
      <c r="F438" s="106"/>
      <c r="G438" s="106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</row>
    <row r="439" spans="1:52" ht="15.75" customHeight="1">
      <c r="A439" s="18"/>
      <c r="B439" s="18"/>
      <c r="C439" s="18"/>
      <c r="D439" s="18"/>
      <c r="E439" s="18"/>
      <c r="F439" s="106"/>
      <c r="G439" s="106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</row>
    <row r="440" spans="1:52" ht="15.75" customHeight="1">
      <c r="A440" s="18"/>
      <c r="B440" s="18"/>
      <c r="C440" s="18"/>
      <c r="D440" s="18"/>
      <c r="E440" s="18"/>
      <c r="F440" s="106"/>
      <c r="G440" s="106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</row>
    <row r="441" spans="1:52" ht="15.75" customHeight="1">
      <c r="A441" s="18"/>
      <c r="B441" s="18"/>
      <c r="C441" s="18"/>
      <c r="D441" s="18"/>
      <c r="E441" s="18"/>
      <c r="F441" s="106"/>
      <c r="G441" s="106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</row>
    <row r="442" spans="1:52" ht="15.75" customHeight="1">
      <c r="A442" s="18"/>
      <c r="B442" s="18"/>
      <c r="C442" s="18"/>
      <c r="D442" s="18"/>
      <c r="E442" s="18"/>
      <c r="F442" s="106"/>
      <c r="G442" s="106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</row>
    <row r="443" spans="1:52" ht="15.75" customHeight="1">
      <c r="A443" s="18"/>
      <c r="B443" s="18"/>
      <c r="C443" s="18"/>
      <c r="D443" s="18"/>
      <c r="E443" s="18"/>
      <c r="F443" s="106"/>
      <c r="G443" s="106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</row>
    <row r="444" spans="1:52" ht="15.75" customHeight="1">
      <c r="A444" s="18"/>
      <c r="B444" s="18"/>
      <c r="C444" s="18"/>
      <c r="D444" s="18"/>
      <c r="E444" s="18"/>
      <c r="F444" s="106"/>
      <c r="G444" s="106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</row>
    <row r="445" spans="1:52" ht="15.75" customHeight="1">
      <c r="A445" s="18"/>
      <c r="B445" s="18"/>
      <c r="C445" s="18"/>
      <c r="D445" s="18"/>
      <c r="E445" s="18"/>
      <c r="F445" s="106"/>
      <c r="G445" s="106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</row>
    <row r="446" spans="1:52" ht="15.75" customHeight="1">
      <c r="A446" s="18"/>
      <c r="B446" s="18"/>
      <c r="C446" s="18"/>
      <c r="D446" s="18"/>
      <c r="E446" s="18"/>
      <c r="F446" s="106"/>
      <c r="G446" s="106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</row>
    <row r="447" spans="1:52" ht="15.75" customHeight="1">
      <c r="A447" s="18"/>
      <c r="B447" s="18"/>
      <c r="C447" s="18"/>
      <c r="D447" s="18"/>
      <c r="E447" s="18"/>
      <c r="F447" s="106"/>
      <c r="G447" s="106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</row>
    <row r="448" spans="1:52" ht="15.75" customHeight="1">
      <c r="A448" s="18"/>
      <c r="B448" s="18"/>
      <c r="C448" s="18"/>
      <c r="D448" s="18"/>
      <c r="E448" s="18"/>
      <c r="F448" s="106"/>
      <c r="G448" s="106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</row>
    <row r="449" spans="1:52" ht="15.75" customHeight="1">
      <c r="A449" s="18"/>
      <c r="B449" s="18"/>
      <c r="C449" s="18"/>
      <c r="D449" s="18"/>
      <c r="E449" s="18"/>
      <c r="F449" s="106"/>
      <c r="G449" s="106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</row>
    <row r="450" spans="1:52" ht="15.75" customHeight="1">
      <c r="A450" s="18"/>
      <c r="B450" s="18"/>
      <c r="C450" s="18"/>
      <c r="D450" s="18"/>
      <c r="E450" s="18"/>
      <c r="F450" s="106"/>
      <c r="G450" s="106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</row>
    <row r="451" spans="1:52" ht="15.75" customHeight="1">
      <c r="A451" s="18"/>
      <c r="B451" s="18"/>
      <c r="C451" s="18"/>
      <c r="D451" s="18"/>
      <c r="E451" s="18"/>
      <c r="F451" s="106"/>
      <c r="G451" s="106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</row>
    <row r="452" spans="1:52" ht="15.75" customHeight="1">
      <c r="A452" s="18"/>
      <c r="B452" s="18"/>
      <c r="C452" s="18"/>
      <c r="D452" s="18"/>
      <c r="E452" s="18"/>
      <c r="F452" s="106"/>
      <c r="G452" s="106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</row>
    <row r="453" spans="1:52" ht="15.75" customHeight="1">
      <c r="A453" s="18"/>
      <c r="B453" s="18"/>
      <c r="C453" s="18"/>
      <c r="D453" s="18"/>
      <c r="E453" s="18"/>
      <c r="F453" s="106"/>
      <c r="G453" s="106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</row>
    <row r="454" spans="1:52" ht="15.75" customHeight="1">
      <c r="A454" s="18"/>
      <c r="B454" s="18"/>
      <c r="C454" s="18"/>
      <c r="D454" s="18"/>
      <c r="E454" s="18"/>
      <c r="F454" s="106"/>
      <c r="G454" s="106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</row>
    <row r="455" spans="1:52" ht="15.75" customHeight="1">
      <c r="A455" s="18"/>
      <c r="B455" s="18"/>
      <c r="C455" s="18"/>
      <c r="D455" s="18"/>
      <c r="E455" s="18"/>
      <c r="F455" s="106"/>
      <c r="G455" s="106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</row>
    <row r="456" spans="1:52" ht="15.75" customHeight="1">
      <c r="A456" s="18"/>
      <c r="B456" s="18"/>
      <c r="C456" s="18"/>
      <c r="D456" s="18"/>
      <c r="E456" s="18"/>
      <c r="F456" s="106"/>
      <c r="G456" s="106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</row>
    <row r="457" spans="1:52" ht="15.75" customHeight="1">
      <c r="A457" s="18"/>
      <c r="B457" s="18"/>
      <c r="C457" s="18"/>
      <c r="D457" s="18"/>
      <c r="E457" s="18"/>
      <c r="F457" s="106"/>
      <c r="G457" s="106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</row>
    <row r="458" spans="1:52" ht="15.75" customHeight="1">
      <c r="A458" s="18"/>
      <c r="B458" s="18"/>
      <c r="C458" s="18"/>
      <c r="D458" s="18"/>
      <c r="E458" s="18"/>
      <c r="F458" s="106"/>
      <c r="G458" s="106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</row>
    <row r="459" spans="1:52" ht="15.75" customHeight="1">
      <c r="A459" s="18"/>
      <c r="B459" s="18"/>
      <c r="C459" s="18"/>
      <c r="D459" s="18"/>
      <c r="E459" s="18"/>
      <c r="F459" s="106"/>
      <c r="G459" s="106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</row>
    <row r="460" spans="1:52" ht="15.75" customHeight="1">
      <c r="A460" s="18"/>
      <c r="B460" s="18"/>
      <c r="C460" s="18"/>
      <c r="D460" s="18"/>
      <c r="E460" s="18"/>
      <c r="F460" s="106"/>
      <c r="G460" s="106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</row>
    <row r="461" spans="1:52" ht="15.75" customHeight="1">
      <c r="A461" s="18"/>
      <c r="B461" s="18"/>
      <c r="C461" s="18"/>
      <c r="D461" s="18"/>
      <c r="E461" s="18"/>
      <c r="F461" s="106"/>
      <c r="G461" s="106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</row>
    <row r="462" spans="1:52" ht="15.75" customHeight="1">
      <c r="A462" s="18"/>
      <c r="B462" s="18"/>
      <c r="C462" s="18"/>
      <c r="D462" s="18"/>
      <c r="E462" s="18"/>
      <c r="F462" s="106"/>
      <c r="G462" s="106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</row>
    <row r="463" spans="1:52" ht="15.75" customHeight="1">
      <c r="A463" s="18"/>
      <c r="B463" s="18"/>
      <c r="C463" s="18"/>
      <c r="D463" s="18"/>
      <c r="E463" s="18"/>
      <c r="F463" s="106"/>
      <c r="G463" s="106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</row>
    <row r="464" spans="1:52" ht="15.75" customHeight="1">
      <c r="A464" s="18"/>
      <c r="B464" s="18"/>
      <c r="C464" s="18"/>
      <c r="D464" s="18"/>
      <c r="E464" s="18"/>
      <c r="F464" s="106"/>
      <c r="G464" s="106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</row>
    <row r="465" spans="1:52" ht="15.75" customHeight="1">
      <c r="A465" s="18"/>
      <c r="B465" s="18"/>
      <c r="C465" s="18"/>
      <c r="D465" s="18"/>
      <c r="E465" s="18"/>
      <c r="F465" s="106"/>
      <c r="G465" s="106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</row>
    <row r="466" spans="1:52" ht="15.75" customHeight="1">
      <c r="A466" s="18"/>
      <c r="B466" s="18"/>
      <c r="C466" s="18"/>
      <c r="D466" s="18"/>
      <c r="E466" s="18"/>
      <c r="F466" s="106"/>
      <c r="G466" s="106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</row>
    <row r="467" spans="1:52" ht="15.75" customHeight="1">
      <c r="A467" s="18"/>
      <c r="B467" s="18"/>
      <c r="C467" s="18"/>
      <c r="D467" s="18"/>
      <c r="E467" s="18"/>
      <c r="F467" s="106"/>
      <c r="G467" s="106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</row>
    <row r="468" spans="1:52" ht="15.75" customHeight="1">
      <c r="A468" s="18"/>
      <c r="B468" s="18"/>
      <c r="C468" s="18"/>
      <c r="D468" s="18"/>
      <c r="E468" s="18"/>
      <c r="F468" s="106"/>
      <c r="G468" s="106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</row>
    <row r="469" spans="1:52" ht="15.75" customHeight="1">
      <c r="A469" s="18"/>
      <c r="B469" s="18"/>
      <c r="C469" s="18"/>
      <c r="D469" s="18"/>
      <c r="E469" s="18"/>
      <c r="F469" s="106"/>
      <c r="G469" s="106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</row>
    <row r="470" spans="1:52" ht="15.75" customHeight="1">
      <c r="A470" s="18"/>
      <c r="B470" s="18"/>
      <c r="C470" s="18"/>
      <c r="D470" s="18"/>
      <c r="E470" s="18"/>
      <c r="F470" s="106"/>
      <c r="G470" s="106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</row>
    <row r="471" spans="1:52" ht="15.75" customHeight="1">
      <c r="A471" s="18"/>
      <c r="B471" s="18"/>
      <c r="C471" s="18"/>
      <c r="D471" s="18"/>
      <c r="E471" s="18"/>
      <c r="F471" s="106"/>
      <c r="G471" s="106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</row>
    <row r="472" spans="1:52" ht="15.75" customHeight="1">
      <c r="A472" s="18"/>
      <c r="B472" s="18"/>
      <c r="C472" s="18"/>
      <c r="D472" s="18"/>
      <c r="E472" s="18"/>
      <c r="F472" s="106"/>
      <c r="G472" s="106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</row>
    <row r="473" spans="1:52" ht="15.75" customHeight="1">
      <c r="A473" s="18"/>
      <c r="B473" s="18"/>
      <c r="C473" s="18"/>
      <c r="D473" s="18"/>
      <c r="E473" s="18"/>
      <c r="F473" s="106"/>
      <c r="G473" s="106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</row>
    <row r="474" spans="1:52" ht="15.75" customHeight="1">
      <c r="A474" s="18"/>
      <c r="B474" s="18"/>
      <c r="C474" s="18"/>
      <c r="D474" s="18"/>
      <c r="E474" s="18"/>
      <c r="F474" s="106"/>
      <c r="G474" s="106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</row>
    <row r="475" spans="1:52" ht="15.75" customHeight="1">
      <c r="A475" s="18"/>
      <c r="B475" s="18"/>
      <c r="C475" s="18"/>
      <c r="D475" s="18"/>
      <c r="E475" s="18"/>
      <c r="F475" s="106"/>
      <c r="G475" s="106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</row>
    <row r="476" spans="1:52" ht="15.75" customHeight="1">
      <c r="A476" s="18"/>
      <c r="B476" s="18"/>
      <c r="C476" s="18"/>
      <c r="D476" s="18"/>
      <c r="E476" s="18"/>
      <c r="F476" s="106"/>
      <c r="G476" s="106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</row>
    <row r="477" spans="1:52" ht="15.75" customHeight="1">
      <c r="A477" s="18"/>
      <c r="B477" s="18"/>
      <c r="C477" s="18"/>
      <c r="D477" s="18"/>
      <c r="E477" s="18"/>
      <c r="F477" s="106"/>
      <c r="G477" s="106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</row>
    <row r="478" spans="1:52" ht="15.75" customHeight="1">
      <c r="A478" s="18"/>
      <c r="B478" s="18"/>
      <c r="C478" s="18"/>
      <c r="D478" s="18"/>
      <c r="E478" s="18"/>
      <c r="F478" s="106"/>
      <c r="G478" s="106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</row>
    <row r="479" spans="1:52" ht="15.75" customHeight="1">
      <c r="A479" s="18"/>
      <c r="B479" s="18"/>
      <c r="C479" s="18"/>
      <c r="D479" s="18"/>
      <c r="E479" s="18"/>
      <c r="F479" s="106"/>
      <c r="G479" s="106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</row>
    <row r="480" spans="1:52" ht="15.75" customHeight="1">
      <c r="A480" s="18"/>
      <c r="B480" s="18"/>
      <c r="C480" s="18"/>
      <c r="D480" s="18"/>
      <c r="E480" s="18"/>
      <c r="F480" s="106"/>
      <c r="G480" s="106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</row>
    <row r="481" spans="1:52" ht="15.75" customHeight="1">
      <c r="A481" s="18"/>
      <c r="B481" s="18"/>
      <c r="C481" s="18"/>
      <c r="D481" s="18"/>
      <c r="E481" s="18"/>
      <c r="F481" s="106"/>
      <c r="G481" s="106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</row>
    <row r="482" spans="1:52" ht="15.75" customHeight="1">
      <c r="A482" s="18"/>
      <c r="B482" s="18"/>
      <c r="C482" s="18"/>
      <c r="D482" s="18"/>
      <c r="E482" s="18"/>
      <c r="F482" s="106"/>
      <c r="G482" s="106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</row>
    <row r="483" spans="1:52" ht="15.75" customHeight="1">
      <c r="A483" s="18"/>
      <c r="B483" s="18"/>
      <c r="C483" s="18"/>
      <c r="D483" s="18"/>
      <c r="E483" s="18"/>
      <c r="F483" s="106"/>
      <c r="G483" s="106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</row>
    <row r="484" spans="1:52" ht="15.75" customHeight="1">
      <c r="A484" s="18"/>
      <c r="B484" s="18"/>
      <c r="C484" s="18"/>
      <c r="D484" s="18"/>
      <c r="E484" s="18"/>
      <c r="F484" s="106"/>
      <c r="G484" s="106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</row>
    <row r="485" spans="1:52" ht="15.75" customHeight="1">
      <c r="A485" s="18"/>
      <c r="B485" s="18"/>
      <c r="C485" s="18"/>
      <c r="D485" s="18"/>
      <c r="E485" s="18"/>
      <c r="F485" s="106"/>
      <c r="G485" s="106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</row>
    <row r="486" spans="1:52" ht="15.75" customHeight="1">
      <c r="A486" s="18"/>
      <c r="B486" s="18"/>
      <c r="C486" s="18"/>
      <c r="D486" s="18"/>
      <c r="E486" s="18"/>
      <c r="F486" s="106"/>
      <c r="G486" s="106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</row>
    <row r="487" spans="1:52" ht="15.75" customHeight="1">
      <c r="A487" s="18"/>
      <c r="B487" s="18"/>
      <c r="C487" s="18"/>
      <c r="D487" s="18"/>
      <c r="E487" s="18"/>
      <c r="F487" s="106"/>
      <c r="G487" s="106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</row>
    <row r="488" spans="1:52" ht="15.75" customHeight="1">
      <c r="A488" s="18"/>
      <c r="B488" s="18"/>
      <c r="C488" s="18"/>
      <c r="D488" s="18"/>
      <c r="E488" s="18"/>
      <c r="F488" s="106"/>
      <c r="G488" s="106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</row>
    <row r="489" spans="1:52" ht="15.75" customHeight="1">
      <c r="A489" s="18"/>
      <c r="B489" s="18"/>
      <c r="C489" s="18"/>
      <c r="D489" s="18"/>
      <c r="E489" s="18"/>
      <c r="F489" s="106"/>
      <c r="G489" s="106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</row>
    <row r="490" spans="1:52" ht="15.75" customHeight="1">
      <c r="A490" s="18"/>
      <c r="B490" s="18"/>
      <c r="C490" s="18"/>
      <c r="D490" s="18"/>
      <c r="E490" s="18"/>
      <c r="F490" s="106"/>
      <c r="G490" s="106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</row>
    <row r="491" spans="1:52" ht="15.75" customHeight="1">
      <c r="A491" s="18"/>
      <c r="B491" s="18"/>
      <c r="C491" s="18"/>
      <c r="D491" s="18"/>
      <c r="E491" s="18"/>
      <c r="F491" s="106"/>
      <c r="G491" s="106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</row>
    <row r="492" spans="1:52" ht="15.75" customHeight="1">
      <c r="A492" s="18"/>
      <c r="B492" s="18"/>
      <c r="C492" s="18"/>
      <c r="D492" s="18"/>
      <c r="E492" s="18"/>
      <c r="F492" s="106"/>
      <c r="G492" s="106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</row>
    <row r="493" spans="1:52" ht="15.75" customHeight="1">
      <c r="A493" s="18"/>
      <c r="B493" s="18"/>
      <c r="C493" s="18"/>
      <c r="D493" s="18"/>
      <c r="E493" s="18"/>
      <c r="F493" s="106"/>
      <c r="G493" s="106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</row>
    <row r="494" spans="1:52" ht="15.75" customHeight="1">
      <c r="A494" s="18"/>
      <c r="B494" s="18"/>
      <c r="C494" s="18"/>
      <c r="D494" s="18"/>
      <c r="E494" s="18"/>
      <c r="F494" s="106"/>
      <c r="G494" s="106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</row>
    <row r="495" spans="1:52" ht="15.75" customHeight="1">
      <c r="A495" s="18"/>
      <c r="B495" s="18"/>
      <c r="C495" s="18"/>
      <c r="D495" s="18"/>
      <c r="E495" s="18"/>
      <c r="F495" s="106"/>
      <c r="G495" s="106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</row>
    <row r="496" spans="1:52" ht="15.75" customHeight="1">
      <c r="A496" s="18"/>
      <c r="B496" s="18"/>
      <c r="C496" s="18"/>
      <c r="D496" s="18"/>
      <c r="E496" s="18"/>
      <c r="F496" s="106"/>
      <c r="G496" s="106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</row>
    <row r="497" spans="1:52" ht="15.75" customHeight="1">
      <c r="A497" s="18"/>
      <c r="B497" s="18"/>
      <c r="C497" s="18"/>
      <c r="D497" s="18"/>
      <c r="E497" s="18"/>
      <c r="F497" s="106"/>
      <c r="G497" s="106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</row>
    <row r="498" spans="1:52" ht="15.75" customHeight="1">
      <c r="A498" s="18"/>
      <c r="B498" s="18"/>
      <c r="C498" s="18"/>
      <c r="D498" s="18"/>
      <c r="E498" s="18"/>
      <c r="F498" s="106"/>
      <c r="G498" s="106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</row>
    <row r="499" spans="1:52" ht="15.75" customHeight="1">
      <c r="A499" s="18"/>
      <c r="B499" s="18"/>
      <c r="C499" s="18"/>
      <c r="D499" s="18"/>
      <c r="E499" s="18"/>
      <c r="F499" s="106"/>
      <c r="G499" s="106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</row>
    <row r="500" spans="1:52" ht="15.75" customHeight="1">
      <c r="A500" s="18"/>
      <c r="B500" s="18"/>
      <c r="C500" s="18"/>
      <c r="D500" s="18"/>
      <c r="E500" s="18"/>
      <c r="F500" s="106"/>
      <c r="G500" s="106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</row>
    <row r="501" spans="1:52" ht="15.75" customHeight="1">
      <c r="A501" s="18"/>
      <c r="B501" s="18"/>
      <c r="C501" s="18"/>
      <c r="D501" s="18"/>
      <c r="E501" s="18"/>
      <c r="F501" s="106"/>
      <c r="G501" s="106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</row>
    <row r="502" spans="1:52" ht="15.75" customHeight="1">
      <c r="A502" s="18"/>
      <c r="B502" s="18"/>
      <c r="C502" s="18"/>
      <c r="D502" s="18"/>
      <c r="E502" s="18"/>
      <c r="F502" s="106"/>
      <c r="G502" s="106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</row>
    <row r="503" spans="1:52" ht="15.75" customHeight="1">
      <c r="A503" s="18"/>
      <c r="B503" s="18"/>
      <c r="C503" s="18"/>
      <c r="D503" s="18"/>
      <c r="E503" s="18"/>
      <c r="F503" s="106"/>
      <c r="G503" s="106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</row>
    <row r="504" spans="1:52" ht="15.75" customHeight="1">
      <c r="A504" s="18"/>
      <c r="B504" s="18"/>
      <c r="C504" s="18"/>
      <c r="D504" s="18"/>
      <c r="E504" s="18"/>
      <c r="F504" s="106"/>
      <c r="G504" s="106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</row>
    <row r="505" spans="1:52" ht="15.75" customHeight="1">
      <c r="A505" s="18"/>
      <c r="B505" s="18"/>
      <c r="C505" s="18"/>
      <c r="D505" s="18"/>
      <c r="E505" s="18"/>
      <c r="F505" s="106"/>
      <c r="G505" s="106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</row>
    <row r="506" spans="1:52" ht="15.75" customHeight="1">
      <c r="A506" s="18"/>
      <c r="B506" s="18"/>
      <c r="C506" s="18"/>
      <c r="D506" s="18"/>
      <c r="E506" s="18"/>
      <c r="F506" s="106"/>
      <c r="G506" s="106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</row>
    <row r="507" spans="1:52" ht="15.75" customHeight="1">
      <c r="A507" s="18"/>
      <c r="B507" s="18"/>
      <c r="C507" s="18"/>
      <c r="D507" s="18"/>
      <c r="E507" s="18"/>
      <c r="F507" s="106"/>
      <c r="G507" s="106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</row>
    <row r="508" spans="1:52" ht="15.75" customHeight="1">
      <c r="A508" s="18"/>
      <c r="B508" s="18"/>
      <c r="C508" s="18"/>
      <c r="D508" s="18"/>
      <c r="E508" s="18"/>
      <c r="F508" s="106"/>
      <c r="G508" s="106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</row>
    <row r="509" spans="1:52" ht="15.75" customHeight="1">
      <c r="A509" s="18"/>
      <c r="B509" s="18"/>
      <c r="C509" s="18"/>
      <c r="D509" s="18"/>
      <c r="E509" s="18"/>
      <c r="F509" s="106"/>
      <c r="G509" s="106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</row>
    <row r="510" spans="1:52" ht="15.75" customHeight="1">
      <c r="A510" s="18"/>
      <c r="B510" s="18"/>
      <c r="C510" s="18"/>
      <c r="D510" s="18"/>
      <c r="E510" s="18"/>
      <c r="F510" s="106"/>
      <c r="G510" s="106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</row>
    <row r="511" spans="1:52" ht="15.75" customHeight="1">
      <c r="A511" s="18"/>
      <c r="B511" s="18"/>
      <c r="C511" s="18"/>
      <c r="D511" s="18"/>
      <c r="E511" s="18"/>
      <c r="F511" s="106"/>
      <c r="G511" s="106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</row>
    <row r="512" spans="1:52" ht="15.75" customHeight="1">
      <c r="A512" s="18"/>
      <c r="B512" s="18"/>
      <c r="C512" s="18"/>
      <c r="D512" s="18"/>
      <c r="E512" s="18"/>
      <c r="F512" s="106"/>
      <c r="G512" s="106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</row>
    <row r="513" spans="1:52" ht="15.75" customHeight="1">
      <c r="A513" s="18"/>
      <c r="B513" s="18"/>
      <c r="C513" s="18"/>
      <c r="D513" s="18"/>
      <c r="E513" s="18"/>
      <c r="F513" s="106"/>
      <c r="G513" s="106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</row>
    <row r="514" spans="1:52" ht="15.75" customHeight="1">
      <c r="A514" s="18"/>
      <c r="B514" s="18"/>
      <c r="C514" s="18"/>
      <c r="D514" s="18"/>
      <c r="E514" s="18"/>
      <c r="F514" s="106"/>
      <c r="G514" s="106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</row>
    <row r="515" spans="1:52" ht="15.75" customHeight="1">
      <c r="A515" s="18"/>
      <c r="B515" s="18"/>
      <c r="C515" s="18"/>
      <c r="D515" s="18"/>
      <c r="E515" s="18"/>
      <c r="F515" s="106"/>
      <c r="G515" s="106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</row>
    <row r="516" spans="1:52" ht="15.75" customHeight="1">
      <c r="A516" s="18"/>
      <c r="B516" s="18"/>
      <c r="C516" s="18"/>
      <c r="D516" s="18"/>
      <c r="E516" s="18"/>
      <c r="F516" s="106"/>
      <c r="G516" s="106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</row>
    <row r="517" spans="1:52" ht="15.75" customHeight="1">
      <c r="A517" s="18"/>
      <c r="B517" s="18"/>
      <c r="C517" s="18"/>
      <c r="D517" s="18"/>
      <c r="E517" s="18"/>
      <c r="F517" s="106"/>
      <c r="G517" s="106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</row>
    <row r="518" spans="1:52" ht="15.75" customHeight="1">
      <c r="A518" s="18"/>
      <c r="B518" s="18"/>
      <c r="C518" s="18"/>
      <c r="D518" s="18"/>
      <c r="E518" s="18"/>
      <c r="F518" s="106"/>
      <c r="G518" s="106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</row>
    <row r="519" spans="1:52" ht="15.75" customHeight="1">
      <c r="A519" s="18"/>
      <c r="B519" s="18"/>
      <c r="C519" s="18"/>
      <c r="D519" s="18"/>
      <c r="E519" s="18"/>
      <c r="F519" s="106"/>
      <c r="G519" s="106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</row>
    <row r="520" spans="1:52" ht="15.75" customHeight="1">
      <c r="A520" s="18"/>
      <c r="B520" s="18"/>
      <c r="C520" s="18"/>
      <c r="D520" s="18"/>
      <c r="E520" s="18"/>
      <c r="F520" s="106"/>
      <c r="G520" s="106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</row>
    <row r="521" spans="1:52" ht="15.75" customHeight="1">
      <c r="A521" s="18"/>
      <c r="B521" s="18"/>
      <c r="C521" s="18"/>
      <c r="D521" s="18"/>
      <c r="E521" s="18"/>
      <c r="F521" s="106"/>
      <c r="G521" s="106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</row>
    <row r="522" spans="1:52" ht="15.75" customHeight="1">
      <c r="A522" s="18"/>
      <c r="B522" s="18"/>
      <c r="C522" s="18"/>
      <c r="D522" s="18"/>
      <c r="E522" s="18"/>
      <c r="F522" s="106"/>
      <c r="G522" s="106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</row>
    <row r="523" spans="1:52" ht="15.75" customHeight="1">
      <c r="A523" s="18"/>
      <c r="B523" s="18"/>
      <c r="C523" s="18"/>
      <c r="D523" s="18"/>
      <c r="E523" s="18"/>
      <c r="F523" s="106"/>
      <c r="G523" s="106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</row>
    <row r="524" spans="1:52" ht="15.75" customHeight="1">
      <c r="A524" s="18"/>
      <c r="B524" s="18"/>
      <c r="C524" s="18"/>
      <c r="D524" s="18"/>
      <c r="E524" s="18"/>
      <c r="F524" s="106"/>
      <c r="G524" s="106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</row>
    <row r="525" spans="1:52" ht="15.75" customHeight="1">
      <c r="A525" s="18"/>
      <c r="B525" s="18"/>
      <c r="C525" s="18"/>
      <c r="D525" s="18"/>
      <c r="E525" s="18"/>
      <c r="F525" s="106"/>
      <c r="G525" s="106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</row>
    <row r="526" spans="1:52" ht="15.75" customHeight="1">
      <c r="A526" s="18"/>
      <c r="B526" s="18"/>
      <c r="C526" s="18"/>
      <c r="D526" s="18"/>
      <c r="E526" s="18"/>
      <c r="F526" s="106"/>
      <c r="G526" s="106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</row>
    <row r="527" spans="1:52" ht="15.75" customHeight="1">
      <c r="A527" s="18"/>
      <c r="B527" s="18"/>
      <c r="C527" s="18"/>
      <c r="D527" s="18"/>
      <c r="E527" s="18"/>
      <c r="F527" s="106"/>
      <c r="G527" s="106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</row>
    <row r="528" spans="1:52" ht="15.75" customHeight="1">
      <c r="A528" s="18"/>
      <c r="B528" s="18"/>
      <c r="C528" s="18"/>
      <c r="D528" s="18"/>
      <c r="E528" s="18"/>
      <c r="F528" s="106"/>
      <c r="G528" s="106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</row>
    <row r="529" spans="1:52" ht="15.75" customHeight="1">
      <c r="A529" s="18"/>
      <c r="B529" s="18"/>
      <c r="C529" s="18"/>
      <c r="D529" s="18"/>
      <c r="E529" s="18"/>
      <c r="F529" s="106"/>
      <c r="G529" s="106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</row>
    <row r="530" spans="1:52" ht="15.75" customHeight="1">
      <c r="A530" s="18"/>
      <c r="B530" s="18"/>
      <c r="C530" s="18"/>
      <c r="D530" s="18"/>
      <c r="E530" s="18"/>
      <c r="F530" s="106"/>
      <c r="G530" s="106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</row>
    <row r="531" spans="1:52" ht="15.75" customHeight="1">
      <c r="A531" s="18"/>
      <c r="B531" s="18"/>
      <c r="C531" s="18"/>
      <c r="D531" s="18"/>
      <c r="E531" s="18"/>
      <c r="F531" s="106"/>
      <c r="G531" s="106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</row>
    <row r="532" spans="1:52" ht="15.75" customHeight="1">
      <c r="A532" s="18"/>
      <c r="B532" s="18"/>
      <c r="C532" s="18"/>
      <c r="D532" s="18"/>
      <c r="E532" s="18"/>
      <c r="F532" s="106"/>
      <c r="G532" s="106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</row>
    <row r="533" spans="1:52" ht="15.75" customHeight="1">
      <c r="A533" s="18"/>
      <c r="B533" s="18"/>
      <c r="C533" s="18"/>
      <c r="D533" s="18"/>
      <c r="E533" s="18"/>
      <c r="F533" s="106"/>
      <c r="G533" s="106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</row>
    <row r="534" spans="1:52" ht="15.75" customHeight="1">
      <c r="A534" s="18"/>
      <c r="B534" s="18"/>
      <c r="C534" s="18"/>
      <c r="D534" s="18"/>
      <c r="E534" s="18"/>
      <c r="F534" s="106"/>
      <c r="G534" s="106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</row>
    <row r="535" spans="1:52" ht="15.75" customHeight="1">
      <c r="A535" s="18"/>
      <c r="B535" s="18"/>
      <c r="C535" s="18"/>
      <c r="D535" s="18"/>
      <c r="E535" s="18"/>
      <c r="F535" s="106"/>
      <c r="G535" s="106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</row>
    <row r="536" spans="1:52" ht="15.75" customHeight="1">
      <c r="A536" s="18"/>
      <c r="B536" s="18"/>
      <c r="C536" s="18"/>
      <c r="D536" s="18"/>
      <c r="E536" s="18"/>
      <c r="F536" s="106"/>
      <c r="G536" s="106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</row>
    <row r="537" spans="1:52" ht="15.75" customHeight="1">
      <c r="A537" s="18"/>
      <c r="B537" s="18"/>
      <c r="C537" s="18"/>
      <c r="D537" s="18"/>
      <c r="E537" s="18"/>
      <c r="F537" s="106"/>
      <c r="G537" s="106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</row>
    <row r="538" spans="1:52" ht="15.75" customHeight="1">
      <c r="A538" s="18"/>
      <c r="B538" s="18"/>
      <c r="C538" s="18"/>
      <c r="D538" s="18"/>
      <c r="E538" s="18"/>
      <c r="F538" s="106"/>
      <c r="G538" s="106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</row>
    <row r="539" spans="1:52" ht="15.75" customHeight="1">
      <c r="A539" s="18"/>
      <c r="B539" s="18"/>
      <c r="C539" s="18"/>
      <c r="D539" s="18"/>
      <c r="E539" s="18"/>
      <c r="F539" s="106"/>
      <c r="G539" s="106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</row>
    <row r="540" spans="1:52" ht="15.75" customHeight="1">
      <c r="A540" s="18"/>
      <c r="B540" s="18"/>
      <c r="C540" s="18"/>
      <c r="D540" s="18"/>
      <c r="E540" s="18"/>
      <c r="F540" s="106"/>
      <c r="G540" s="106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</row>
    <row r="541" spans="1:52" ht="15.75" customHeight="1">
      <c r="A541" s="18"/>
      <c r="B541" s="18"/>
      <c r="C541" s="18"/>
      <c r="D541" s="18"/>
      <c r="E541" s="18"/>
      <c r="F541" s="106"/>
      <c r="G541" s="106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</row>
    <row r="542" spans="1:52" ht="15.75" customHeight="1">
      <c r="A542" s="18"/>
      <c r="B542" s="18"/>
      <c r="C542" s="18"/>
      <c r="D542" s="18"/>
      <c r="E542" s="18"/>
      <c r="F542" s="106"/>
      <c r="G542" s="106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</row>
    <row r="543" spans="1:52" ht="15.75" customHeight="1">
      <c r="A543" s="18"/>
      <c r="B543" s="18"/>
      <c r="C543" s="18"/>
      <c r="D543" s="18"/>
      <c r="E543" s="18"/>
      <c r="F543" s="106"/>
      <c r="G543" s="106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</row>
    <row r="544" spans="1:52" ht="15.75" customHeight="1">
      <c r="A544" s="18"/>
      <c r="B544" s="18"/>
      <c r="C544" s="18"/>
      <c r="D544" s="18"/>
      <c r="E544" s="18"/>
      <c r="F544" s="106"/>
      <c r="G544" s="106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</row>
    <row r="545" spans="1:52" ht="15.75" customHeight="1">
      <c r="A545" s="18"/>
      <c r="B545" s="18"/>
      <c r="C545" s="18"/>
      <c r="D545" s="18"/>
      <c r="E545" s="18"/>
      <c r="F545" s="106"/>
      <c r="G545" s="106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</row>
    <row r="546" spans="1:52" ht="15.75" customHeight="1">
      <c r="A546" s="18"/>
      <c r="B546" s="18"/>
      <c r="C546" s="18"/>
      <c r="D546" s="18"/>
      <c r="E546" s="18"/>
      <c r="F546" s="106"/>
      <c r="G546" s="106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</row>
    <row r="547" spans="1:52" ht="15.75" customHeight="1">
      <c r="A547" s="18"/>
      <c r="B547" s="18"/>
      <c r="C547" s="18"/>
      <c r="D547" s="18"/>
      <c r="E547" s="18"/>
      <c r="F547" s="106"/>
      <c r="G547" s="106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</row>
    <row r="548" spans="1:52" ht="15.75" customHeight="1">
      <c r="A548" s="18"/>
      <c r="B548" s="18"/>
      <c r="C548" s="18"/>
      <c r="D548" s="18"/>
      <c r="E548" s="18"/>
      <c r="F548" s="106"/>
      <c r="G548" s="106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</row>
    <row r="549" spans="1:52" ht="15.75" customHeight="1">
      <c r="A549" s="18"/>
      <c r="B549" s="18"/>
      <c r="C549" s="18"/>
      <c r="D549" s="18"/>
      <c r="E549" s="18"/>
      <c r="F549" s="106"/>
      <c r="G549" s="106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</row>
    <row r="550" spans="1:52" ht="15.75" customHeight="1">
      <c r="A550" s="18"/>
      <c r="B550" s="18"/>
      <c r="C550" s="18"/>
      <c r="D550" s="18"/>
      <c r="E550" s="18"/>
      <c r="F550" s="106"/>
      <c r="G550" s="106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</row>
    <row r="551" spans="1:52" ht="15.75" customHeight="1">
      <c r="A551" s="18"/>
      <c r="B551" s="18"/>
      <c r="C551" s="18"/>
      <c r="D551" s="18"/>
      <c r="E551" s="18"/>
      <c r="F551" s="106"/>
      <c r="G551" s="106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</row>
    <row r="552" spans="1:52" ht="15.75" customHeight="1">
      <c r="A552" s="18"/>
      <c r="B552" s="18"/>
      <c r="C552" s="18"/>
      <c r="D552" s="18"/>
      <c r="E552" s="18"/>
      <c r="F552" s="106"/>
      <c r="G552" s="106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</row>
    <row r="553" spans="1:52" ht="15.75" customHeight="1">
      <c r="A553" s="18"/>
      <c r="B553" s="18"/>
      <c r="C553" s="18"/>
      <c r="D553" s="18"/>
      <c r="E553" s="18"/>
      <c r="F553" s="106"/>
      <c r="G553" s="106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</row>
    <row r="554" spans="1:52" ht="15.75" customHeight="1">
      <c r="A554" s="18"/>
      <c r="B554" s="18"/>
      <c r="C554" s="18"/>
      <c r="D554" s="18"/>
      <c r="E554" s="18"/>
      <c r="F554" s="106"/>
      <c r="G554" s="106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</row>
    <row r="555" spans="1:52" ht="15.75" customHeight="1">
      <c r="A555" s="18"/>
      <c r="B555" s="18"/>
      <c r="C555" s="18"/>
      <c r="D555" s="18"/>
      <c r="E555" s="18"/>
      <c r="F555" s="106"/>
      <c r="G555" s="106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</row>
    <row r="556" spans="1:52" ht="15.75" customHeight="1">
      <c r="A556" s="18"/>
      <c r="B556" s="18"/>
      <c r="C556" s="18"/>
      <c r="D556" s="18"/>
      <c r="E556" s="18"/>
      <c r="F556" s="106"/>
      <c r="G556" s="106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</row>
    <row r="557" spans="1:52" ht="15.75" customHeight="1">
      <c r="A557" s="18"/>
      <c r="B557" s="18"/>
      <c r="C557" s="18"/>
      <c r="D557" s="18"/>
      <c r="E557" s="18"/>
      <c r="F557" s="106"/>
      <c r="G557" s="106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</row>
    <row r="558" spans="1:52" ht="15.75" customHeight="1">
      <c r="A558" s="18"/>
      <c r="B558" s="18"/>
      <c r="C558" s="18"/>
      <c r="D558" s="18"/>
      <c r="E558" s="18"/>
      <c r="F558" s="106"/>
      <c r="G558" s="106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</row>
    <row r="559" spans="1:52" ht="15.75" customHeight="1">
      <c r="A559" s="18"/>
      <c r="B559" s="18"/>
      <c r="C559" s="18"/>
      <c r="D559" s="18"/>
      <c r="E559" s="18"/>
      <c r="F559" s="106"/>
      <c r="G559" s="106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</row>
    <row r="560" spans="1:52" ht="15.75" customHeight="1">
      <c r="A560" s="18"/>
      <c r="B560" s="18"/>
      <c r="C560" s="18"/>
      <c r="D560" s="18"/>
      <c r="E560" s="18"/>
      <c r="F560" s="106"/>
      <c r="G560" s="106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</row>
    <row r="561" spans="1:52" ht="15.75" customHeight="1">
      <c r="A561" s="18"/>
      <c r="B561" s="18"/>
      <c r="C561" s="18"/>
      <c r="D561" s="18"/>
      <c r="E561" s="18"/>
      <c r="F561" s="106"/>
      <c r="G561" s="106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</row>
    <row r="562" spans="1:52" ht="15.75" customHeight="1">
      <c r="A562" s="18"/>
      <c r="B562" s="18"/>
      <c r="C562" s="18"/>
      <c r="D562" s="18"/>
      <c r="E562" s="18"/>
      <c r="F562" s="106"/>
      <c r="G562" s="106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</row>
    <row r="563" spans="1:52" ht="15.75" customHeight="1">
      <c r="A563" s="18"/>
      <c r="B563" s="18"/>
      <c r="C563" s="18"/>
      <c r="D563" s="18"/>
      <c r="E563" s="18"/>
      <c r="F563" s="106"/>
      <c r="G563" s="106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</row>
    <row r="564" spans="1:52" ht="15.75" customHeight="1">
      <c r="A564" s="18"/>
      <c r="B564" s="18"/>
      <c r="C564" s="18"/>
      <c r="D564" s="18"/>
      <c r="E564" s="18"/>
      <c r="F564" s="106"/>
      <c r="G564" s="106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</row>
    <row r="565" spans="1:52" ht="15.75" customHeight="1">
      <c r="A565" s="18"/>
      <c r="B565" s="18"/>
      <c r="C565" s="18"/>
      <c r="D565" s="18"/>
      <c r="E565" s="18"/>
      <c r="F565" s="106"/>
      <c r="G565" s="106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</row>
    <row r="566" spans="1:52" ht="15.75" customHeight="1">
      <c r="A566" s="18"/>
      <c r="B566" s="18"/>
      <c r="C566" s="18"/>
      <c r="D566" s="18"/>
      <c r="E566" s="18"/>
      <c r="F566" s="106"/>
      <c r="G566" s="106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</row>
    <row r="567" spans="1:52" ht="15.75" customHeight="1">
      <c r="A567" s="18"/>
      <c r="B567" s="18"/>
      <c r="C567" s="18"/>
      <c r="D567" s="18"/>
      <c r="E567" s="18"/>
      <c r="F567" s="106"/>
      <c r="G567" s="106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</row>
    <row r="568" spans="1:52" ht="15.75" customHeight="1">
      <c r="A568" s="18"/>
      <c r="B568" s="18"/>
      <c r="C568" s="18"/>
      <c r="D568" s="18"/>
      <c r="E568" s="18"/>
      <c r="F568" s="106"/>
      <c r="G568" s="106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</row>
    <row r="569" spans="1:52" ht="15.75" customHeight="1">
      <c r="A569" s="18"/>
      <c r="B569" s="18"/>
      <c r="C569" s="18"/>
      <c r="D569" s="18"/>
      <c r="E569" s="18"/>
      <c r="F569" s="106"/>
      <c r="G569" s="106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</row>
    <row r="570" spans="1:52" ht="15.75" customHeight="1">
      <c r="A570" s="18"/>
      <c r="B570" s="18"/>
      <c r="C570" s="18"/>
      <c r="D570" s="18"/>
      <c r="E570" s="18"/>
      <c r="F570" s="106"/>
      <c r="G570" s="106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</row>
    <row r="571" spans="1:52" ht="15.75" customHeight="1">
      <c r="A571" s="18"/>
      <c r="B571" s="18"/>
      <c r="C571" s="18"/>
      <c r="D571" s="18"/>
      <c r="E571" s="18"/>
      <c r="F571" s="106"/>
      <c r="G571" s="106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</row>
    <row r="572" spans="1:52" ht="15.75" customHeight="1">
      <c r="A572" s="18"/>
      <c r="B572" s="18"/>
      <c r="C572" s="18"/>
      <c r="D572" s="18"/>
      <c r="E572" s="18"/>
      <c r="F572" s="106"/>
      <c r="G572" s="106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</row>
    <row r="573" spans="1:52" ht="15.75" customHeight="1">
      <c r="A573" s="18"/>
      <c r="B573" s="18"/>
      <c r="C573" s="18"/>
      <c r="D573" s="18"/>
      <c r="E573" s="18"/>
      <c r="F573" s="106"/>
      <c r="G573" s="106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</row>
    <row r="574" spans="1:52" ht="15.75" customHeight="1">
      <c r="A574" s="18"/>
      <c r="B574" s="18"/>
      <c r="C574" s="18"/>
      <c r="D574" s="18"/>
      <c r="E574" s="18"/>
      <c r="F574" s="106"/>
      <c r="G574" s="106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</row>
    <row r="575" spans="1:52" ht="15.75" customHeight="1">
      <c r="A575" s="18"/>
      <c r="B575" s="18"/>
      <c r="C575" s="18"/>
      <c r="D575" s="18"/>
      <c r="E575" s="18"/>
      <c r="F575" s="106"/>
      <c r="G575" s="106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</row>
    <row r="576" spans="1:52" ht="15.75" customHeight="1">
      <c r="A576" s="18"/>
      <c r="B576" s="18"/>
      <c r="C576" s="18"/>
      <c r="D576" s="18"/>
      <c r="E576" s="18"/>
      <c r="F576" s="106"/>
      <c r="G576" s="106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</row>
    <row r="577" spans="1:52" ht="15.75" customHeight="1">
      <c r="A577" s="18"/>
      <c r="B577" s="18"/>
      <c r="C577" s="18"/>
      <c r="D577" s="18"/>
      <c r="E577" s="18"/>
      <c r="F577" s="106"/>
      <c r="G577" s="106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</row>
    <row r="578" spans="1:52" ht="15.75" customHeight="1">
      <c r="A578" s="18"/>
      <c r="B578" s="18"/>
      <c r="C578" s="18"/>
      <c r="D578" s="18"/>
      <c r="E578" s="18"/>
      <c r="F578" s="106"/>
      <c r="G578" s="106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</row>
    <row r="579" spans="1:52" ht="15.75" customHeight="1">
      <c r="A579" s="18"/>
      <c r="B579" s="18"/>
      <c r="C579" s="18"/>
      <c r="D579" s="18"/>
      <c r="E579" s="18"/>
      <c r="F579" s="106"/>
      <c r="G579" s="106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</row>
    <row r="580" spans="1:52" ht="15.75" customHeight="1">
      <c r="A580" s="18"/>
      <c r="B580" s="18"/>
      <c r="C580" s="18"/>
      <c r="D580" s="18"/>
      <c r="E580" s="18"/>
      <c r="F580" s="106"/>
      <c r="G580" s="106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</row>
    <row r="581" spans="1:52" ht="15.75" customHeight="1">
      <c r="A581" s="18"/>
      <c r="B581" s="18"/>
      <c r="C581" s="18"/>
      <c r="D581" s="18"/>
      <c r="E581" s="18"/>
      <c r="F581" s="106"/>
      <c r="G581" s="106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</row>
    <row r="582" spans="1:52" ht="15.75" customHeight="1">
      <c r="A582" s="18"/>
      <c r="B582" s="18"/>
      <c r="C582" s="18"/>
      <c r="D582" s="18"/>
      <c r="E582" s="18"/>
      <c r="F582" s="106"/>
      <c r="G582" s="106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</row>
    <row r="583" spans="1:52" ht="15.75" customHeight="1">
      <c r="A583" s="18"/>
      <c r="B583" s="18"/>
      <c r="C583" s="18"/>
      <c r="D583" s="18"/>
      <c r="E583" s="18"/>
      <c r="F583" s="106"/>
      <c r="G583" s="106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</row>
    <row r="584" spans="1:52" ht="15.75" customHeight="1">
      <c r="A584" s="18"/>
      <c r="B584" s="18"/>
      <c r="C584" s="18"/>
      <c r="D584" s="18"/>
      <c r="E584" s="18"/>
      <c r="F584" s="106"/>
      <c r="G584" s="106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</row>
    <row r="585" spans="1:52" ht="15.75" customHeight="1">
      <c r="A585" s="18"/>
      <c r="B585" s="18"/>
      <c r="C585" s="18"/>
      <c r="D585" s="18"/>
      <c r="E585" s="18"/>
      <c r="F585" s="106"/>
      <c r="G585" s="106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</row>
    <row r="586" spans="1:52" ht="15.75" customHeight="1">
      <c r="A586" s="18"/>
      <c r="B586" s="18"/>
      <c r="C586" s="18"/>
      <c r="D586" s="18"/>
      <c r="E586" s="18"/>
      <c r="F586" s="106"/>
      <c r="G586" s="106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</row>
    <row r="587" spans="1:52" ht="15.75" customHeight="1">
      <c r="A587" s="18"/>
      <c r="B587" s="18"/>
      <c r="C587" s="18"/>
      <c r="D587" s="18"/>
      <c r="E587" s="18"/>
      <c r="F587" s="106"/>
      <c r="G587" s="106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</row>
    <row r="588" spans="1:52" ht="15.75" customHeight="1">
      <c r="A588" s="18"/>
      <c r="B588" s="18"/>
      <c r="C588" s="18"/>
      <c r="D588" s="18"/>
      <c r="E588" s="18"/>
      <c r="F588" s="106"/>
      <c r="G588" s="106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</row>
    <row r="589" spans="1:52" ht="15.75" customHeight="1">
      <c r="A589" s="18"/>
      <c r="B589" s="18"/>
      <c r="C589" s="18"/>
      <c r="D589" s="18"/>
      <c r="E589" s="18"/>
      <c r="F589" s="106"/>
      <c r="G589" s="106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</row>
    <row r="590" spans="1:52" ht="15.75" customHeight="1">
      <c r="A590" s="18"/>
      <c r="B590" s="18"/>
      <c r="C590" s="18"/>
      <c r="D590" s="18"/>
      <c r="E590" s="18"/>
      <c r="F590" s="106"/>
      <c r="G590" s="106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</row>
    <row r="591" spans="1:52" ht="15.75" customHeight="1">
      <c r="A591" s="18"/>
      <c r="B591" s="18"/>
      <c r="C591" s="18"/>
      <c r="D591" s="18"/>
      <c r="E591" s="18"/>
      <c r="F591" s="106"/>
      <c r="G591" s="106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</row>
    <row r="592" spans="1:52" ht="15.75" customHeight="1">
      <c r="A592" s="18"/>
      <c r="B592" s="18"/>
      <c r="C592" s="18"/>
      <c r="D592" s="18"/>
      <c r="E592" s="18"/>
      <c r="F592" s="106"/>
      <c r="G592" s="106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</row>
    <row r="593" spans="1:52" ht="15.75" customHeight="1">
      <c r="A593" s="18"/>
      <c r="B593" s="18"/>
      <c r="C593" s="18"/>
      <c r="D593" s="18"/>
      <c r="E593" s="18"/>
      <c r="F593" s="106"/>
      <c r="G593" s="106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</row>
    <row r="594" spans="1:52" ht="15.75" customHeight="1">
      <c r="A594" s="18"/>
      <c r="B594" s="18"/>
      <c r="C594" s="18"/>
      <c r="D594" s="18"/>
      <c r="E594" s="18"/>
      <c r="F594" s="106"/>
      <c r="G594" s="106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</row>
    <row r="595" spans="1:52" ht="15.75" customHeight="1">
      <c r="A595" s="18"/>
      <c r="B595" s="18"/>
      <c r="C595" s="18"/>
      <c r="D595" s="18"/>
      <c r="E595" s="18"/>
      <c r="F595" s="106"/>
      <c r="G595" s="106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</row>
    <row r="596" spans="1:52" ht="15.75" customHeight="1">
      <c r="A596" s="18"/>
      <c r="B596" s="18"/>
      <c r="C596" s="18"/>
      <c r="D596" s="18"/>
      <c r="E596" s="18"/>
      <c r="F596" s="106"/>
      <c r="G596" s="106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</row>
    <row r="597" spans="1:52" ht="15.75" customHeight="1">
      <c r="A597" s="18"/>
      <c r="B597" s="18"/>
      <c r="C597" s="18"/>
      <c r="D597" s="18"/>
      <c r="E597" s="18"/>
      <c r="F597" s="106"/>
      <c r="G597" s="106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</row>
    <row r="598" spans="1:52" ht="15.75" customHeight="1">
      <c r="A598" s="18"/>
      <c r="B598" s="18"/>
      <c r="C598" s="18"/>
      <c r="D598" s="18"/>
      <c r="E598" s="18"/>
      <c r="F598" s="106"/>
      <c r="G598" s="106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</row>
    <row r="599" spans="1:52" ht="15.75" customHeight="1">
      <c r="A599" s="18"/>
      <c r="B599" s="18"/>
      <c r="C599" s="18"/>
      <c r="D599" s="18"/>
      <c r="E599" s="18"/>
      <c r="F599" s="106"/>
      <c r="G599" s="106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</row>
    <row r="600" spans="1:52" ht="15.75" customHeight="1">
      <c r="A600" s="18"/>
      <c r="B600" s="18"/>
      <c r="C600" s="18"/>
      <c r="D600" s="18"/>
      <c r="E600" s="18"/>
      <c r="F600" s="106"/>
      <c r="G600" s="106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</row>
    <row r="601" spans="1:52" ht="15.75" customHeight="1">
      <c r="A601" s="18"/>
      <c r="B601" s="18"/>
      <c r="C601" s="18"/>
      <c r="D601" s="18"/>
      <c r="E601" s="18"/>
      <c r="F601" s="106"/>
      <c r="G601" s="106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</row>
    <row r="602" spans="1:52" ht="15.75" customHeight="1">
      <c r="A602" s="18"/>
      <c r="B602" s="18"/>
      <c r="C602" s="18"/>
      <c r="D602" s="18"/>
      <c r="E602" s="18"/>
      <c r="F602" s="106"/>
      <c r="G602" s="106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</row>
    <row r="603" spans="1:52" ht="15.75" customHeight="1">
      <c r="A603" s="18"/>
      <c r="B603" s="18"/>
      <c r="C603" s="18"/>
      <c r="D603" s="18"/>
      <c r="E603" s="18"/>
      <c r="F603" s="106"/>
      <c r="G603" s="106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</row>
    <row r="604" spans="1:52" ht="15.75" customHeight="1">
      <c r="A604" s="18"/>
      <c r="B604" s="18"/>
      <c r="C604" s="18"/>
      <c r="D604" s="18"/>
      <c r="E604" s="18"/>
      <c r="F604" s="106"/>
      <c r="G604" s="106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</row>
    <row r="605" spans="1:52" ht="15.75" customHeight="1">
      <c r="A605" s="18"/>
      <c r="B605" s="18"/>
      <c r="C605" s="18"/>
      <c r="D605" s="18"/>
      <c r="E605" s="18"/>
      <c r="F605" s="106"/>
      <c r="G605" s="106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</row>
    <row r="606" spans="1:52" ht="15.75" customHeight="1">
      <c r="A606" s="18"/>
      <c r="B606" s="18"/>
      <c r="C606" s="18"/>
      <c r="D606" s="18"/>
      <c r="E606" s="18"/>
      <c r="F606" s="106"/>
      <c r="G606" s="106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</row>
    <row r="607" spans="1:52" ht="15.75" customHeight="1">
      <c r="A607" s="18"/>
      <c r="B607" s="18"/>
      <c r="C607" s="18"/>
      <c r="D607" s="18"/>
      <c r="E607" s="18"/>
      <c r="F607" s="106"/>
      <c r="G607" s="106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</row>
    <row r="608" spans="1:52" ht="15.75" customHeight="1">
      <c r="A608" s="18"/>
      <c r="B608" s="18"/>
      <c r="C608" s="18"/>
      <c r="D608" s="18"/>
      <c r="E608" s="18"/>
      <c r="F608" s="106"/>
      <c r="G608" s="106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</row>
    <row r="609" spans="1:52" ht="15.75" customHeight="1">
      <c r="A609" s="18"/>
      <c r="B609" s="18"/>
      <c r="C609" s="18"/>
      <c r="D609" s="18"/>
      <c r="E609" s="18"/>
      <c r="F609" s="106"/>
      <c r="G609" s="106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</row>
    <row r="610" spans="1:52" ht="15.75" customHeight="1">
      <c r="A610" s="18"/>
      <c r="B610" s="18"/>
      <c r="C610" s="18"/>
      <c r="D610" s="18"/>
      <c r="E610" s="18"/>
      <c r="F610" s="106"/>
      <c r="G610" s="106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</row>
    <row r="611" spans="1:52" ht="15.75" customHeight="1">
      <c r="A611" s="18"/>
      <c r="B611" s="18"/>
      <c r="C611" s="18"/>
      <c r="D611" s="18"/>
      <c r="E611" s="18"/>
      <c r="F611" s="106"/>
      <c r="G611" s="106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</row>
    <row r="612" spans="1:52" ht="15.75" customHeight="1">
      <c r="A612" s="18"/>
      <c r="B612" s="18"/>
      <c r="C612" s="18"/>
      <c r="D612" s="18"/>
      <c r="E612" s="18"/>
      <c r="F612" s="106"/>
      <c r="G612" s="106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</row>
    <row r="613" spans="1:52" ht="15.75" customHeight="1">
      <c r="A613" s="18"/>
      <c r="B613" s="18"/>
      <c r="C613" s="18"/>
      <c r="D613" s="18"/>
      <c r="E613" s="18"/>
      <c r="F613" s="106"/>
      <c r="G613" s="106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</row>
    <row r="614" spans="1:52" ht="15.75" customHeight="1">
      <c r="A614" s="18"/>
      <c r="B614" s="18"/>
      <c r="C614" s="18"/>
      <c r="D614" s="18"/>
      <c r="E614" s="18"/>
      <c r="F614" s="106"/>
      <c r="G614" s="106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</row>
    <row r="615" spans="1:52" ht="15.75" customHeight="1">
      <c r="A615" s="18"/>
      <c r="B615" s="18"/>
      <c r="C615" s="18"/>
      <c r="D615" s="18"/>
      <c r="E615" s="18"/>
      <c r="F615" s="106"/>
      <c r="G615" s="106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</row>
    <row r="616" spans="1:52" ht="15.75" customHeight="1">
      <c r="A616" s="18"/>
      <c r="B616" s="18"/>
      <c r="C616" s="18"/>
      <c r="D616" s="18"/>
      <c r="E616" s="18"/>
      <c r="F616" s="106"/>
      <c r="G616" s="106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</row>
    <row r="617" spans="1:52" ht="15.75" customHeight="1">
      <c r="A617" s="18"/>
      <c r="B617" s="18"/>
      <c r="C617" s="18"/>
      <c r="D617" s="18"/>
      <c r="E617" s="18"/>
      <c r="F617" s="106"/>
      <c r="G617" s="106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</row>
    <row r="618" spans="1:52" ht="15.75" customHeight="1">
      <c r="A618" s="18"/>
      <c r="B618" s="18"/>
      <c r="C618" s="18"/>
      <c r="D618" s="18"/>
      <c r="E618" s="18"/>
      <c r="F618" s="106"/>
      <c r="G618" s="106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</row>
    <row r="619" spans="1:52" ht="15.75" customHeight="1">
      <c r="A619" s="18"/>
      <c r="B619" s="18"/>
      <c r="C619" s="18"/>
      <c r="D619" s="18"/>
      <c r="E619" s="18"/>
      <c r="F619" s="106"/>
      <c r="G619" s="106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</row>
    <row r="620" spans="1:52" ht="15.75" customHeight="1">
      <c r="A620" s="18"/>
      <c r="B620" s="18"/>
      <c r="C620" s="18"/>
      <c r="D620" s="18"/>
      <c r="E620" s="18"/>
      <c r="F620" s="106"/>
      <c r="G620" s="106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</row>
    <row r="621" spans="1:52" ht="15.75" customHeight="1">
      <c r="A621" s="18"/>
      <c r="B621" s="18"/>
      <c r="C621" s="18"/>
      <c r="D621" s="18"/>
      <c r="E621" s="18"/>
      <c r="F621" s="106"/>
      <c r="G621" s="106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</row>
    <row r="622" spans="1:52" ht="15.75" customHeight="1">
      <c r="A622" s="18"/>
      <c r="B622" s="18"/>
      <c r="C622" s="18"/>
      <c r="D622" s="18"/>
      <c r="E622" s="18"/>
      <c r="F622" s="106"/>
      <c r="G622" s="106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</row>
    <row r="623" spans="1:52" ht="15.75" customHeight="1">
      <c r="A623" s="18"/>
      <c r="B623" s="18"/>
      <c r="C623" s="18"/>
      <c r="D623" s="18"/>
      <c r="E623" s="18"/>
      <c r="F623" s="106"/>
      <c r="G623" s="106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</row>
    <row r="624" spans="1:52" ht="15.75" customHeight="1">
      <c r="A624" s="18"/>
      <c r="B624" s="18"/>
      <c r="C624" s="18"/>
      <c r="D624" s="18"/>
      <c r="E624" s="18"/>
      <c r="F624" s="106"/>
      <c r="G624" s="106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</row>
    <row r="625" spans="1:52" ht="15.75" customHeight="1">
      <c r="A625" s="18"/>
      <c r="B625" s="18"/>
      <c r="C625" s="18"/>
      <c r="D625" s="18"/>
      <c r="E625" s="18"/>
      <c r="F625" s="106"/>
      <c r="G625" s="106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</row>
    <row r="626" spans="1:52" ht="15.75" customHeight="1">
      <c r="A626" s="18"/>
      <c r="B626" s="18"/>
      <c r="C626" s="18"/>
      <c r="D626" s="18"/>
      <c r="E626" s="18"/>
      <c r="F626" s="106"/>
      <c r="G626" s="106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</row>
    <row r="627" spans="1:52" ht="15.75" customHeight="1">
      <c r="A627" s="18"/>
      <c r="B627" s="18"/>
      <c r="C627" s="18"/>
      <c r="D627" s="18"/>
      <c r="E627" s="18"/>
      <c r="F627" s="106"/>
      <c r="G627" s="106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</row>
    <row r="628" spans="1:52" ht="15.75" customHeight="1">
      <c r="A628" s="18"/>
      <c r="B628" s="18"/>
      <c r="C628" s="18"/>
      <c r="D628" s="18"/>
      <c r="E628" s="18"/>
      <c r="F628" s="106"/>
      <c r="G628" s="106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</row>
    <row r="629" spans="1:52" ht="15.75" customHeight="1">
      <c r="A629" s="18"/>
      <c r="B629" s="18"/>
      <c r="C629" s="18"/>
      <c r="D629" s="18"/>
      <c r="E629" s="18"/>
      <c r="F629" s="106"/>
      <c r="G629" s="106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</row>
    <row r="630" spans="1:52" ht="15.75" customHeight="1">
      <c r="A630" s="18"/>
      <c r="B630" s="18"/>
      <c r="C630" s="18"/>
      <c r="D630" s="18"/>
      <c r="E630" s="18"/>
      <c r="F630" s="106"/>
      <c r="G630" s="106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</row>
    <row r="631" spans="1:52" ht="15.75" customHeight="1">
      <c r="A631" s="18"/>
      <c r="B631" s="18"/>
      <c r="C631" s="18"/>
      <c r="D631" s="18"/>
      <c r="E631" s="18"/>
      <c r="F631" s="106"/>
      <c r="G631" s="106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</row>
    <row r="632" spans="1:52" ht="15.75" customHeight="1">
      <c r="A632" s="18"/>
      <c r="B632" s="18"/>
      <c r="C632" s="18"/>
      <c r="D632" s="18"/>
      <c r="E632" s="18"/>
      <c r="F632" s="106"/>
      <c r="G632" s="106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</row>
    <row r="633" spans="1:52" ht="15.75" customHeight="1">
      <c r="A633" s="18"/>
      <c r="B633" s="18"/>
      <c r="C633" s="18"/>
      <c r="D633" s="18"/>
      <c r="E633" s="18"/>
      <c r="F633" s="106"/>
      <c r="G633" s="106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</row>
    <row r="634" spans="1:52" ht="15.75" customHeight="1">
      <c r="A634" s="18"/>
      <c r="B634" s="18"/>
      <c r="C634" s="18"/>
      <c r="D634" s="18"/>
      <c r="E634" s="18"/>
      <c r="F634" s="106"/>
      <c r="G634" s="106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</row>
    <row r="635" spans="1:52" ht="15.75" customHeight="1">
      <c r="A635" s="18"/>
      <c r="B635" s="18"/>
      <c r="C635" s="18"/>
      <c r="D635" s="18"/>
      <c r="E635" s="18"/>
      <c r="F635" s="106"/>
      <c r="G635" s="106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</row>
    <row r="636" spans="1:52" ht="15.75" customHeight="1">
      <c r="A636" s="18"/>
      <c r="B636" s="18"/>
      <c r="C636" s="18"/>
      <c r="D636" s="18"/>
      <c r="E636" s="18"/>
      <c r="F636" s="106"/>
      <c r="G636" s="106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</row>
    <row r="637" spans="1:52" ht="15.75" customHeight="1">
      <c r="A637" s="18"/>
      <c r="B637" s="18"/>
      <c r="C637" s="18"/>
      <c r="D637" s="18"/>
      <c r="E637" s="18"/>
      <c r="F637" s="106"/>
      <c r="G637" s="106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</row>
    <row r="638" spans="1:52" ht="15.75" customHeight="1">
      <c r="A638" s="18"/>
      <c r="B638" s="18"/>
      <c r="C638" s="18"/>
      <c r="D638" s="18"/>
      <c r="E638" s="18"/>
      <c r="F638" s="106"/>
      <c r="G638" s="106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</row>
    <row r="639" spans="1:52" ht="15.75" customHeight="1">
      <c r="A639" s="18"/>
      <c r="B639" s="18"/>
      <c r="C639" s="18"/>
      <c r="D639" s="18"/>
      <c r="E639" s="18"/>
      <c r="F639" s="106"/>
      <c r="G639" s="106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</row>
    <row r="640" spans="1:52" ht="15.75" customHeight="1">
      <c r="A640" s="18"/>
      <c r="B640" s="18"/>
      <c r="C640" s="18"/>
      <c r="D640" s="18"/>
      <c r="E640" s="18"/>
      <c r="F640" s="106"/>
      <c r="G640" s="106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</row>
    <row r="641" spans="1:52" ht="15.75" customHeight="1">
      <c r="A641" s="18"/>
      <c r="B641" s="18"/>
      <c r="C641" s="18"/>
      <c r="D641" s="18"/>
      <c r="E641" s="18"/>
      <c r="F641" s="106"/>
      <c r="G641" s="106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</row>
    <row r="642" spans="1:52" ht="15.75" customHeight="1">
      <c r="A642" s="18"/>
      <c r="B642" s="18"/>
      <c r="C642" s="18"/>
      <c r="D642" s="18"/>
      <c r="E642" s="18"/>
      <c r="F642" s="106"/>
      <c r="G642" s="106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</row>
    <row r="643" spans="1:52" ht="15.75" customHeight="1">
      <c r="A643" s="18"/>
      <c r="B643" s="18"/>
      <c r="C643" s="18"/>
      <c r="D643" s="18"/>
      <c r="E643" s="18"/>
      <c r="F643" s="106"/>
      <c r="G643" s="106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</row>
    <row r="644" spans="1:52" ht="15.75" customHeight="1">
      <c r="A644" s="18"/>
      <c r="B644" s="18"/>
      <c r="C644" s="18"/>
      <c r="D644" s="18"/>
      <c r="E644" s="18"/>
      <c r="F644" s="106"/>
      <c r="G644" s="106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</row>
    <row r="645" spans="1:52" ht="15.75" customHeight="1">
      <c r="A645" s="18"/>
      <c r="B645" s="18"/>
      <c r="C645" s="18"/>
      <c r="D645" s="18"/>
      <c r="E645" s="18"/>
      <c r="F645" s="106"/>
      <c r="G645" s="106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</row>
    <row r="646" spans="1:52" ht="15.75" customHeight="1">
      <c r="A646" s="18"/>
      <c r="B646" s="18"/>
      <c r="C646" s="18"/>
      <c r="D646" s="18"/>
      <c r="E646" s="18"/>
      <c r="F646" s="106"/>
      <c r="G646" s="106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</row>
    <row r="647" spans="1:52" ht="15.75" customHeight="1">
      <c r="A647" s="18"/>
      <c r="B647" s="18"/>
      <c r="C647" s="18"/>
      <c r="D647" s="18"/>
      <c r="E647" s="18"/>
      <c r="F647" s="106"/>
      <c r="G647" s="106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</row>
    <row r="648" spans="1:52" ht="15.75" customHeight="1">
      <c r="A648" s="18"/>
      <c r="B648" s="18"/>
      <c r="C648" s="18"/>
      <c r="D648" s="18"/>
      <c r="E648" s="18"/>
      <c r="F648" s="106"/>
      <c r="G648" s="106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</row>
    <row r="649" spans="1:52" ht="15.75" customHeight="1">
      <c r="A649" s="18"/>
      <c r="B649" s="18"/>
      <c r="C649" s="18"/>
      <c r="D649" s="18"/>
      <c r="E649" s="18"/>
      <c r="F649" s="106"/>
      <c r="G649" s="106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</row>
    <row r="650" spans="1:52" ht="15.75" customHeight="1">
      <c r="A650" s="18"/>
      <c r="B650" s="18"/>
      <c r="C650" s="18"/>
      <c r="D650" s="18"/>
      <c r="E650" s="18"/>
      <c r="F650" s="106"/>
      <c r="G650" s="106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</row>
    <row r="651" spans="1:52" ht="15.75" customHeight="1">
      <c r="A651" s="18"/>
      <c r="B651" s="18"/>
      <c r="C651" s="18"/>
      <c r="D651" s="18"/>
      <c r="E651" s="18"/>
      <c r="F651" s="106"/>
      <c r="G651" s="106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</row>
    <row r="652" spans="1:52" ht="15.75" customHeight="1">
      <c r="A652" s="18"/>
      <c r="B652" s="18"/>
      <c r="C652" s="18"/>
      <c r="D652" s="18"/>
      <c r="E652" s="18"/>
      <c r="F652" s="106"/>
      <c r="G652" s="106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</row>
    <row r="653" spans="1:52" ht="15.75" customHeight="1">
      <c r="A653" s="18"/>
      <c r="B653" s="18"/>
      <c r="C653" s="18"/>
      <c r="D653" s="18"/>
      <c r="E653" s="18"/>
      <c r="F653" s="106"/>
      <c r="G653" s="106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</row>
    <row r="654" spans="1:52" ht="15.75" customHeight="1">
      <c r="A654" s="18"/>
      <c r="B654" s="18"/>
      <c r="C654" s="18"/>
      <c r="D654" s="18"/>
      <c r="E654" s="18"/>
      <c r="F654" s="106"/>
      <c r="G654" s="106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</row>
    <row r="655" spans="1:52" ht="15.75" customHeight="1">
      <c r="A655" s="18"/>
      <c r="B655" s="18"/>
      <c r="C655" s="18"/>
      <c r="D655" s="18"/>
      <c r="E655" s="18"/>
      <c r="F655" s="106"/>
      <c r="G655" s="106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</row>
    <row r="656" spans="1:52" ht="15.75" customHeight="1">
      <c r="A656" s="18"/>
      <c r="B656" s="18"/>
      <c r="C656" s="18"/>
      <c r="D656" s="18"/>
      <c r="E656" s="18"/>
      <c r="F656" s="106"/>
      <c r="G656" s="106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</row>
    <row r="657" spans="1:52" ht="15.75" customHeight="1">
      <c r="A657" s="18"/>
      <c r="B657" s="18"/>
      <c r="C657" s="18"/>
      <c r="D657" s="18"/>
      <c r="E657" s="18"/>
      <c r="F657" s="106"/>
      <c r="G657" s="106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</row>
    <row r="658" spans="1:52" ht="15.75" customHeight="1">
      <c r="A658" s="18"/>
      <c r="B658" s="18"/>
      <c r="C658" s="18"/>
      <c r="D658" s="18"/>
      <c r="E658" s="18"/>
      <c r="F658" s="106"/>
      <c r="G658" s="106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</row>
    <row r="659" spans="1:52" ht="15.75" customHeight="1">
      <c r="A659" s="18"/>
      <c r="B659" s="18"/>
      <c r="C659" s="18"/>
      <c r="D659" s="18"/>
      <c r="E659" s="18"/>
      <c r="F659" s="106"/>
      <c r="G659" s="106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</row>
    <row r="660" spans="1:52" ht="15.75" customHeight="1">
      <c r="A660" s="18"/>
      <c r="B660" s="18"/>
      <c r="C660" s="18"/>
      <c r="D660" s="18"/>
      <c r="E660" s="18"/>
      <c r="F660" s="106"/>
      <c r="G660" s="106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</row>
    <row r="661" spans="1:52" ht="15.75" customHeight="1">
      <c r="A661" s="18"/>
      <c r="B661" s="18"/>
      <c r="C661" s="18"/>
      <c r="D661" s="18"/>
      <c r="E661" s="18"/>
      <c r="F661" s="106"/>
      <c r="G661" s="106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</row>
    <row r="662" spans="1:52" ht="15.75" customHeight="1">
      <c r="A662" s="18"/>
      <c r="B662" s="18"/>
      <c r="C662" s="18"/>
      <c r="D662" s="18"/>
      <c r="E662" s="18"/>
      <c r="F662" s="106"/>
      <c r="G662" s="106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</row>
    <row r="663" spans="1:52" ht="15.75" customHeight="1">
      <c r="A663" s="18"/>
      <c r="B663" s="18"/>
      <c r="C663" s="18"/>
      <c r="D663" s="18"/>
      <c r="E663" s="18"/>
      <c r="F663" s="106"/>
      <c r="G663" s="106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</row>
    <row r="664" spans="1:52" ht="15.75" customHeight="1">
      <c r="A664" s="18"/>
      <c r="B664" s="18"/>
      <c r="C664" s="18"/>
      <c r="D664" s="18"/>
      <c r="E664" s="18"/>
      <c r="F664" s="106"/>
      <c r="G664" s="106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</row>
    <row r="665" spans="1:52" ht="15.75" customHeight="1">
      <c r="A665" s="18"/>
      <c r="B665" s="18"/>
      <c r="C665" s="18"/>
      <c r="D665" s="18"/>
      <c r="E665" s="18"/>
      <c r="F665" s="106"/>
      <c r="G665" s="106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</row>
    <row r="666" spans="1:52" ht="15.75" customHeight="1">
      <c r="A666" s="18"/>
      <c r="B666" s="18"/>
      <c r="C666" s="18"/>
      <c r="D666" s="18"/>
      <c r="E666" s="18"/>
      <c r="F666" s="106"/>
      <c r="G666" s="106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</row>
    <row r="667" spans="1:52" ht="15.75" customHeight="1">
      <c r="A667" s="18"/>
      <c r="B667" s="18"/>
      <c r="C667" s="18"/>
      <c r="D667" s="18"/>
      <c r="E667" s="18"/>
      <c r="F667" s="106"/>
      <c r="G667" s="106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</row>
    <row r="668" spans="1:52" ht="15.75" customHeight="1">
      <c r="A668" s="18"/>
      <c r="B668" s="18"/>
      <c r="C668" s="18"/>
      <c r="D668" s="18"/>
      <c r="E668" s="18"/>
      <c r="F668" s="106"/>
      <c r="G668" s="106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</row>
    <row r="669" spans="1:52" ht="15.75" customHeight="1">
      <c r="A669" s="18"/>
      <c r="B669" s="18"/>
      <c r="C669" s="18"/>
      <c r="D669" s="18"/>
      <c r="E669" s="18"/>
      <c r="F669" s="106"/>
      <c r="G669" s="106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</row>
    <row r="670" spans="1:52" ht="15.75" customHeight="1">
      <c r="A670" s="18"/>
      <c r="B670" s="18"/>
      <c r="C670" s="18"/>
      <c r="D670" s="18"/>
      <c r="E670" s="18"/>
      <c r="F670" s="106"/>
      <c r="G670" s="106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</row>
    <row r="671" spans="1:52" ht="15.75" customHeight="1">
      <c r="A671" s="18"/>
      <c r="B671" s="18"/>
      <c r="C671" s="18"/>
      <c r="D671" s="18"/>
      <c r="E671" s="18"/>
      <c r="F671" s="106"/>
      <c r="G671" s="106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</row>
    <row r="672" spans="1:52" ht="15.75" customHeight="1">
      <c r="A672" s="18"/>
      <c r="B672" s="18"/>
      <c r="C672" s="18"/>
      <c r="D672" s="18"/>
      <c r="E672" s="18"/>
      <c r="F672" s="106"/>
      <c r="G672" s="106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</row>
    <row r="673" spans="1:52" ht="15.75" customHeight="1">
      <c r="A673" s="18"/>
      <c r="B673" s="18"/>
      <c r="C673" s="18"/>
      <c r="D673" s="18"/>
      <c r="E673" s="18"/>
      <c r="F673" s="106"/>
      <c r="G673" s="106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</row>
    <row r="674" spans="1:52" ht="15.75" customHeight="1">
      <c r="A674" s="18"/>
      <c r="B674" s="18"/>
      <c r="C674" s="18"/>
      <c r="D674" s="18"/>
      <c r="E674" s="18"/>
      <c r="F674" s="106"/>
      <c r="G674" s="106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</row>
    <row r="675" spans="1:52" ht="15.75" customHeight="1">
      <c r="A675" s="18"/>
      <c r="B675" s="18"/>
      <c r="C675" s="18"/>
      <c r="D675" s="18"/>
      <c r="E675" s="18"/>
      <c r="F675" s="106"/>
      <c r="G675" s="106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</row>
    <row r="676" spans="1:52" ht="15.75" customHeight="1">
      <c r="A676" s="18"/>
      <c r="B676" s="18"/>
      <c r="C676" s="18"/>
      <c r="D676" s="18"/>
      <c r="E676" s="18"/>
      <c r="F676" s="106"/>
      <c r="G676" s="106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</row>
    <row r="677" spans="1:52" ht="15.75" customHeight="1">
      <c r="A677" s="18"/>
      <c r="B677" s="18"/>
      <c r="C677" s="18"/>
      <c r="D677" s="18"/>
      <c r="E677" s="18"/>
      <c r="F677" s="106"/>
      <c r="G677" s="106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</row>
    <row r="678" spans="1:52" ht="15.75" customHeight="1">
      <c r="A678" s="18"/>
      <c r="B678" s="18"/>
      <c r="C678" s="18"/>
      <c r="D678" s="18"/>
      <c r="E678" s="18"/>
      <c r="F678" s="106"/>
      <c r="G678" s="106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</row>
    <row r="679" spans="1:52" ht="15.75" customHeight="1">
      <c r="A679" s="18"/>
      <c r="B679" s="18"/>
      <c r="C679" s="18"/>
      <c r="D679" s="18"/>
      <c r="E679" s="18"/>
      <c r="F679" s="106"/>
      <c r="G679" s="106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</row>
    <row r="680" spans="1:52" ht="15.75" customHeight="1">
      <c r="A680" s="18"/>
      <c r="B680" s="18"/>
      <c r="C680" s="18"/>
      <c r="D680" s="18"/>
      <c r="E680" s="18"/>
      <c r="F680" s="106"/>
      <c r="G680" s="106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</row>
    <row r="681" spans="1:52" ht="15.75" customHeight="1">
      <c r="A681" s="18"/>
      <c r="B681" s="18"/>
      <c r="C681" s="18"/>
      <c r="D681" s="18"/>
      <c r="E681" s="18"/>
      <c r="F681" s="106"/>
      <c r="G681" s="106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</row>
    <row r="682" spans="1:52" ht="15.75" customHeight="1">
      <c r="A682" s="18"/>
      <c r="B682" s="18"/>
      <c r="C682" s="18"/>
      <c r="D682" s="18"/>
      <c r="E682" s="18"/>
      <c r="F682" s="106"/>
      <c r="G682" s="106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</row>
    <row r="683" spans="1:52" ht="15.75" customHeight="1">
      <c r="A683" s="18"/>
      <c r="B683" s="18"/>
      <c r="C683" s="18"/>
      <c r="D683" s="18"/>
      <c r="E683" s="18"/>
      <c r="F683" s="106"/>
      <c r="G683" s="106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</row>
    <row r="684" spans="1:52" ht="15.75" customHeight="1">
      <c r="A684" s="18"/>
      <c r="B684" s="18"/>
      <c r="C684" s="18"/>
      <c r="D684" s="18"/>
      <c r="E684" s="18"/>
      <c r="F684" s="106"/>
      <c r="G684" s="106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</row>
    <row r="685" spans="1:52" ht="15.75" customHeight="1">
      <c r="A685" s="18"/>
      <c r="B685" s="18"/>
      <c r="C685" s="18"/>
      <c r="D685" s="18"/>
      <c r="E685" s="18"/>
      <c r="F685" s="106"/>
      <c r="G685" s="106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</row>
    <row r="686" spans="1:52" ht="15.75" customHeight="1">
      <c r="A686" s="18"/>
      <c r="B686" s="18"/>
      <c r="C686" s="18"/>
      <c r="D686" s="18"/>
      <c r="E686" s="18"/>
      <c r="F686" s="106"/>
      <c r="G686" s="106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</row>
    <row r="687" spans="1:52" ht="15.75" customHeight="1">
      <c r="A687" s="18"/>
      <c r="B687" s="18"/>
      <c r="C687" s="18"/>
      <c r="D687" s="18"/>
      <c r="E687" s="18"/>
      <c r="F687" s="106"/>
      <c r="G687" s="106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</row>
    <row r="688" spans="1:52" ht="15.75" customHeight="1">
      <c r="A688" s="18"/>
      <c r="B688" s="18"/>
      <c r="C688" s="18"/>
      <c r="D688" s="18"/>
      <c r="E688" s="18"/>
      <c r="F688" s="106"/>
      <c r="G688" s="106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</row>
    <row r="689" spans="1:52" ht="15.75" customHeight="1">
      <c r="A689" s="18"/>
      <c r="B689" s="18"/>
      <c r="C689" s="18"/>
      <c r="D689" s="18"/>
      <c r="E689" s="18"/>
      <c r="F689" s="106"/>
      <c r="G689" s="106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</row>
    <row r="690" spans="1:52" ht="15.75" customHeight="1">
      <c r="A690" s="18"/>
      <c r="B690" s="18"/>
      <c r="C690" s="18"/>
      <c r="D690" s="18"/>
      <c r="E690" s="18"/>
      <c r="F690" s="106"/>
      <c r="G690" s="106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</row>
    <row r="691" spans="1:52" ht="15.75" customHeight="1">
      <c r="A691" s="18"/>
      <c r="B691" s="18"/>
      <c r="C691" s="18"/>
      <c r="D691" s="18"/>
      <c r="E691" s="18"/>
      <c r="F691" s="106"/>
      <c r="G691" s="106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</row>
    <row r="692" spans="1:52" ht="15.75" customHeight="1">
      <c r="A692" s="18"/>
      <c r="B692" s="18"/>
      <c r="C692" s="18"/>
      <c r="D692" s="18"/>
      <c r="E692" s="18"/>
      <c r="F692" s="106"/>
      <c r="G692" s="106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</row>
    <row r="693" spans="1:52" ht="15.75" customHeight="1">
      <c r="A693" s="18"/>
      <c r="B693" s="18"/>
      <c r="C693" s="18"/>
      <c r="D693" s="18"/>
      <c r="E693" s="18"/>
      <c r="F693" s="106"/>
      <c r="G693" s="106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</row>
    <row r="694" spans="1:52" ht="15.75" customHeight="1">
      <c r="A694" s="18"/>
      <c r="B694" s="18"/>
      <c r="C694" s="18"/>
      <c r="D694" s="18"/>
      <c r="E694" s="18"/>
      <c r="F694" s="106"/>
      <c r="G694" s="106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</row>
    <row r="695" spans="1:52" ht="15.75" customHeight="1">
      <c r="A695" s="18"/>
      <c r="B695" s="18"/>
      <c r="C695" s="18"/>
      <c r="D695" s="18"/>
      <c r="E695" s="18"/>
      <c r="F695" s="106"/>
      <c r="G695" s="106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</row>
    <row r="696" spans="1:52" ht="15.75" customHeight="1">
      <c r="A696" s="18"/>
      <c r="B696" s="18"/>
      <c r="C696" s="18"/>
      <c r="D696" s="18"/>
      <c r="E696" s="18"/>
      <c r="F696" s="106"/>
      <c r="G696" s="106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</row>
    <row r="697" spans="1:52" ht="15.75" customHeight="1">
      <c r="A697" s="18"/>
      <c r="B697" s="18"/>
      <c r="C697" s="18"/>
      <c r="D697" s="18"/>
      <c r="E697" s="18"/>
      <c r="F697" s="106"/>
      <c r="G697" s="106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</row>
    <row r="698" spans="1:52" ht="15.75" customHeight="1">
      <c r="A698" s="18"/>
      <c r="B698" s="18"/>
      <c r="C698" s="18"/>
      <c r="D698" s="18"/>
      <c r="E698" s="18"/>
      <c r="F698" s="106"/>
      <c r="G698" s="106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</row>
    <row r="699" spans="1:52" ht="15.75" customHeight="1">
      <c r="A699" s="18"/>
      <c r="B699" s="18"/>
      <c r="C699" s="18"/>
      <c r="D699" s="18"/>
      <c r="E699" s="18"/>
      <c r="F699" s="106"/>
      <c r="G699" s="106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</row>
    <row r="700" spans="1:52" ht="15.75" customHeight="1">
      <c r="A700" s="18"/>
      <c r="B700" s="18"/>
      <c r="C700" s="18"/>
      <c r="D700" s="18"/>
      <c r="E700" s="18"/>
      <c r="F700" s="106"/>
      <c r="G700" s="106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</row>
    <row r="701" spans="1:52" ht="15.75" customHeight="1">
      <c r="A701" s="18"/>
      <c r="B701" s="18"/>
      <c r="C701" s="18"/>
      <c r="D701" s="18"/>
      <c r="E701" s="18"/>
      <c r="F701" s="106"/>
      <c r="G701" s="106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</row>
    <row r="702" spans="1:52" ht="15.75" customHeight="1">
      <c r="A702" s="18"/>
      <c r="B702" s="18"/>
      <c r="C702" s="18"/>
      <c r="D702" s="18"/>
      <c r="E702" s="18"/>
      <c r="F702" s="106"/>
      <c r="G702" s="106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</row>
    <row r="703" spans="1:52" ht="15.75" customHeight="1">
      <c r="A703" s="18"/>
      <c r="B703" s="18"/>
      <c r="C703" s="18"/>
      <c r="D703" s="18"/>
      <c r="E703" s="18"/>
      <c r="F703" s="106"/>
      <c r="G703" s="106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</row>
    <row r="704" spans="1:52" ht="15.75" customHeight="1">
      <c r="A704" s="18"/>
      <c r="B704" s="18"/>
      <c r="C704" s="18"/>
      <c r="D704" s="18"/>
      <c r="E704" s="18"/>
      <c r="F704" s="106"/>
      <c r="G704" s="106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</row>
    <row r="705" spans="1:52" ht="15.75" customHeight="1">
      <c r="A705" s="18"/>
      <c r="B705" s="18"/>
      <c r="C705" s="18"/>
      <c r="D705" s="18"/>
      <c r="E705" s="18"/>
      <c r="F705" s="106"/>
      <c r="G705" s="106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</row>
    <row r="706" spans="1:52" ht="15.75" customHeight="1">
      <c r="A706" s="18"/>
      <c r="B706" s="18"/>
      <c r="C706" s="18"/>
      <c r="D706" s="18"/>
      <c r="E706" s="18"/>
      <c r="F706" s="106"/>
      <c r="G706" s="106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</row>
    <row r="707" spans="1:52" ht="15.75" customHeight="1">
      <c r="A707" s="18"/>
      <c r="B707" s="18"/>
      <c r="C707" s="18"/>
      <c r="D707" s="18"/>
      <c r="E707" s="18"/>
      <c r="F707" s="106"/>
      <c r="G707" s="106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</row>
    <row r="708" spans="1:52" ht="15.75" customHeight="1">
      <c r="A708" s="18"/>
      <c r="B708" s="18"/>
      <c r="C708" s="18"/>
      <c r="D708" s="18"/>
      <c r="E708" s="18"/>
      <c r="F708" s="106"/>
      <c r="G708" s="106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</row>
    <row r="709" spans="1:52" ht="15.75" customHeight="1">
      <c r="A709" s="18"/>
      <c r="B709" s="18"/>
      <c r="C709" s="18"/>
      <c r="D709" s="18"/>
      <c r="E709" s="18"/>
      <c r="F709" s="106"/>
      <c r="G709" s="106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</row>
    <row r="710" spans="1:52" ht="15.75" customHeight="1">
      <c r="A710" s="18"/>
      <c r="B710" s="18"/>
      <c r="C710" s="18"/>
      <c r="D710" s="18"/>
      <c r="E710" s="18"/>
      <c r="F710" s="106"/>
      <c r="G710" s="106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</row>
    <row r="711" spans="1:52" ht="15.75" customHeight="1">
      <c r="A711" s="18"/>
      <c r="B711" s="18"/>
      <c r="C711" s="18"/>
      <c r="D711" s="18"/>
      <c r="E711" s="18"/>
      <c r="F711" s="106"/>
      <c r="G711" s="106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</row>
    <row r="712" spans="1:52" ht="15.75" customHeight="1">
      <c r="A712" s="18"/>
      <c r="B712" s="18"/>
      <c r="C712" s="18"/>
      <c r="D712" s="18"/>
      <c r="E712" s="18"/>
      <c r="F712" s="106"/>
      <c r="G712" s="106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</row>
    <row r="713" spans="1:52" ht="15.75" customHeight="1">
      <c r="A713" s="18"/>
      <c r="B713" s="18"/>
      <c r="C713" s="18"/>
      <c r="D713" s="18"/>
      <c r="E713" s="18"/>
      <c r="F713" s="106"/>
      <c r="G713" s="106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</row>
    <row r="714" spans="1:52" ht="15.75" customHeight="1">
      <c r="A714" s="18"/>
      <c r="B714" s="18"/>
      <c r="C714" s="18"/>
      <c r="D714" s="18"/>
      <c r="E714" s="18"/>
      <c r="F714" s="106"/>
      <c r="G714" s="106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</row>
    <row r="715" spans="1:52" ht="15.75" customHeight="1">
      <c r="A715" s="18"/>
      <c r="B715" s="18"/>
      <c r="C715" s="18"/>
      <c r="D715" s="18"/>
      <c r="E715" s="18"/>
      <c r="F715" s="106"/>
      <c r="G715" s="106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</row>
    <row r="716" spans="1:52" ht="15.75" customHeight="1">
      <c r="A716" s="18"/>
      <c r="B716" s="18"/>
      <c r="C716" s="18"/>
      <c r="D716" s="18"/>
      <c r="E716" s="18"/>
      <c r="F716" s="106"/>
      <c r="G716" s="106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</row>
    <row r="717" spans="1:52" ht="15.75" customHeight="1">
      <c r="A717" s="18"/>
      <c r="B717" s="18"/>
      <c r="C717" s="18"/>
      <c r="D717" s="18"/>
      <c r="E717" s="18"/>
      <c r="F717" s="106"/>
      <c r="G717" s="106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</row>
    <row r="718" spans="1:52" ht="15.75" customHeight="1">
      <c r="A718" s="18"/>
      <c r="B718" s="18"/>
      <c r="C718" s="18"/>
      <c r="D718" s="18"/>
      <c r="E718" s="18"/>
      <c r="F718" s="106"/>
      <c r="G718" s="106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</row>
    <row r="719" spans="1:52" ht="15.75" customHeight="1">
      <c r="A719" s="18"/>
      <c r="B719" s="18"/>
      <c r="C719" s="18"/>
      <c r="D719" s="18"/>
      <c r="E719" s="18"/>
      <c r="F719" s="106"/>
      <c r="G719" s="106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</row>
    <row r="720" spans="1:52" ht="15.75" customHeight="1">
      <c r="A720" s="18"/>
      <c r="B720" s="18"/>
      <c r="C720" s="18"/>
      <c r="D720" s="18"/>
      <c r="E720" s="18"/>
      <c r="F720" s="106"/>
      <c r="G720" s="106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</row>
    <row r="721" spans="1:52" ht="15.75" customHeight="1">
      <c r="A721" s="18"/>
      <c r="B721" s="18"/>
      <c r="C721" s="18"/>
      <c r="D721" s="18"/>
      <c r="E721" s="18"/>
      <c r="F721" s="106"/>
      <c r="G721" s="106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</row>
    <row r="722" spans="1:52" ht="15.75" customHeight="1">
      <c r="A722" s="18"/>
      <c r="B722" s="18"/>
      <c r="C722" s="18"/>
      <c r="D722" s="18"/>
      <c r="E722" s="18"/>
      <c r="F722" s="106"/>
      <c r="G722" s="106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</row>
    <row r="723" spans="1:52" ht="15.75" customHeight="1">
      <c r="A723" s="18"/>
      <c r="B723" s="18"/>
      <c r="C723" s="18"/>
      <c r="D723" s="18"/>
      <c r="E723" s="18"/>
      <c r="F723" s="106"/>
      <c r="G723" s="106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</row>
    <row r="724" spans="1:52" ht="15.75" customHeight="1">
      <c r="A724" s="18"/>
      <c r="B724" s="18"/>
      <c r="C724" s="18"/>
      <c r="D724" s="18"/>
      <c r="E724" s="18"/>
      <c r="F724" s="106"/>
      <c r="G724" s="106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</row>
    <row r="725" spans="1:52" ht="15.75" customHeight="1">
      <c r="A725" s="18"/>
      <c r="B725" s="18"/>
      <c r="C725" s="18"/>
      <c r="D725" s="18"/>
      <c r="E725" s="18"/>
      <c r="F725" s="106"/>
      <c r="G725" s="106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</row>
    <row r="726" spans="1:52" ht="15.75" customHeight="1">
      <c r="A726" s="18"/>
      <c r="B726" s="18"/>
      <c r="C726" s="18"/>
      <c r="D726" s="18"/>
      <c r="E726" s="18"/>
      <c r="F726" s="106"/>
      <c r="G726" s="106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</row>
    <row r="727" spans="1:52" ht="15.75" customHeight="1">
      <c r="A727" s="18"/>
      <c r="B727" s="18"/>
      <c r="C727" s="18"/>
      <c r="D727" s="18"/>
      <c r="E727" s="18"/>
      <c r="F727" s="106"/>
      <c r="G727" s="106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</row>
    <row r="728" spans="1:52" ht="15.75" customHeight="1">
      <c r="A728" s="18"/>
      <c r="B728" s="18"/>
      <c r="C728" s="18"/>
      <c r="D728" s="18"/>
      <c r="E728" s="18"/>
      <c r="F728" s="106"/>
      <c r="G728" s="106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</row>
    <row r="729" spans="1:52" ht="15.75" customHeight="1">
      <c r="A729" s="18"/>
      <c r="B729" s="18"/>
      <c r="C729" s="18"/>
      <c r="D729" s="18"/>
      <c r="E729" s="18"/>
      <c r="F729" s="106"/>
      <c r="G729" s="106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</row>
    <row r="730" spans="1:52" ht="15.75" customHeight="1">
      <c r="A730" s="18"/>
      <c r="B730" s="18"/>
      <c r="C730" s="18"/>
      <c r="D730" s="18"/>
      <c r="E730" s="18"/>
      <c r="F730" s="106"/>
      <c r="G730" s="106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</row>
    <row r="731" spans="1:52" ht="15.75" customHeight="1">
      <c r="A731" s="18"/>
      <c r="B731" s="18"/>
      <c r="C731" s="18"/>
      <c r="D731" s="18"/>
      <c r="E731" s="18"/>
      <c r="F731" s="106"/>
      <c r="G731" s="106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</row>
    <row r="732" spans="1:52" ht="15.75" customHeight="1">
      <c r="A732" s="18"/>
      <c r="B732" s="18"/>
      <c r="C732" s="18"/>
      <c r="D732" s="18"/>
      <c r="E732" s="18"/>
      <c r="F732" s="106"/>
      <c r="G732" s="106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</row>
    <row r="733" spans="1:52" ht="15.75" customHeight="1">
      <c r="A733" s="18"/>
      <c r="B733" s="18"/>
      <c r="C733" s="18"/>
      <c r="D733" s="18"/>
      <c r="E733" s="18"/>
      <c r="F733" s="106"/>
      <c r="G733" s="106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</row>
    <row r="734" spans="1:52" ht="15.75" customHeight="1">
      <c r="A734" s="18"/>
      <c r="B734" s="18"/>
      <c r="C734" s="18"/>
      <c r="D734" s="18"/>
      <c r="E734" s="18"/>
      <c r="F734" s="106"/>
      <c r="G734" s="106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</row>
    <row r="735" spans="1:52" ht="15.75" customHeight="1">
      <c r="A735" s="18"/>
      <c r="B735" s="18"/>
      <c r="C735" s="18"/>
      <c r="D735" s="18"/>
      <c r="E735" s="18"/>
      <c r="F735" s="106"/>
      <c r="G735" s="106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</row>
    <row r="736" spans="1:52" ht="15.75" customHeight="1">
      <c r="A736" s="18"/>
      <c r="B736" s="18"/>
      <c r="C736" s="18"/>
      <c r="D736" s="18"/>
      <c r="E736" s="18"/>
      <c r="F736" s="106"/>
      <c r="G736" s="106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</row>
    <row r="737" spans="1:52" ht="15.75" customHeight="1">
      <c r="A737" s="18"/>
      <c r="B737" s="18"/>
      <c r="C737" s="18"/>
      <c r="D737" s="18"/>
      <c r="E737" s="18"/>
      <c r="F737" s="106"/>
      <c r="G737" s="106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</row>
    <row r="738" spans="1:52" ht="15.75" customHeight="1">
      <c r="A738" s="18"/>
      <c r="B738" s="18"/>
      <c r="C738" s="18"/>
      <c r="D738" s="18"/>
      <c r="E738" s="18"/>
      <c r="F738" s="106"/>
      <c r="G738" s="106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</row>
    <row r="739" spans="1:52" ht="15.75" customHeight="1">
      <c r="A739" s="18"/>
      <c r="B739" s="18"/>
      <c r="C739" s="18"/>
      <c r="D739" s="18"/>
      <c r="E739" s="18"/>
      <c r="F739" s="106"/>
      <c r="G739" s="106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</row>
    <row r="740" spans="1:52" ht="15.75" customHeight="1">
      <c r="A740" s="18"/>
      <c r="B740" s="18"/>
      <c r="C740" s="18"/>
      <c r="D740" s="18"/>
      <c r="E740" s="18"/>
      <c r="F740" s="106"/>
      <c r="G740" s="106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</row>
    <row r="741" spans="1:52" ht="15.75" customHeight="1">
      <c r="A741" s="18"/>
      <c r="B741" s="18"/>
      <c r="C741" s="18"/>
      <c r="D741" s="18"/>
      <c r="E741" s="18"/>
      <c r="F741" s="106"/>
      <c r="G741" s="106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</row>
    <row r="742" spans="1:52" ht="15.75" customHeight="1">
      <c r="A742" s="18"/>
      <c r="B742" s="18"/>
      <c r="C742" s="18"/>
      <c r="D742" s="18"/>
      <c r="E742" s="18"/>
      <c r="F742" s="106"/>
      <c r="G742" s="106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</row>
    <row r="743" spans="1:52" ht="15.75" customHeight="1">
      <c r="A743" s="18"/>
      <c r="B743" s="18"/>
      <c r="C743" s="18"/>
      <c r="D743" s="18"/>
      <c r="E743" s="18"/>
      <c r="F743" s="106"/>
      <c r="G743" s="106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</row>
    <row r="744" spans="1:52" ht="15.75" customHeight="1">
      <c r="A744" s="18"/>
      <c r="B744" s="18"/>
      <c r="C744" s="18"/>
      <c r="D744" s="18"/>
      <c r="E744" s="18"/>
      <c r="F744" s="106"/>
      <c r="G744" s="106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</row>
    <row r="745" spans="1:52" ht="15.75" customHeight="1">
      <c r="A745" s="18"/>
      <c r="B745" s="18"/>
      <c r="C745" s="18"/>
      <c r="D745" s="18"/>
      <c r="E745" s="18"/>
      <c r="F745" s="106"/>
      <c r="G745" s="106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</row>
    <row r="746" spans="1:52" ht="15.75" customHeight="1">
      <c r="A746" s="18"/>
      <c r="B746" s="18"/>
      <c r="C746" s="18"/>
      <c r="D746" s="18"/>
      <c r="E746" s="18"/>
      <c r="F746" s="106"/>
      <c r="G746" s="106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</row>
    <row r="747" spans="1:52" ht="15.75" customHeight="1">
      <c r="A747" s="18"/>
      <c r="B747" s="18"/>
      <c r="C747" s="18"/>
      <c r="D747" s="18"/>
      <c r="E747" s="18"/>
      <c r="F747" s="106"/>
      <c r="G747" s="106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</row>
    <row r="748" spans="1:52" ht="15.75" customHeight="1">
      <c r="A748" s="18"/>
      <c r="B748" s="18"/>
      <c r="C748" s="18"/>
      <c r="D748" s="18"/>
      <c r="E748" s="18"/>
      <c r="F748" s="106"/>
      <c r="G748" s="106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</row>
    <row r="749" spans="1:52" ht="15.75" customHeight="1">
      <c r="A749" s="18"/>
      <c r="B749" s="18"/>
      <c r="C749" s="18"/>
      <c r="D749" s="18"/>
      <c r="E749" s="18"/>
      <c r="F749" s="106"/>
      <c r="G749" s="106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</row>
    <row r="750" spans="1:52" ht="15.75" customHeight="1">
      <c r="A750" s="18"/>
      <c r="B750" s="18"/>
      <c r="C750" s="18"/>
      <c r="D750" s="18"/>
      <c r="E750" s="18"/>
      <c r="F750" s="106"/>
      <c r="G750" s="106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</row>
    <row r="751" spans="1:52" ht="15.75" customHeight="1">
      <c r="A751" s="18"/>
      <c r="B751" s="18"/>
      <c r="C751" s="18"/>
      <c r="D751" s="18"/>
      <c r="E751" s="18"/>
      <c r="F751" s="106"/>
      <c r="G751" s="106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</row>
    <row r="752" spans="1:52" ht="15.75" customHeight="1">
      <c r="A752" s="18"/>
      <c r="B752" s="18"/>
      <c r="C752" s="18"/>
      <c r="D752" s="18"/>
      <c r="E752" s="18"/>
      <c r="F752" s="106"/>
      <c r="G752" s="106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</row>
    <row r="753" spans="1:52" ht="15.75" customHeight="1">
      <c r="A753" s="18"/>
      <c r="B753" s="18"/>
      <c r="C753" s="18"/>
      <c r="D753" s="18"/>
      <c r="E753" s="18"/>
      <c r="F753" s="106"/>
      <c r="G753" s="106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</row>
    <row r="754" spans="1:52" ht="15.75" customHeight="1">
      <c r="A754" s="18"/>
      <c r="B754" s="18"/>
      <c r="C754" s="18"/>
      <c r="D754" s="18"/>
      <c r="E754" s="18"/>
      <c r="F754" s="106"/>
      <c r="G754" s="106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</row>
    <row r="755" spans="1:52" ht="15.75" customHeight="1">
      <c r="A755" s="18"/>
      <c r="B755" s="18"/>
      <c r="C755" s="18"/>
      <c r="D755" s="18"/>
      <c r="E755" s="18"/>
      <c r="F755" s="106"/>
      <c r="G755" s="106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</row>
    <row r="756" spans="1:52" ht="15.75" customHeight="1">
      <c r="A756" s="18"/>
      <c r="B756" s="18"/>
      <c r="C756" s="18"/>
      <c r="D756" s="18"/>
      <c r="E756" s="18"/>
      <c r="F756" s="106"/>
      <c r="G756" s="106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</row>
    <row r="757" spans="1:52" ht="15.75" customHeight="1">
      <c r="A757" s="18"/>
      <c r="B757" s="18"/>
      <c r="C757" s="18"/>
      <c r="D757" s="18"/>
      <c r="E757" s="18"/>
      <c r="F757" s="106"/>
      <c r="G757" s="106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</row>
    <row r="758" spans="1:52" ht="15.75" customHeight="1">
      <c r="A758" s="18"/>
      <c r="B758" s="18"/>
      <c r="C758" s="18"/>
      <c r="D758" s="18"/>
      <c r="E758" s="18"/>
      <c r="F758" s="106"/>
      <c r="G758" s="106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</row>
    <row r="759" spans="1:52" ht="15.75" customHeight="1">
      <c r="A759" s="18"/>
      <c r="B759" s="18"/>
      <c r="C759" s="18"/>
      <c r="D759" s="18"/>
      <c r="E759" s="18"/>
      <c r="F759" s="106"/>
      <c r="G759" s="106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</row>
    <row r="760" spans="1:52" ht="15.75" customHeight="1">
      <c r="A760" s="18"/>
      <c r="B760" s="18"/>
      <c r="C760" s="18"/>
      <c r="D760" s="18"/>
      <c r="E760" s="18"/>
      <c r="F760" s="106"/>
      <c r="G760" s="106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</row>
    <row r="761" spans="1:52" ht="15.75" customHeight="1">
      <c r="A761" s="18"/>
      <c r="B761" s="18"/>
      <c r="C761" s="18"/>
      <c r="D761" s="18"/>
      <c r="E761" s="18"/>
      <c r="F761" s="106"/>
      <c r="G761" s="106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</row>
    <row r="762" spans="1:52" ht="15.75" customHeight="1">
      <c r="A762" s="18"/>
      <c r="B762" s="18"/>
      <c r="C762" s="18"/>
      <c r="D762" s="18"/>
      <c r="E762" s="18"/>
      <c r="F762" s="106"/>
      <c r="G762" s="106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</row>
    <row r="763" spans="1:52" ht="15.75" customHeight="1">
      <c r="A763" s="18"/>
      <c r="B763" s="18"/>
      <c r="C763" s="18"/>
      <c r="D763" s="18"/>
      <c r="E763" s="18"/>
      <c r="F763" s="106"/>
      <c r="G763" s="106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</row>
    <row r="764" spans="1:52" ht="15.75" customHeight="1">
      <c r="A764" s="18"/>
      <c r="B764" s="18"/>
      <c r="C764" s="18"/>
      <c r="D764" s="18"/>
      <c r="E764" s="18"/>
      <c r="F764" s="106"/>
      <c r="G764" s="106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</row>
    <row r="765" spans="1:52" ht="15.75" customHeight="1">
      <c r="A765" s="18"/>
      <c r="B765" s="18"/>
      <c r="C765" s="18"/>
      <c r="D765" s="18"/>
      <c r="E765" s="18"/>
      <c r="F765" s="106"/>
      <c r="G765" s="106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</row>
    <row r="766" spans="1:52" ht="15.75" customHeight="1">
      <c r="A766" s="18"/>
      <c r="B766" s="18"/>
      <c r="C766" s="18"/>
      <c r="D766" s="18"/>
      <c r="E766" s="18"/>
      <c r="F766" s="106"/>
      <c r="G766" s="106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</row>
    <row r="767" spans="1:52" ht="15.75" customHeight="1">
      <c r="A767" s="18"/>
      <c r="B767" s="18"/>
      <c r="C767" s="18"/>
      <c r="D767" s="18"/>
      <c r="E767" s="18"/>
      <c r="F767" s="106"/>
      <c r="G767" s="106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</row>
    <row r="768" spans="1:52" ht="15.75" customHeight="1">
      <c r="A768" s="18"/>
      <c r="B768" s="18"/>
      <c r="C768" s="18"/>
      <c r="D768" s="18"/>
      <c r="E768" s="18"/>
      <c r="F768" s="106"/>
      <c r="G768" s="106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</row>
    <row r="769" spans="1:52" ht="15.75" customHeight="1">
      <c r="A769" s="18"/>
      <c r="B769" s="18"/>
      <c r="C769" s="18"/>
      <c r="D769" s="18"/>
      <c r="E769" s="18"/>
      <c r="F769" s="106"/>
      <c r="G769" s="106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</row>
    <row r="770" spans="1:52" ht="15.75" customHeight="1">
      <c r="A770" s="18"/>
      <c r="B770" s="18"/>
      <c r="C770" s="18"/>
      <c r="D770" s="18"/>
      <c r="E770" s="18"/>
      <c r="F770" s="106"/>
      <c r="G770" s="106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</row>
    <row r="771" spans="1:52" ht="15.75" customHeight="1">
      <c r="A771" s="18"/>
      <c r="B771" s="18"/>
      <c r="C771" s="18"/>
      <c r="D771" s="18"/>
      <c r="E771" s="18"/>
      <c r="F771" s="106"/>
      <c r="G771" s="106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</row>
    <row r="772" spans="1:52" ht="15.75" customHeight="1">
      <c r="A772" s="18"/>
      <c r="B772" s="18"/>
      <c r="C772" s="18"/>
      <c r="D772" s="18"/>
      <c r="E772" s="18"/>
      <c r="F772" s="106"/>
      <c r="G772" s="106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</row>
    <row r="773" spans="1:52" ht="15.75" customHeight="1">
      <c r="A773" s="18"/>
      <c r="B773" s="18"/>
      <c r="C773" s="18"/>
      <c r="D773" s="18"/>
      <c r="E773" s="18"/>
      <c r="F773" s="106"/>
      <c r="G773" s="106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</row>
    <row r="774" spans="1:52" ht="15.75" customHeight="1">
      <c r="A774" s="18"/>
      <c r="B774" s="18"/>
      <c r="C774" s="18"/>
      <c r="D774" s="18"/>
      <c r="E774" s="18"/>
      <c r="F774" s="106"/>
      <c r="G774" s="106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</row>
    <row r="775" spans="1:52" ht="15.75" customHeight="1">
      <c r="A775" s="18"/>
      <c r="B775" s="18"/>
      <c r="C775" s="18"/>
      <c r="D775" s="18"/>
      <c r="E775" s="18"/>
      <c r="F775" s="106"/>
      <c r="G775" s="106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</row>
    <row r="776" spans="1:52" ht="15.75" customHeight="1">
      <c r="A776" s="18"/>
      <c r="B776" s="18"/>
      <c r="C776" s="18"/>
      <c r="D776" s="18"/>
      <c r="E776" s="18"/>
      <c r="F776" s="106"/>
      <c r="G776" s="106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</row>
    <row r="777" spans="1:52" ht="15.75" customHeight="1">
      <c r="A777" s="18"/>
      <c r="B777" s="18"/>
      <c r="C777" s="18"/>
      <c r="D777" s="18"/>
      <c r="E777" s="18"/>
      <c r="F777" s="106"/>
      <c r="G777" s="106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</row>
    <row r="778" spans="1:52" ht="15.75" customHeight="1">
      <c r="A778" s="18"/>
      <c r="B778" s="18"/>
      <c r="C778" s="18"/>
      <c r="D778" s="18"/>
      <c r="E778" s="18"/>
      <c r="F778" s="106"/>
      <c r="G778" s="106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</row>
    <row r="779" spans="1:52" ht="15.75" customHeight="1">
      <c r="A779" s="18"/>
      <c r="B779" s="18"/>
      <c r="C779" s="18"/>
      <c r="D779" s="18"/>
      <c r="E779" s="18"/>
      <c r="F779" s="106"/>
      <c r="G779" s="106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</row>
    <row r="780" spans="1:52" ht="15.75" customHeight="1">
      <c r="A780" s="18"/>
      <c r="B780" s="18"/>
      <c r="C780" s="18"/>
      <c r="D780" s="18"/>
      <c r="E780" s="18"/>
      <c r="F780" s="106"/>
      <c r="G780" s="106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</row>
    <row r="781" spans="1:52" ht="15.75" customHeight="1">
      <c r="A781" s="18"/>
      <c r="B781" s="18"/>
      <c r="C781" s="18"/>
      <c r="D781" s="18"/>
      <c r="E781" s="18"/>
      <c r="F781" s="106"/>
      <c r="G781" s="106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</row>
    <row r="782" spans="1:52" ht="15.75" customHeight="1">
      <c r="A782" s="18"/>
      <c r="B782" s="18"/>
      <c r="C782" s="18"/>
      <c r="D782" s="18"/>
      <c r="E782" s="18"/>
      <c r="F782" s="106"/>
      <c r="G782" s="106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</row>
    <row r="783" spans="1:52" ht="15.75" customHeight="1">
      <c r="A783" s="18"/>
      <c r="B783" s="18"/>
      <c r="C783" s="18"/>
      <c r="D783" s="18"/>
      <c r="E783" s="18"/>
      <c r="F783" s="106"/>
      <c r="G783" s="106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</row>
    <row r="784" spans="1:52" ht="15.75" customHeight="1">
      <c r="A784" s="18"/>
      <c r="B784" s="18"/>
      <c r="C784" s="18"/>
      <c r="D784" s="18"/>
      <c r="E784" s="18"/>
      <c r="F784" s="106"/>
      <c r="G784" s="106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</row>
    <row r="785" spans="1:52" ht="15.75" customHeight="1">
      <c r="A785" s="18"/>
      <c r="B785" s="18"/>
      <c r="C785" s="18"/>
      <c r="D785" s="18"/>
      <c r="E785" s="18"/>
      <c r="F785" s="106"/>
      <c r="G785" s="106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</row>
    <row r="786" spans="1:52" ht="15.75" customHeight="1">
      <c r="A786" s="18"/>
      <c r="B786" s="18"/>
      <c r="C786" s="18"/>
      <c r="D786" s="18"/>
      <c r="E786" s="18"/>
      <c r="F786" s="106"/>
      <c r="G786" s="106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</row>
    <row r="787" spans="1:52" ht="15.75" customHeight="1">
      <c r="A787" s="18"/>
      <c r="B787" s="18"/>
      <c r="C787" s="18"/>
      <c r="D787" s="18"/>
      <c r="E787" s="18"/>
      <c r="F787" s="106"/>
      <c r="G787" s="106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</row>
    <row r="788" spans="1:52" ht="15.75" customHeight="1">
      <c r="A788" s="18"/>
      <c r="B788" s="18"/>
      <c r="C788" s="18"/>
      <c r="D788" s="18"/>
      <c r="E788" s="18"/>
      <c r="F788" s="106"/>
      <c r="G788" s="106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</row>
    <row r="789" spans="1:52" ht="15.75" customHeight="1">
      <c r="A789" s="18"/>
      <c r="B789" s="18"/>
      <c r="C789" s="18"/>
      <c r="D789" s="18"/>
      <c r="E789" s="18"/>
      <c r="F789" s="106"/>
      <c r="G789" s="106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</row>
    <row r="790" spans="1:52" ht="15.75" customHeight="1">
      <c r="A790" s="18"/>
      <c r="B790" s="18"/>
      <c r="C790" s="18"/>
      <c r="D790" s="18"/>
      <c r="E790" s="18"/>
      <c r="F790" s="106"/>
      <c r="G790" s="106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</row>
    <row r="791" spans="1:52" ht="15.75" customHeight="1">
      <c r="A791" s="18"/>
      <c r="B791" s="18"/>
      <c r="C791" s="18"/>
      <c r="D791" s="18"/>
      <c r="E791" s="18"/>
      <c r="F791" s="106"/>
      <c r="G791" s="106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</row>
    <row r="792" spans="1:52" ht="15.75" customHeight="1">
      <c r="A792" s="18"/>
      <c r="B792" s="18"/>
      <c r="C792" s="18"/>
      <c r="D792" s="18"/>
      <c r="E792" s="18"/>
      <c r="F792" s="106"/>
      <c r="G792" s="106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</row>
    <row r="793" spans="1:52" ht="15.75" customHeight="1">
      <c r="A793" s="18"/>
      <c r="B793" s="18"/>
      <c r="C793" s="18"/>
      <c r="D793" s="18"/>
      <c r="E793" s="18"/>
      <c r="F793" s="106"/>
      <c r="G793" s="106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</row>
    <row r="794" spans="1:52" ht="15.75" customHeight="1">
      <c r="A794" s="18"/>
      <c r="B794" s="18"/>
      <c r="C794" s="18"/>
      <c r="D794" s="18"/>
      <c r="E794" s="18"/>
      <c r="F794" s="106"/>
      <c r="G794" s="106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</row>
    <row r="795" spans="1:52" ht="15.75" customHeight="1">
      <c r="A795" s="18"/>
      <c r="B795" s="18"/>
      <c r="C795" s="18"/>
      <c r="D795" s="18"/>
      <c r="E795" s="18"/>
      <c r="F795" s="106"/>
      <c r="G795" s="106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</row>
    <row r="796" spans="1:52" ht="15.75" customHeight="1">
      <c r="A796" s="18"/>
      <c r="B796" s="18"/>
      <c r="C796" s="18"/>
      <c r="D796" s="18"/>
      <c r="E796" s="18"/>
      <c r="F796" s="106"/>
      <c r="G796" s="106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</row>
    <row r="797" spans="1:52" ht="15.75" customHeight="1">
      <c r="A797" s="18"/>
      <c r="B797" s="18"/>
      <c r="C797" s="18"/>
      <c r="D797" s="18"/>
      <c r="E797" s="18"/>
      <c r="F797" s="106"/>
      <c r="G797" s="106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</row>
    <row r="798" spans="1:52" ht="15.75" customHeight="1">
      <c r="A798" s="18"/>
      <c r="B798" s="18"/>
      <c r="C798" s="18"/>
      <c r="D798" s="18"/>
      <c r="E798" s="18"/>
      <c r="F798" s="106"/>
      <c r="G798" s="106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</row>
    <row r="799" spans="1:52" ht="15.75" customHeight="1">
      <c r="A799" s="18"/>
      <c r="B799" s="18"/>
      <c r="C799" s="18"/>
      <c r="D799" s="18"/>
      <c r="E799" s="18"/>
      <c r="F799" s="106"/>
      <c r="G799" s="106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</row>
    <row r="800" spans="1:52" ht="15.75" customHeight="1">
      <c r="A800" s="18"/>
      <c r="B800" s="18"/>
      <c r="C800" s="18"/>
      <c r="D800" s="18"/>
      <c r="E800" s="18"/>
      <c r="F800" s="106"/>
      <c r="G800" s="106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</row>
    <row r="801" spans="1:52" ht="15.75" customHeight="1">
      <c r="A801" s="18"/>
      <c r="B801" s="18"/>
      <c r="C801" s="18"/>
      <c r="D801" s="18"/>
      <c r="E801" s="18"/>
      <c r="F801" s="106"/>
      <c r="G801" s="106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</row>
    <row r="802" spans="1:52" ht="15.75" customHeight="1">
      <c r="A802" s="18"/>
      <c r="B802" s="18"/>
      <c r="C802" s="18"/>
      <c r="D802" s="18"/>
      <c r="E802" s="18"/>
      <c r="F802" s="106"/>
      <c r="G802" s="106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</row>
    <row r="803" spans="1:52" ht="15.75" customHeight="1">
      <c r="A803" s="18"/>
      <c r="B803" s="18"/>
      <c r="C803" s="18"/>
      <c r="D803" s="18"/>
      <c r="E803" s="18"/>
      <c r="F803" s="106"/>
      <c r="G803" s="106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</row>
    <row r="804" spans="1:52" ht="15.75" customHeight="1">
      <c r="A804" s="18"/>
      <c r="B804" s="18"/>
      <c r="C804" s="18"/>
      <c r="D804" s="18"/>
      <c r="E804" s="18"/>
      <c r="F804" s="106"/>
      <c r="G804" s="106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</row>
    <row r="805" spans="1:52" ht="15.75" customHeight="1">
      <c r="A805" s="18"/>
      <c r="B805" s="18"/>
      <c r="C805" s="18"/>
      <c r="D805" s="18"/>
      <c r="E805" s="18"/>
      <c r="F805" s="106"/>
      <c r="G805" s="106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</row>
    <row r="806" spans="1:52" ht="15.75" customHeight="1">
      <c r="A806" s="18"/>
      <c r="B806" s="18"/>
      <c r="C806" s="18"/>
      <c r="D806" s="18"/>
      <c r="E806" s="18"/>
      <c r="F806" s="106"/>
      <c r="G806" s="106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</row>
    <row r="807" spans="1:52" ht="15.75" customHeight="1">
      <c r="A807" s="18"/>
      <c r="B807" s="18"/>
      <c r="C807" s="18"/>
      <c r="D807" s="18"/>
      <c r="E807" s="18"/>
      <c r="F807" s="106"/>
      <c r="G807" s="106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</row>
    <row r="808" spans="1:52" ht="15.75" customHeight="1">
      <c r="A808" s="18"/>
      <c r="B808" s="18"/>
      <c r="C808" s="18"/>
      <c r="D808" s="18"/>
      <c r="E808" s="18"/>
      <c r="F808" s="106"/>
      <c r="G808" s="106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</row>
    <row r="809" spans="1:52" ht="15.75" customHeight="1">
      <c r="A809" s="18"/>
      <c r="B809" s="18"/>
      <c r="C809" s="18"/>
      <c r="D809" s="18"/>
      <c r="E809" s="18"/>
      <c r="F809" s="106"/>
      <c r="G809" s="106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</row>
    <row r="810" spans="1:52" ht="15.75" customHeight="1">
      <c r="A810" s="18"/>
      <c r="B810" s="18"/>
      <c r="C810" s="18"/>
      <c r="D810" s="18"/>
      <c r="E810" s="18"/>
      <c r="F810" s="106"/>
      <c r="G810" s="106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</row>
    <row r="811" spans="1:52" ht="15.75" customHeight="1">
      <c r="A811" s="18"/>
      <c r="B811" s="18"/>
      <c r="C811" s="18"/>
      <c r="D811" s="18"/>
      <c r="E811" s="18"/>
      <c r="F811" s="106"/>
      <c r="G811" s="106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</row>
    <row r="812" spans="1:52" ht="15.75" customHeight="1">
      <c r="A812" s="18"/>
      <c r="B812" s="18"/>
      <c r="C812" s="18"/>
      <c r="D812" s="18"/>
      <c r="E812" s="18"/>
      <c r="F812" s="106"/>
      <c r="G812" s="106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</row>
    <row r="813" spans="1:52" ht="15.75" customHeight="1">
      <c r="A813" s="18"/>
      <c r="B813" s="18"/>
      <c r="C813" s="18"/>
      <c r="D813" s="18"/>
      <c r="E813" s="18"/>
      <c r="F813" s="106"/>
      <c r="G813" s="106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</row>
    <row r="814" spans="1:52" ht="15.75" customHeight="1">
      <c r="A814" s="18"/>
      <c r="B814" s="18"/>
      <c r="C814" s="18"/>
      <c r="D814" s="18"/>
      <c r="E814" s="18"/>
      <c r="F814" s="106"/>
      <c r="G814" s="106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</row>
    <row r="815" spans="1:52" ht="15.75" customHeight="1">
      <c r="A815" s="18"/>
      <c r="B815" s="18"/>
      <c r="C815" s="18"/>
      <c r="D815" s="18"/>
      <c r="E815" s="18"/>
      <c r="F815" s="106"/>
      <c r="G815" s="106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</row>
    <row r="816" spans="1:52" ht="15.75" customHeight="1">
      <c r="A816" s="18"/>
      <c r="B816" s="18"/>
      <c r="C816" s="18"/>
      <c r="D816" s="18"/>
      <c r="E816" s="18"/>
      <c r="F816" s="106"/>
      <c r="G816" s="106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</row>
    <row r="817" spans="1:52" ht="15.75" customHeight="1">
      <c r="A817" s="18"/>
      <c r="B817" s="18"/>
      <c r="C817" s="18"/>
      <c r="D817" s="18"/>
      <c r="E817" s="18"/>
      <c r="F817" s="106"/>
      <c r="G817" s="106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</row>
    <row r="818" spans="1:52" ht="15.75" customHeight="1">
      <c r="A818" s="18"/>
      <c r="B818" s="18"/>
      <c r="C818" s="18"/>
      <c r="D818" s="18"/>
      <c r="E818" s="18"/>
      <c r="F818" s="106"/>
      <c r="G818" s="106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</row>
    <row r="819" spans="1:52" ht="15.75" customHeight="1">
      <c r="A819" s="18"/>
      <c r="B819" s="18"/>
      <c r="C819" s="18"/>
      <c r="D819" s="18"/>
      <c r="E819" s="18"/>
      <c r="F819" s="106"/>
      <c r="G819" s="106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</row>
    <row r="820" spans="1:52" ht="15.75" customHeight="1">
      <c r="A820" s="18"/>
      <c r="B820" s="18"/>
      <c r="C820" s="18"/>
      <c r="D820" s="18"/>
      <c r="E820" s="18"/>
      <c r="F820" s="106"/>
      <c r="G820" s="106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</row>
    <row r="821" spans="1:52" ht="15.75" customHeight="1">
      <c r="A821" s="18"/>
      <c r="B821" s="18"/>
      <c r="C821" s="18"/>
      <c r="D821" s="18"/>
      <c r="E821" s="18"/>
      <c r="F821" s="106"/>
      <c r="G821" s="106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</row>
    <row r="822" spans="1:52" ht="15.75" customHeight="1">
      <c r="A822" s="18"/>
      <c r="B822" s="18"/>
      <c r="C822" s="18"/>
      <c r="D822" s="18"/>
      <c r="E822" s="18"/>
      <c r="F822" s="106"/>
      <c r="G822" s="106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</row>
    <row r="823" spans="1:52" ht="15.75" customHeight="1">
      <c r="A823" s="18"/>
      <c r="B823" s="18"/>
      <c r="C823" s="18"/>
      <c r="D823" s="18"/>
      <c r="E823" s="18"/>
      <c r="F823" s="106"/>
      <c r="G823" s="106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</row>
    <row r="824" spans="1:52" ht="15.75" customHeight="1">
      <c r="A824" s="18"/>
      <c r="B824" s="18"/>
      <c r="C824" s="18"/>
      <c r="D824" s="18"/>
      <c r="E824" s="18"/>
      <c r="F824" s="106"/>
      <c r="G824" s="106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</row>
    <row r="825" spans="1:52" ht="15.75" customHeight="1">
      <c r="A825" s="18"/>
      <c r="B825" s="18"/>
      <c r="C825" s="18"/>
      <c r="D825" s="18"/>
      <c r="E825" s="18"/>
      <c r="F825" s="106"/>
      <c r="G825" s="106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</row>
    <row r="826" spans="1:52" ht="15.75" customHeight="1">
      <c r="A826" s="18"/>
      <c r="B826" s="18"/>
      <c r="C826" s="18"/>
      <c r="D826" s="18"/>
      <c r="E826" s="18"/>
      <c r="F826" s="106"/>
      <c r="G826" s="106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</row>
    <row r="827" spans="1:52" ht="15.75" customHeight="1">
      <c r="A827" s="18"/>
      <c r="B827" s="18"/>
      <c r="C827" s="18"/>
      <c r="D827" s="18"/>
      <c r="E827" s="18"/>
      <c r="F827" s="106"/>
      <c r="G827" s="106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</row>
    <row r="828" spans="1:52" ht="15.75" customHeight="1">
      <c r="A828" s="18"/>
      <c r="B828" s="18"/>
      <c r="C828" s="18"/>
      <c r="D828" s="18"/>
      <c r="E828" s="18"/>
      <c r="F828" s="106"/>
      <c r="G828" s="106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</row>
    <row r="829" spans="1:52" ht="15.75" customHeight="1">
      <c r="A829" s="18"/>
      <c r="B829" s="18"/>
      <c r="C829" s="18"/>
      <c r="D829" s="18"/>
      <c r="E829" s="18"/>
      <c r="F829" s="106"/>
      <c r="G829" s="106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</row>
    <row r="830" spans="1:52" ht="15.75" customHeight="1">
      <c r="A830" s="18"/>
      <c r="B830" s="18"/>
      <c r="C830" s="18"/>
      <c r="D830" s="18"/>
      <c r="E830" s="18"/>
      <c r="F830" s="106"/>
      <c r="G830" s="106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</row>
    <row r="831" spans="1:52" ht="15.75" customHeight="1">
      <c r="A831" s="18"/>
      <c r="B831" s="18"/>
      <c r="C831" s="18"/>
      <c r="D831" s="18"/>
      <c r="E831" s="18"/>
      <c r="F831" s="106"/>
      <c r="G831" s="106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</row>
    <row r="832" spans="1:52" ht="15.75" customHeight="1">
      <c r="A832" s="18"/>
      <c r="B832" s="18"/>
      <c r="C832" s="18"/>
      <c r="D832" s="18"/>
      <c r="E832" s="18"/>
      <c r="F832" s="106"/>
      <c r="G832" s="106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</row>
    <row r="833" spans="1:52" ht="15.75" customHeight="1">
      <c r="A833" s="18"/>
      <c r="B833" s="18"/>
      <c r="C833" s="18"/>
      <c r="D833" s="18"/>
      <c r="E833" s="18"/>
      <c r="F833" s="106"/>
      <c r="G833" s="106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</row>
    <row r="834" spans="1:52" ht="15.75" customHeight="1">
      <c r="A834" s="18"/>
      <c r="B834" s="18"/>
      <c r="C834" s="18"/>
      <c r="D834" s="18"/>
      <c r="E834" s="18"/>
      <c r="F834" s="106"/>
      <c r="G834" s="106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</row>
    <row r="835" spans="1:52" ht="15.75" customHeight="1">
      <c r="A835" s="18"/>
      <c r="B835" s="18"/>
      <c r="C835" s="18"/>
      <c r="D835" s="18"/>
      <c r="E835" s="18"/>
      <c r="F835" s="106"/>
      <c r="G835" s="106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</row>
    <row r="836" spans="1:52" ht="15.75" customHeight="1">
      <c r="A836" s="18"/>
      <c r="B836" s="18"/>
      <c r="C836" s="18"/>
      <c r="D836" s="18"/>
      <c r="E836" s="18"/>
      <c r="F836" s="106"/>
      <c r="G836" s="106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</row>
    <row r="837" spans="1:52" ht="15.75" customHeight="1">
      <c r="A837" s="18"/>
      <c r="B837" s="18"/>
      <c r="C837" s="18"/>
      <c r="D837" s="18"/>
      <c r="E837" s="18"/>
      <c r="F837" s="106"/>
      <c r="G837" s="106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</row>
    <row r="838" spans="1:52" ht="15.75" customHeight="1">
      <c r="A838" s="18"/>
      <c r="B838" s="18"/>
      <c r="C838" s="18"/>
      <c r="D838" s="18"/>
      <c r="E838" s="18"/>
      <c r="F838" s="106"/>
      <c r="G838" s="106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</row>
    <row r="839" spans="1:52" ht="15.75" customHeight="1">
      <c r="A839" s="18"/>
      <c r="B839" s="18"/>
      <c r="C839" s="18"/>
      <c r="D839" s="18"/>
      <c r="E839" s="18"/>
      <c r="F839" s="106"/>
      <c r="G839" s="106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</row>
    <row r="840" spans="1:52" ht="15.75" customHeight="1">
      <c r="A840" s="18"/>
      <c r="B840" s="18"/>
      <c r="C840" s="18"/>
      <c r="D840" s="18"/>
      <c r="E840" s="18"/>
      <c r="F840" s="106"/>
      <c r="G840" s="106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</row>
    <row r="841" spans="1:52" ht="15.75" customHeight="1">
      <c r="A841" s="18"/>
      <c r="B841" s="18"/>
      <c r="C841" s="18"/>
      <c r="D841" s="18"/>
      <c r="E841" s="18"/>
      <c r="F841" s="106"/>
      <c r="G841" s="106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</row>
    <row r="842" spans="1:52" ht="15.75" customHeight="1">
      <c r="A842" s="18"/>
      <c r="B842" s="18"/>
      <c r="C842" s="18"/>
      <c r="D842" s="18"/>
      <c r="E842" s="18"/>
      <c r="F842" s="106"/>
      <c r="G842" s="106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</row>
    <row r="843" spans="1:52" ht="15.75" customHeight="1">
      <c r="A843" s="18"/>
      <c r="B843" s="18"/>
      <c r="C843" s="18"/>
      <c r="D843" s="18"/>
      <c r="E843" s="18"/>
      <c r="F843" s="106"/>
      <c r="G843" s="106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</row>
    <row r="844" spans="1:52" ht="15.75" customHeight="1">
      <c r="A844" s="18"/>
      <c r="B844" s="18"/>
      <c r="C844" s="18"/>
      <c r="D844" s="18"/>
      <c r="E844" s="18"/>
      <c r="F844" s="106"/>
      <c r="G844" s="106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</row>
    <row r="845" spans="1:52" ht="15.75" customHeight="1">
      <c r="A845" s="18"/>
      <c r="B845" s="18"/>
      <c r="C845" s="18"/>
      <c r="D845" s="18"/>
      <c r="E845" s="18"/>
      <c r="F845" s="106"/>
      <c r="G845" s="106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</row>
    <row r="846" spans="1:52" ht="15.75" customHeight="1">
      <c r="A846" s="18"/>
      <c r="B846" s="18"/>
      <c r="C846" s="18"/>
      <c r="D846" s="18"/>
      <c r="E846" s="18"/>
      <c r="F846" s="106"/>
      <c r="G846" s="106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</row>
    <row r="847" spans="1:52" ht="15.75" customHeight="1">
      <c r="A847" s="18"/>
      <c r="B847" s="18"/>
      <c r="C847" s="18"/>
      <c r="D847" s="18"/>
      <c r="E847" s="18"/>
      <c r="F847" s="106"/>
      <c r="G847" s="106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</row>
    <row r="848" spans="1:52" ht="15.75" customHeight="1">
      <c r="A848" s="18"/>
      <c r="B848" s="18"/>
      <c r="C848" s="18"/>
      <c r="D848" s="18"/>
      <c r="E848" s="18"/>
      <c r="F848" s="106"/>
      <c r="G848" s="106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</row>
    <row r="849" spans="1:52" ht="15.75" customHeight="1">
      <c r="A849" s="18"/>
      <c r="B849" s="18"/>
      <c r="C849" s="18"/>
      <c r="D849" s="18"/>
      <c r="E849" s="18"/>
      <c r="F849" s="106"/>
      <c r="G849" s="106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</row>
    <row r="850" spans="1:52" ht="15.75" customHeight="1">
      <c r="A850" s="18"/>
      <c r="B850" s="18"/>
      <c r="C850" s="18"/>
      <c r="D850" s="18"/>
      <c r="E850" s="18"/>
      <c r="F850" s="106"/>
      <c r="G850" s="106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</row>
    <row r="851" spans="1:52" ht="15.75" customHeight="1">
      <c r="A851" s="18"/>
      <c r="B851" s="18"/>
      <c r="C851" s="18"/>
      <c r="D851" s="18"/>
      <c r="E851" s="18"/>
      <c r="F851" s="106"/>
      <c r="G851" s="106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</row>
    <row r="852" spans="1:52" ht="15.75" customHeight="1">
      <c r="A852" s="18"/>
      <c r="B852" s="18"/>
      <c r="C852" s="18"/>
      <c r="D852" s="18"/>
      <c r="E852" s="18"/>
      <c r="F852" s="106"/>
      <c r="G852" s="106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</row>
    <row r="853" spans="1:52" ht="15.75" customHeight="1">
      <c r="A853" s="18"/>
      <c r="B853" s="18"/>
      <c r="C853" s="18"/>
      <c r="D853" s="18"/>
      <c r="E853" s="18"/>
      <c r="F853" s="106"/>
      <c r="G853" s="106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</row>
    <row r="854" spans="1:52" ht="15.75" customHeight="1">
      <c r="A854" s="18"/>
      <c r="B854" s="18"/>
      <c r="C854" s="18"/>
      <c r="D854" s="18"/>
      <c r="E854" s="18"/>
      <c r="F854" s="106"/>
      <c r="G854" s="106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</row>
    <row r="855" spans="1:52" ht="15.75" customHeight="1">
      <c r="A855" s="18"/>
      <c r="B855" s="18"/>
      <c r="C855" s="18"/>
      <c r="D855" s="18"/>
      <c r="E855" s="18"/>
      <c r="F855" s="106"/>
      <c r="G855" s="106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</row>
    <row r="856" spans="1:52" ht="15.75" customHeight="1">
      <c r="A856" s="18"/>
      <c r="B856" s="18"/>
      <c r="C856" s="18"/>
      <c r="D856" s="18"/>
      <c r="E856" s="18"/>
      <c r="F856" s="106"/>
      <c r="G856" s="106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</row>
    <row r="857" spans="1:52" ht="15.75" customHeight="1">
      <c r="A857" s="18"/>
      <c r="B857" s="18"/>
      <c r="C857" s="18"/>
      <c r="D857" s="18"/>
      <c r="E857" s="18"/>
      <c r="F857" s="106"/>
      <c r="G857" s="106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</row>
    <row r="858" spans="1:52" ht="15.75" customHeight="1">
      <c r="A858" s="18"/>
      <c r="B858" s="18"/>
      <c r="C858" s="18"/>
      <c r="D858" s="18"/>
      <c r="E858" s="18"/>
      <c r="F858" s="106"/>
      <c r="G858" s="106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</row>
    <row r="859" spans="1:52" ht="15.75" customHeight="1">
      <c r="A859" s="18"/>
      <c r="B859" s="18"/>
      <c r="C859" s="18"/>
      <c r="D859" s="18"/>
      <c r="E859" s="18"/>
      <c r="F859" s="106"/>
      <c r="G859" s="106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</row>
    <row r="860" spans="1:52" ht="15.75" customHeight="1">
      <c r="A860" s="18"/>
      <c r="B860" s="18"/>
      <c r="C860" s="18"/>
      <c r="D860" s="18"/>
      <c r="E860" s="18"/>
      <c r="F860" s="106"/>
      <c r="G860" s="106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</row>
    <row r="861" spans="1:52" ht="15.75" customHeight="1">
      <c r="A861" s="18"/>
      <c r="B861" s="18"/>
      <c r="C861" s="18"/>
      <c r="D861" s="18"/>
      <c r="E861" s="18"/>
      <c r="F861" s="106"/>
      <c r="G861" s="106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</row>
    <row r="862" spans="1:52" ht="15.75" customHeight="1">
      <c r="A862" s="18"/>
      <c r="B862" s="18"/>
      <c r="C862" s="18"/>
      <c r="D862" s="18"/>
      <c r="E862" s="18"/>
      <c r="F862" s="106"/>
      <c r="G862" s="106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</row>
    <row r="863" spans="1:52" ht="15.75" customHeight="1">
      <c r="A863" s="18"/>
      <c r="B863" s="18"/>
      <c r="C863" s="18"/>
      <c r="D863" s="18"/>
      <c r="E863" s="18"/>
      <c r="F863" s="106"/>
      <c r="G863" s="106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</row>
    <row r="864" spans="1:52" ht="15.75" customHeight="1">
      <c r="A864" s="18"/>
      <c r="B864" s="18"/>
      <c r="C864" s="18"/>
      <c r="D864" s="18"/>
      <c r="E864" s="18"/>
      <c r="F864" s="106"/>
      <c r="G864" s="106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</row>
    <row r="865" spans="1:52" ht="15.75" customHeight="1">
      <c r="A865" s="18"/>
      <c r="B865" s="18"/>
      <c r="C865" s="18"/>
      <c r="D865" s="18"/>
      <c r="E865" s="18"/>
      <c r="F865" s="106"/>
      <c r="G865" s="106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</row>
    <row r="866" spans="1:52" ht="15.75" customHeight="1">
      <c r="A866" s="18"/>
      <c r="B866" s="18"/>
      <c r="C866" s="18"/>
      <c r="D866" s="18"/>
      <c r="E866" s="18"/>
      <c r="F866" s="106"/>
      <c r="G866" s="106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</row>
    <row r="867" spans="1:52" ht="15.75" customHeight="1">
      <c r="A867" s="18"/>
      <c r="B867" s="18"/>
      <c r="C867" s="18"/>
      <c r="D867" s="18"/>
      <c r="E867" s="18"/>
      <c r="F867" s="106"/>
      <c r="G867" s="106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</row>
    <row r="868" spans="1:52" ht="15.75" customHeight="1">
      <c r="A868" s="18"/>
      <c r="B868" s="18"/>
      <c r="C868" s="18"/>
      <c r="D868" s="18"/>
      <c r="E868" s="18"/>
      <c r="F868" s="106"/>
      <c r="G868" s="106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</row>
    <row r="869" spans="1:52" ht="15.75" customHeight="1">
      <c r="A869" s="18"/>
      <c r="B869" s="18"/>
      <c r="C869" s="18"/>
      <c r="D869" s="18"/>
      <c r="E869" s="18"/>
      <c r="F869" s="106"/>
      <c r="G869" s="106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</row>
    <row r="870" spans="1:52" ht="15.75" customHeight="1">
      <c r="A870" s="18"/>
      <c r="B870" s="18"/>
      <c r="C870" s="18"/>
      <c r="D870" s="18"/>
      <c r="E870" s="18"/>
      <c r="F870" s="106"/>
      <c r="G870" s="106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</row>
    <row r="871" spans="1:52" ht="15.75" customHeight="1">
      <c r="A871" s="18"/>
      <c r="B871" s="18"/>
      <c r="C871" s="18"/>
      <c r="D871" s="18"/>
      <c r="E871" s="18"/>
      <c r="F871" s="106"/>
      <c r="G871" s="106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</row>
    <row r="872" spans="1:52" ht="15.75" customHeight="1">
      <c r="A872" s="18"/>
      <c r="B872" s="18"/>
      <c r="C872" s="18"/>
      <c r="D872" s="18"/>
      <c r="E872" s="18"/>
      <c r="F872" s="106"/>
      <c r="G872" s="106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</row>
    <row r="873" spans="1:52" ht="15.75" customHeight="1">
      <c r="A873" s="18"/>
      <c r="B873" s="18"/>
      <c r="C873" s="18"/>
      <c r="D873" s="18"/>
      <c r="E873" s="18"/>
      <c r="F873" s="106"/>
      <c r="G873" s="106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</row>
    <row r="874" spans="1:52" ht="15.75" customHeight="1">
      <c r="A874" s="18"/>
      <c r="B874" s="18"/>
      <c r="C874" s="18"/>
      <c r="D874" s="18"/>
      <c r="E874" s="18"/>
      <c r="F874" s="106"/>
      <c r="G874" s="106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</row>
    <row r="875" spans="1:52" ht="15.75" customHeight="1">
      <c r="A875" s="18"/>
      <c r="B875" s="18"/>
      <c r="C875" s="18"/>
      <c r="D875" s="18"/>
      <c r="E875" s="18"/>
      <c r="F875" s="106"/>
      <c r="G875" s="106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</row>
    <row r="876" spans="1:52" ht="15.75" customHeight="1">
      <c r="A876" s="18"/>
      <c r="B876" s="18"/>
      <c r="C876" s="18"/>
      <c r="D876" s="18"/>
      <c r="E876" s="18"/>
      <c r="F876" s="106"/>
      <c r="G876" s="106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</row>
    <row r="877" spans="1:52" ht="15.75" customHeight="1">
      <c r="A877" s="18"/>
      <c r="B877" s="18"/>
      <c r="C877" s="18"/>
      <c r="D877" s="18"/>
      <c r="E877" s="18"/>
      <c r="F877" s="106"/>
      <c r="G877" s="106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</row>
    <row r="878" spans="1:52" ht="15.75" customHeight="1">
      <c r="A878" s="18"/>
      <c r="B878" s="18"/>
      <c r="C878" s="18"/>
      <c r="D878" s="18"/>
      <c r="E878" s="18"/>
      <c r="F878" s="106"/>
      <c r="G878" s="106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</row>
    <row r="879" spans="1:52" ht="15.75" customHeight="1">
      <c r="A879" s="18"/>
      <c r="B879" s="18"/>
      <c r="C879" s="18"/>
      <c r="D879" s="18"/>
      <c r="E879" s="18"/>
      <c r="F879" s="106"/>
      <c r="G879" s="106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</row>
    <row r="880" spans="1:52" ht="15.75" customHeight="1">
      <c r="A880" s="18"/>
      <c r="B880" s="18"/>
      <c r="C880" s="18"/>
      <c r="D880" s="18"/>
      <c r="E880" s="18"/>
      <c r="F880" s="106"/>
      <c r="G880" s="106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</row>
    <row r="881" spans="1:52" ht="15.75" customHeight="1">
      <c r="A881" s="18"/>
      <c r="B881" s="18"/>
      <c r="C881" s="18"/>
      <c r="D881" s="18"/>
      <c r="E881" s="18"/>
      <c r="F881" s="106"/>
      <c r="G881" s="106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</row>
    <row r="882" spans="1:52" ht="15.75" customHeight="1">
      <c r="A882" s="18"/>
      <c r="B882" s="18"/>
      <c r="C882" s="18"/>
      <c r="D882" s="18"/>
      <c r="E882" s="18"/>
      <c r="F882" s="106"/>
      <c r="G882" s="106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</row>
    <row r="883" spans="1:52" ht="15.75" customHeight="1">
      <c r="A883" s="18"/>
      <c r="B883" s="18"/>
      <c r="C883" s="18"/>
      <c r="D883" s="18"/>
      <c r="E883" s="18"/>
      <c r="F883" s="106"/>
      <c r="G883" s="106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</row>
    <row r="884" spans="1:52" ht="15.75" customHeight="1">
      <c r="A884" s="18"/>
      <c r="B884" s="18"/>
      <c r="C884" s="18"/>
      <c r="D884" s="18"/>
      <c r="E884" s="18"/>
      <c r="F884" s="106"/>
      <c r="G884" s="106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</row>
    <row r="885" spans="1:52" ht="15.75" customHeight="1">
      <c r="A885" s="18"/>
      <c r="B885" s="18"/>
      <c r="C885" s="18"/>
      <c r="D885" s="18"/>
      <c r="E885" s="18"/>
      <c r="F885" s="106"/>
      <c r="G885" s="106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</row>
    <row r="886" spans="1:52" ht="15.75" customHeight="1">
      <c r="A886" s="18"/>
      <c r="B886" s="18"/>
      <c r="C886" s="18"/>
      <c r="D886" s="18"/>
      <c r="E886" s="18"/>
      <c r="F886" s="106"/>
      <c r="G886" s="106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</row>
    <row r="887" spans="1:52" ht="15.75" customHeight="1">
      <c r="A887" s="18"/>
      <c r="B887" s="18"/>
      <c r="C887" s="18"/>
      <c r="D887" s="18"/>
      <c r="E887" s="18"/>
      <c r="F887" s="106"/>
      <c r="G887" s="106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</row>
    <row r="888" spans="1:52" ht="15.75" customHeight="1">
      <c r="A888" s="18"/>
      <c r="B888" s="18"/>
      <c r="C888" s="18"/>
      <c r="D888" s="18"/>
      <c r="E888" s="18"/>
      <c r="F888" s="106"/>
      <c r="G888" s="106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</row>
    <row r="889" spans="1:52" ht="15.75" customHeight="1">
      <c r="A889" s="18"/>
      <c r="B889" s="18"/>
      <c r="C889" s="18"/>
      <c r="D889" s="18"/>
      <c r="E889" s="18"/>
      <c r="F889" s="106"/>
      <c r="G889" s="106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</row>
    <row r="890" spans="1:52" ht="15.75" customHeight="1">
      <c r="A890" s="18"/>
      <c r="B890" s="18"/>
      <c r="C890" s="18"/>
      <c r="D890" s="18"/>
      <c r="E890" s="18"/>
      <c r="F890" s="106"/>
      <c r="G890" s="106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</row>
    <row r="891" spans="1:52" ht="15.75" customHeight="1">
      <c r="A891" s="18"/>
      <c r="B891" s="18"/>
      <c r="C891" s="18"/>
      <c r="D891" s="18"/>
      <c r="E891" s="18"/>
      <c r="F891" s="106"/>
      <c r="G891" s="106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</row>
    <row r="892" spans="1:52" ht="15.75" customHeight="1">
      <c r="A892" s="18"/>
      <c r="B892" s="18"/>
      <c r="C892" s="18"/>
      <c r="D892" s="18"/>
      <c r="E892" s="18"/>
      <c r="F892" s="106"/>
      <c r="G892" s="106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</row>
    <row r="893" spans="1:52" ht="15.75" customHeight="1">
      <c r="A893" s="18"/>
      <c r="B893" s="18"/>
      <c r="C893" s="18"/>
      <c r="D893" s="18"/>
      <c r="E893" s="18"/>
      <c r="F893" s="106"/>
      <c r="G893" s="106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</row>
    <row r="894" spans="1:52" ht="15.75" customHeight="1">
      <c r="A894" s="18"/>
      <c r="B894" s="18"/>
      <c r="C894" s="18"/>
      <c r="D894" s="18"/>
      <c r="E894" s="18"/>
      <c r="F894" s="106"/>
      <c r="G894" s="106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</row>
    <row r="895" spans="1:52" ht="15.75" customHeight="1">
      <c r="A895" s="18"/>
      <c r="B895" s="18"/>
      <c r="C895" s="18"/>
      <c r="D895" s="18"/>
      <c r="E895" s="18"/>
      <c r="F895" s="106"/>
      <c r="G895" s="106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</row>
    <row r="896" spans="1:52" ht="15.75" customHeight="1">
      <c r="A896" s="18"/>
      <c r="B896" s="18"/>
      <c r="C896" s="18"/>
      <c r="D896" s="18"/>
      <c r="E896" s="18"/>
      <c r="F896" s="106"/>
      <c r="G896" s="106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</row>
    <row r="897" spans="1:52" ht="15.75" customHeight="1">
      <c r="A897" s="18"/>
      <c r="B897" s="18"/>
      <c r="C897" s="18"/>
      <c r="D897" s="18"/>
      <c r="E897" s="18"/>
      <c r="F897" s="106"/>
      <c r="G897" s="106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</row>
    <row r="898" spans="1:52" ht="15.75" customHeight="1">
      <c r="A898" s="18"/>
      <c r="B898" s="18"/>
      <c r="C898" s="18"/>
      <c r="D898" s="18"/>
      <c r="E898" s="18"/>
      <c r="F898" s="106"/>
      <c r="G898" s="106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</row>
    <row r="899" spans="1:52" ht="15.75" customHeight="1">
      <c r="A899" s="18"/>
      <c r="B899" s="18"/>
      <c r="C899" s="18"/>
      <c r="D899" s="18"/>
      <c r="E899" s="18"/>
      <c r="F899" s="106"/>
      <c r="G899" s="106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</row>
    <row r="900" spans="1:52" ht="15.75" customHeight="1">
      <c r="A900" s="18"/>
      <c r="B900" s="18"/>
      <c r="C900" s="18"/>
      <c r="D900" s="18"/>
      <c r="E900" s="18"/>
      <c r="F900" s="106"/>
      <c r="G900" s="106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</row>
    <row r="901" spans="1:52" ht="15.75" customHeight="1">
      <c r="A901" s="18"/>
      <c r="B901" s="18"/>
      <c r="C901" s="18"/>
      <c r="D901" s="18"/>
      <c r="E901" s="18"/>
      <c r="F901" s="106"/>
      <c r="G901" s="106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</row>
    <row r="902" spans="1:52" ht="15.75" customHeight="1">
      <c r="A902" s="18"/>
      <c r="B902" s="18"/>
      <c r="C902" s="18"/>
      <c r="D902" s="18"/>
      <c r="E902" s="18"/>
      <c r="F902" s="106"/>
      <c r="G902" s="106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</row>
    <row r="903" spans="1:52" ht="15.75" customHeight="1">
      <c r="A903" s="18"/>
      <c r="B903" s="18"/>
      <c r="C903" s="18"/>
      <c r="D903" s="18"/>
      <c r="E903" s="18"/>
      <c r="F903" s="106"/>
      <c r="G903" s="106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</row>
    <row r="904" spans="1:52" ht="15.75" customHeight="1">
      <c r="A904" s="18"/>
      <c r="B904" s="18"/>
      <c r="C904" s="18"/>
      <c r="D904" s="18"/>
      <c r="E904" s="18"/>
      <c r="F904" s="106"/>
      <c r="G904" s="106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</row>
    <row r="905" spans="1:52" ht="15.75" customHeight="1">
      <c r="A905" s="18"/>
      <c r="B905" s="18"/>
      <c r="C905" s="18"/>
      <c r="D905" s="18"/>
      <c r="E905" s="18"/>
      <c r="F905" s="106"/>
      <c r="G905" s="106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</row>
    <row r="906" spans="1:52" ht="15.75" customHeight="1">
      <c r="A906" s="18"/>
      <c r="B906" s="18"/>
      <c r="C906" s="18"/>
      <c r="D906" s="18"/>
      <c r="E906" s="18"/>
      <c r="F906" s="106"/>
      <c r="G906" s="106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</row>
    <row r="907" spans="1:52" ht="15.75" customHeight="1">
      <c r="A907" s="18"/>
      <c r="B907" s="18"/>
      <c r="C907" s="18"/>
      <c r="D907" s="18"/>
      <c r="E907" s="18"/>
      <c r="F907" s="106"/>
      <c r="G907" s="106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</row>
    <row r="908" spans="1:52" ht="15.75" customHeight="1">
      <c r="A908" s="18"/>
      <c r="B908" s="18"/>
      <c r="C908" s="18"/>
      <c r="D908" s="18"/>
      <c r="E908" s="18"/>
      <c r="F908" s="106"/>
      <c r="G908" s="106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</row>
    <row r="909" spans="1:52" ht="15.75" customHeight="1">
      <c r="A909" s="18"/>
      <c r="B909" s="18"/>
      <c r="C909" s="18"/>
      <c r="D909" s="18"/>
      <c r="E909" s="18"/>
      <c r="F909" s="106"/>
      <c r="G909" s="106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</row>
    <row r="910" spans="1:52" ht="15.75" customHeight="1">
      <c r="A910" s="18"/>
      <c r="B910" s="18"/>
      <c r="C910" s="18"/>
      <c r="D910" s="18"/>
      <c r="E910" s="18"/>
      <c r="F910" s="106"/>
      <c r="G910" s="106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</row>
    <row r="911" spans="1:52" ht="15.75" customHeight="1">
      <c r="A911" s="18"/>
      <c r="B911" s="18"/>
      <c r="C911" s="18"/>
      <c r="D911" s="18"/>
      <c r="E911" s="18"/>
      <c r="F911" s="106"/>
      <c r="G911" s="106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</row>
    <row r="912" spans="1:52" ht="15.75" customHeight="1">
      <c r="A912" s="18"/>
      <c r="B912" s="18"/>
      <c r="C912" s="18"/>
      <c r="D912" s="18"/>
      <c r="E912" s="18"/>
      <c r="F912" s="106"/>
      <c r="G912" s="106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</row>
    <row r="913" spans="1:52" ht="15.75" customHeight="1">
      <c r="A913" s="18"/>
      <c r="B913" s="18"/>
      <c r="C913" s="18"/>
      <c r="D913" s="18"/>
      <c r="E913" s="18"/>
      <c r="F913" s="106"/>
      <c r="G913" s="106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</row>
    <row r="914" spans="1:52" ht="15.75" customHeight="1">
      <c r="A914" s="18"/>
      <c r="B914" s="18"/>
      <c r="C914" s="18"/>
      <c r="D914" s="18"/>
      <c r="E914" s="18"/>
      <c r="F914" s="106"/>
      <c r="G914" s="106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</row>
    <row r="915" spans="1:52" ht="15.75" customHeight="1">
      <c r="A915" s="18"/>
      <c r="B915" s="18"/>
      <c r="C915" s="18"/>
      <c r="D915" s="18"/>
      <c r="E915" s="18"/>
      <c r="F915" s="106"/>
      <c r="G915" s="106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</row>
    <row r="916" spans="1:52" ht="15.75" customHeight="1">
      <c r="A916" s="18"/>
      <c r="B916" s="18"/>
      <c r="C916" s="18"/>
      <c r="D916" s="18"/>
      <c r="E916" s="18"/>
      <c r="F916" s="106"/>
      <c r="G916" s="106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</row>
    <row r="917" spans="1:52" ht="15.75" customHeight="1">
      <c r="A917" s="18"/>
      <c r="B917" s="18"/>
      <c r="C917" s="18"/>
      <c r="D917" s="18"/>
      <c r="E917" s="18"/>
      <c r="F917" s="106"/>
      <c r="G917" s="106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</row>
    <row r="918" spans="1:52" ht="15.75" customHeight="1">
      <c r="A918" s="18"/>
      <c r="B918" s="18"/>
      <c r="C918" s="18"/>
      <c r="D918" s="18"/>
      <c r="E918" s="18"/>
      <c r="F918" s="106"/>
      <c r="G918" s="106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</row>
    <row r="919" spans="1:52" ht="15.75" customHeight="1">
      <c r="A919" s="18"/>
      <c r="B919" s="18"/>
      <c r="C919" s="18"/>
      <c r="D919" s="18"/>
      <c r="E919" s="18"/>
      <c r="F919" s="106"/>
      <c r="G919" s="106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</row>
    <row r="920" spans="1:52" ht="15.75" customHeight="1">
      <c r="A920" s="18"/>
      <c r="B920" s="18"/>
      <c r="C920" s="18"/>
      <c r="D920" s="18"/>
      <c r="E920" s="18"/>
      <c r="F920" s="106"/>
      <c r="G920" s="106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</row>
    <row r="921" spans="1:52" ht="15.75" customHeight="1">
      <c r="A921" s="18"/>
      <c r="B921" s="18"/>
      <c r="C921" s="18"/>
      <c r="D921" s="18"/>
      <c r="E921" s="18"/>
      <c r="F921" s="106"/>
      <c r="G921" s="106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</row>
    <row r="922" spans="1:52" ht="15.75" customHeight="1">
      <c r="A922" s="18"/>
      <c r="B922" s="18"/>
      <c r="C922" s="18"/>
      <c r="D922" s="18"/>
      <c r="E922" s="18"/>
      <c r="F922" s="106"/>
      <c r="G922" s="106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</row>
    <row r="923" spans="1:52" ht="15.75" customHeight="1">
      <c r="A923" s="18"/>
      <c r="B923" s="18"/>
      <c r="C923" s="18"/>
      <c r="D923" s="18"/>
      <c r="E923" s="18"/>
      <c r="F923" s="106"/>
      <c r="G923" s="106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</row>
    <row r="924" spans="1:52" ht="15.75" customHeight="1">
      <c r="A924" s="18"/>
      <c r="B924" s="18"/>
      <c r="C924" s="18"/>
      <c r="D924" s="18"/>
      <c r="E924" s="18"/>
      <c r="F924" s="106"/>
      <c r="G924" s="106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</row>
    <row r="925" spans="1:52" ht="15.75" customHeight="1">
      <c r="A925" s="18"/>
      <c r="B925" s="18"/>
      <c r="C925" s="18"/>
      <c r="D925" s="18"/>
      <c r="E925" s="18"/>
      <c r="F925" s="106"/>
      <c r="G925" s="106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</row>
    <row r="926" spans="1:52" ht="15.75" customHeight="1">
      <c r="A926" s="18"/>
      <c r="B926" s="18"/>
      <c r="C926" s="18"/>
      <c r="D926" s="18"/>
      <c r="E926" s="18"/>
      <c r="F926" s="106"/>
      <c r="G926" s="106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</row>
    <row r="927" spans="1:52" ht="15.75" customHeight="1">
      <c r="A927" s="18"/>
      <c r="B927" s="18"/>
      <c r="C927" s="18"/>
      <c r="D927" s="18"/>
      <c r="E927" s="18"/>
      <c r="F927" s="106"/>
      <c r="G927" s="106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</row>
    <row r="928" spans="1:52" ht="15.75" customHeight="1">
      <c r="A928" s="18"/>
      <c r="B928" s="18"/>
      <c r="C928" s="18"/>
      <c r="D928" s="18"/>
      <c r="E928" s="18"/>
      <c r="F928" s="106"/>
      <c r="G928" s="106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</row>
    <row r="929" spans="1:52" ht="15.75" customHeight="1">
      <c r="A929" s="18"/>
      <c r="B929" s="18"/>
      <c r="C929" s="18"/>
      <c r="D929" s="18"/>
      <c r="E929" s="18"/>
      <c r="F929" s="106"/>
      <c r="G929" s="106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</row>
    <row r="930" spans="1:52" ht="15.75" customHeight="1">
      <c r="A930" s="18"/>
      <c r="B930" s="18"/>
      <c r="C930" s="18"/>
      <c r="D930" s="18"/>
      <c r="E930" s="18"/>
      <c r="F930" s="106"/>
      <c r="G930" s="106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</row>
    <row r="931" spans="1:52" ht="15.75" customHeight="1">
      <c r="A931" s="18"/>
      <c r="B931" s="18"/>
      <c r="C931" s="18"/>
      <c r="D931" s="18"/>
      <c r="E931" s="18"/>
      <c r="F931" s="106"/>
      <c r="G931" s="106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</row>
    <row r="932" spans="1:52" ht="15.75" customHeight="1">
      <c r="A932" s="18"/>
      <c r="B932" s="18"/>
      <c r="C932" s="18"/>
      <c r="D932" s="18"/>
      <c r="E932" s="18"/>
      <c r="F932" s="106"/>
      <c r="G932" s="106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</row>
    <row r="933" spans="1:52" ht="15.75" customHeight="1">
      <c r="A933" s="18"/>
      <c r="B933" s="18"/>
      <c r="C933" s="18"/>
      <c r="D933" s="18"/>
      <c r="E933" s="18"/>
      <c r="F933" s="106"/>
      <c r="G933" s="106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</row>
    <row r="934" spans="1:52" ht="15.75" customHeight="1">
      <c r="A934" s="18"/>
      <c r="B934" s="18"/>
      <c r="C934" s="18"/>
      <c r="D934" s="18"/>
      <c r="E934" s="18"/>
      <c r="F934" s="106"/>
      <c r="G934" s="106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</row>
    <row r="935" spans="1:52" ht="15.75" customHeight="1">
      <c r="A935" s="18"/>
      <c r="B935" s="18"/>
      <c r="C935" s="18"/>
      <c r="D935" s="18"/>
      <c r="E935" s="18"/>
      <c r="F935" s="106"/>
      <c r="G935" s="106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</row>
    <row r="936" spans="1:52" ht="15.75" customHeight="1">
      <c r="A936" s="18"/>
      <c r="B936" s="18"/>
      <c r="C936" s="18"/>
      <c r="D936" s="18"/>
      <c r="E936" s="18"/>
      <c r="F936" s="106"/>
      <c r="G936" s="106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</row>
    <row r="937" spans="1:52" ht="15.75" customHeight="1">
      <c r="A937" s="18"/>
      <c r="B937" s="18"/>
      <c r="C937" s="18"/>
      <c r="D937" s="18"/>
      <c r="E937" s="18"/>
      <c r="F937" s="106"/>
      <c r="G937" s="106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</row>
    <row r="938" spans="1:52" ht="15.75" customHeight="1">
      <c r="A938" s="18"/>
      <c r="B938" s="18"/>
      <c r="C938" s="18"/>
      <c r="D938" s="18"/>
      <c r="E938" s="18"/>
      <c r="F938" s="106"/>
      <c r="G938" s="106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</row>
    <row r="939" spans="1:52" ht="15.75" customHeight="1">
      <c r="A939" s="18"/>
      <c r="B939" s="18"/>
      <c r="C939" s="18"/>
      <c r="D939" s="18"/>
      <c r="E939" s="18"/>
      <c r="F939" s="106"/>
      <c r="G939" s="106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</row>
    <row r="940" spans="1:52" ht="15.75" customHeight="1">
      <c r="A940" s="18"/>
      <c r="B940" s="18"/>
      <c r="C940" s="18"/>
      <c r="D940" s="18"/>
      <c r="E940" s="18"/>
      <c r="F940" s="106"/>
      <c r="G940" s="106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</row>
    <row r="941" spans="1:52" ht="15.75" customHeight="1">
      <c r="A941" s="18"/>
      <c r="B941" s="18"/>
      <c r="C941" s="18"/>
      <c r="D941" s="18"/>
      <c r="E941" s="18"/>
      <c r="F941" s="106"/>
      <c r="G941" s="106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</row>
    <row r="942" spans="1:52" ht="15.75" customHeight="1">
      <c r="A942" s="18"/>
      <c r="B942" s="18"/>
      <c r="C942" s="18"/>
      <c r="D942" s="18"/>
      <c r="E942" s="18"/>
      <c r="F942" s="106"/>
      <c r="G942" s="106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</row>
    <row r="943" spans="1:52" ht="15.75" customHeight="1">
      <c r="A943" s="18"/>
      <c r="B943" s="18"/>
      <c r="C943" s="18"/>
      <c r="D943" s="18"/>
      <c r="E943" s="18"/>
      <c r="F943" s="106"/>
      <c r="G943" s="106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</row>
    <row r="944" spans="1:52" ht="15.75" customHeight="1">
      <c r="A944" s="18"/>
      <c r="B944" s="18"/>
      <c r="C944" s="18"/>
      <c r="D944" s="18"/>
      <c r="E944" s="18"/>
      <c r="F944" s="106"/>
      <c r="G944" s="106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</row>
    <row r="945" spans="1:52" ht="15.75" customHeight="1">
      <c r="A945" s="18"/>
      <c r="B945" s="18"/>
      <c r="C945" s="18"/>
      <c r="D945" s="18"/>
      <c r="E945" s="18"/>
      <c r="F945" s="106"/>
      <c r="G945" s="106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</row>
    <row r="946" spans="1:52" ht="15.75" customHeight="1">
      <c r="A946" s="18"/>
      <c r="B946" s="18"/>
      <c r="C946" s="18"/>
      <c r="D946" s="18"/>
      <c r="E946" s="18"/>
      <c r="F946" s="106"/>
      <c r="G946" s="106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</row>
    <row r="947" spans="1:52" ht="15.75" customHeight="1">
      <c r="A947" s="18"/>
      <c r="B947" s="18"/>
      <c r="C947" s="18"/>
      <c r="D947" s="18"/>
      <c r="E947" s="18"/>
      <c r="F947" s="106"/>
      <c r="G947" s="106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</row>
    <row r="948" spans="1:52" ht="15.75" customHeight="1">
      <c r="A948" s="18"/>
      <c r="B948" s="18"/>
      <c r="C948" s="18"/>
      <c r="D948" s="18"/>
      <c r="E948" s="18"/>
      <c r="F948" s="106"/>
      <c r="G948" s="106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</row>
    <row r="949" spans="1:52" ht="15.75" customHeight="1">
      <c r="A949" s="18"/>
      <c r="B949" s="18"/>
      <c r="C949" s="18"/>
      <c r="D949" s="18"/>
      <c r="E949" s="18"/>
      <c r="F949" s="106"/>
      <c r="G949" s="106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</row>
    <row r="950" spans="1:52" ht="15.75" customHeight="1">
      <c r="A950" s="18"/>
      <c r="B950" s="18"/>
      <c r="C950" s="18"/>
      <c r="D950" s="18"/>
      <c r="E950" s="18"/>
      <c r="F950" s="106"/>
      <c r="G950" s="106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</row>
    <row r="951" spans="1:52" ht="15.75" customHeight="1">
      <c r="A951" s="18"/>
      <c r="B951" s="18"/>
      <c r="C951" s="18"/>
      <c r="D951" s="18"/>
      <c r="E951" s="18"/>
      <c r="F951" s="106"/>
      <c r="G951" s="106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</row>
    <row r="952" spans="1:52" ht="15.75" customHeight="1">
      <c r="A952" s="18"/>
      <c r="B952" s="18"/>
      <c r="C952" s="18"/>
      <c r="D952" s="18"/>
      <c r="E952" s="18"/>
      <c r="F952" s="106"/>
      <c r="G952" s="106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</row>
    <row r="953" spans="1:52" ht="15.75" customHeight="1">
      <c r="A953" s="18"/>
      <c r="B953" s="18"/>
      <c r="C953" s="18"/>
      <c r="D953" s="18"/>
      <c r="E953" s="18"/>
      <c r="F953" s="106"/>
      <c r="G953" s="106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</row>
    <row r="954" spans="1:52" ht="15.75" customHeight="1">
      <c r="A954" s="18"/>
      <c r="B954" s="18"/>
      <c r="C954" s="18"/>
      <c r="D954" s="18"/>
      <c r="E954" s="18"/>
      <c r="F954" s="106"/>
      <c r="G954" s="106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</row>
    <row r="955" spans="1:52" ht="15.75" customHeight="1">
      <c r="A955" s="18"/>
      <c r="B955" s="18"/>
      <c r="C955" s="18"/>
      <c r="D955" s="18"/>
      <c r="E955" s="18"/>
      <c r="F955" s="106"/>
      <c r="G955" s="106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</row>
    <row r="956" spans="1:52" ht="15.75" customHeight="1">
      <c r="A956" s="18"/>
      <c r="B956" s="18"/>
      <c r="C956" s="18"/>
      <c r="D956" s="18"/>
      <c r="E956" s="18"/>
      <c r="F956" s="106"/>
      <c r="G956" s="106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</row>
    <row r="957" spans="1:52" ht="15.75" customHeight="1">
      <c r="A957" s="18"/>
      <c r="B957" s="18"/>
      <c r="C957" s="18"/>
      <c r="D957" s="18"/>
      <c r="E957" s="18"/>
      <c r="F957" s="106"/>
      <c r="G957" s="106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</row>
    <row r="958" spans="1:52" ht="15.75" customHeight="1">
      <c r="A958" s="18"/>
      <c r="B958" s="18"/>
      <c r="C958" s="18"/>
      <c r="D958" s="18"/>
      <c r="E958" s="18"/>
      <c r="F958" s="106"/>
      <c r="G958" s="106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</row>
    <row r="959" spans="1:52" ht="15.75" customHeight="1">
      <c r="A959" s="18"/>
      <c r="B959" s="18"/>
      <c r="C959" s="18"/>
      <c r="D959" s="18"/>
      <c r="E959" s="18"/>
      <c r="F959" s="106"/>
      <c r="G959" s="106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</row>
    <row r="960" spans="1:52" ht="15.75" customHeight="1">
      <c r="A960" s="18"/>
      <c r="B960" s="18"/>
      <c r="C960" s="18"/>
      <c r="D960" s="18"/>
      <c r="E960" s="18"/>
      <c r="F960" s="106"/>
      <c r="G960" s="106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</row>
    <row r="961" spans="1:52" ht="15.75" customHeight="1">
      <c r="A961" s="18"/>
      <c r="B961" s="18"/>
      <c r="C961" s="18"/>
      <c r="D961" s="18"/>
      <c r="E961" s="18"/>
      <c r="F961" s="106"/>
      <c r="G961" s="106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</row>
    <row r="962" spans="1:52" ht="15.75" customHeight="1">
      <c r="A962" s="18"/>
      <c r="B962" s="18"/>
      <c r="C962" s="18"/>
      <c r="D962" s="18"/>
      <c r="E962" s="18"/>
      <c r="F962" s="106"/>
      <c r="G962" s="106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</row>
    <row r="963" spans="1:52" ht="15.75" customHeight="1">
      <c r="A963" s="18"/>
      <c r="B963" s="18"/>
      <c r="C963" s="18"/>
      <c r="D963" s="18"/>
      <c r="E963" s="18"/>
      <c r="F963" s="106"/>
      <c r="G963" s="106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</row>
    <row r="964" spans="1:52" ht="15.75" customHeight="1">
      <c r="A964" s="18"/>
      <c r="B964" s="18"/>
      <c r="C964" s="18"/>
      <c r="D964" s="18"/>
      <c r="E964" s="18"/>
      <c r="F964" s="106"/>
      <c r="G964" s="106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</row>
    <row r="965" spans="1:52" ht="15.75" customHeight="1">
      <c r="A965" s="18"/>
      <c r="B965" s="18"/>
      <c r="C965" s="18"/>
      <c r="D965" s="18"/>
      <c r="E965" s="18"/>
      <c r="F965" s="106"/>
      <c r="G965" s="106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</row>
    <row r="966" spans="1:52" ht="15.75" customHeight="1">
      <c r="A966" s="18"/>
      <c r="B966" s="18"/>
      <c r="C966" s="18"/>
      <c r="D966" s="18"/>
      <c r="E966" s="18"/>
      <c r="F966" s="106"/>
      <c r="G966" s="106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</row>
    <row r="967" spans="1:52" ht="15.75" customHeight="1">
      <c r="A967" s="18"/>
      <c r="B967" s="18"/>
      <c r="C967" s="18"/>
      <c r="D967" s="18"/>
      <c r="E967" s="18"/>
      <c r="F967" s="106"/>
      <c r="G967" s="106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</row>
    <row r="968" spans="1:52" ht="15.75" customHeight="1">
      <c r="A968" s="18"/>
      <c r="B968" s="18"/>
      <c r="C968" s="18"/>
      <c r="D968" s="18"/>
      <c r="E968" s="18"/>
      <c r="F968" s="106"/>
      <c r="G968" s="106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</row>
    <row r="969" spans="1:52" ht="15.75" customHeight="1">
      <c r="A969" s="18"/>
      <c r="B969" s="18"/>
      <c r="C969" s="18"/>
      <c r="D969" s="18"/>
      <c r="E969" s="18"/>
      <c r="F969" s="106"/>
      <c r="G969" s="106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</row>
    <row r="970" spans="1:52" ht="15.75" customHeight="1">
      <c r="A970" s="18"/>
      <c r="B970" s="18"/>
      <c r="C970" s="18"/>
      <c r="D970" s="18"/>
      <c r="E970" s="18"/>
      <c r="F970" s="106"/>
      <c r="G970" s="106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</row>
    <row r="971" spans="1:52" ht="15.75" customHeight="1">
      <c r="A971" s="18"/>
      <c r="B971" s="18"/>
      <c r="C971" s="18"/>
      <c r="D971" s="18"/>
      <c r="E971" s="18"/>
      <c r="F971" s="106"/>
      <c r="G971" s="106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</row>
    <row r="972" spans="1:52" ht="15.75" customHeight="1">
      <c r="A972" s="18"/>
      <c r="B972" s="18"/>
      <c r="C972" s="18"/>
      <c r="D972" s="18"/>
      <c r="E972" s="18"/>
      <c r="F972" s="106"/>
      <c r="G972" s="106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</row>
    <row r="973" spans="1:52" ht="15.75" customHeight="1">
      <c r="A973" s="18"/>
      <c r="B973" s="18"/>
      <c r="C973" s="18"/>
      <c r="D973" s="18"/>
      <c r="E973" s="18"/>
      <c r="F973" s="106"/>
      <c r="G973" s="106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</row>
    <row r="974" spans="1:52" ht="15.75" customHeight="1">
      <c r="A974" s="18"/>
      <c r="B974" s="18"/>
      <c r="C974" s="18"/>
      <c r="D974" s="18"/>
      <c r="E974" s="18"/>
      <c r="F974" s="106"/>
      <c r="G974" s="106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</row>
    <row r="975" spans="1:52" ht="15.75" customHeight="1">
      <c r="A975" s="18"/>
      <c r="B975" s="18"/>
      <c r="C975" s="18"/>
      <c r="D975" s="18"/>
      <c r="E975" s="18"/>
      <c r="F975" s="106"/>
      <c r="G975" s="106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</row>
    <row r="976" spans="1:52" ht="15.75" customHeight="1">
      <c r="A976" s="18"/>
      <c r="B976" s="18"/>
      <c r="C976" s="18"/>
      <c r="D976" s="18"/>
      <c r="E976" s="18"/>
      <c r="F976" s="106"/>
      <c r="G976" s="106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</row>
    <row r="977" spans="1:52" ht="15.75" customHeight="1">
      <c r="A977" s="18"/>
      <c r="B977" s="18"/>
      <c r="C977" s="18"/>
      <c r="D977" s="18"/>
      <c r="E977" s="18"/>
      <c r="F977" s="106"/>
      <c r="G977" s="106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</row>
    <row r="978" spans="1:52" ht="15.75" customHeight="1">
      <c r="A978" s="18"/>
      <c r="B978" s="18"/>
      <c r="C978" s="18"/>
      <c r="D978" s="18"/>
      <c r="E978" s="18"/>
      <c r="F978" s="106"/>
      <c r="G978" s="106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</row>
    <row r="979" spans="1:52" ht="15.75" customHeight="1">
      <c r="A979" s="18"/>
      <c r="B979" s="18"/>
      <c r="C979" s="18"/>
      <c r="D979" s="18"/>
      <c r="E979" s="18"/>
      <c r="F979" s="106"/>
      <c r="G979" s="106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</row>
    <row r="980" spans="1:52" ht="15.75" customHeight="1">
      <c r="A980" s="18"/>
      <c r="B980" s="18"/>
      <c r="C980" s="18"/>
      <c r="D980" s="18"/>
      <c r="E980" s="18"/>
      <c r="F980" s="106"/>
      <c r="G980" s="106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</row>
    <row r="981" spans="1:52" ht="15.75" customHeight="1">
      <c r="A981" s="18"/>
      <c r="B981" s="18"/>
      <c r="C981" s="18"/>
      <c r="D981" s="18"/>
      <c r="E981" s="18"/>
      <c r="F981" s="106"/>
      <c r="G981" s="106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</row>
    <row r="982" spans="1:52" ht="15.75" customHeight="1">
      <c r="A982" s="18"/>
      <c r="B982" s="18"/>
      <c r="C982" s="18"/>
      <c r="D982" s="18"/>
      <c r="E982" s="18"/>
      <c r="F982" s="106"/>
      <c r="G982" s="106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</row>
    <row r="983" spans="1:52" ht="15.75" customHeight="1">
      <c r="A983" s="18"/>
      <c r="B983" s="18"/>
      <c r="C983" s="18"/>
      <c r="D983" s="18"/>
      <c r="E983" s="18"/>
      <c r="F983" s="106"/>
      <c r="G983" s="106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</row>
    <row r="984" spans="1:52" ht="15.75" customHeight="1">
      <c r="A984" s="18"/>
      <c r="B984" s="18"/>
      <c r="C984" s="18"/>
      <c r="D984" s="18"/>
      <c r="E984" s="18"/>
      <c r="F984" s="106"/>
      <c r="G984" s="106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</row>
    <row r="985" spans="1:52" ht="15.75" customHeight="1">
      <c r="A985" s="18"/>
      <c r="B985" s="18"/>
      <c r="C985" s="18"/>
      <c r="D985" s="18"/>
      <c r="E985" s="18"/>
      <c r="F985" s="106"/>
      <c r="G985" s="106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</row>
    <row r="986" spans="1:52" ht="15.75" customHeight="1">
      <c r="A986" s="18"/>
      <c r="B986" s="18"/>
      <c r="C986" s="18"/>
      <c r="D986" s="18"/>
      <c r="E986" s="18"/>
      <c r="F986" s="106"/>
      <c r="G986" s="106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</row>
    <row r="987" spans="1:52" ht="15.75" customHeight="1">
      <c r="A987" s="18"/>
      <c r="B987" s="18"/>
      <c r="C987" s="18"/>
      <c r="D987" s="18"/>
      <c r="E987" s="18"/>
      <c r="F987" s="106"/>
      <c r="G987" s="106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</row>
    <row r="988" spans="1:52" ht="15.75" customHeight="1">
      <c r="A988" s="18"/>
      <c r="B988" s="18"/>
      <c r="C988" s="18"/>
      <c r="D988" s="18"/>
      <c r="E988" s="18"/>
      <c r="F988" s="106"/>
      <c r="G988" s="106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</row>
    <row r="989" spans="1:52" ht="15.75" customHeight="1">
      <c r="A989" s="18"/>
      <c r="B989" s="18"/>
      <c r="C989" s="18"/>
      <c r="D989" s="18"/>
      <c r="E989" s="18"/>
      <c r="F989" s="106"/>
      <c r="G989" s="106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</row>
    <row r="990" spans="1:52" ht="15.75" customHeight="1">
      <c r="A990" s="18"/>
      <c r="B990" s="18"/>
      <c r="C990" s="18"/>
      <c r="D990" s="18"/>
      <c r="E990" s="18"/>
      <c r="F990" s="106"/>
      <c r="G990" s="106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</row>
    <row r="991" spans="1:52" ht="15.75" customHeight="1">
      <c r="A991" s="18"/>
      <c r="B991" s="18"/>
      <c r="C991" s="18"/>
      <c r="D991" s="18"/>
      <c r="E991" s="18"/>
      <c r="F991" s="106"/>
      <c r="G991" s="106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</row>
    <row r="992" spans="1:52" ht="15.75" customHeight="1">
      <c r="A992" s="18"/>
      <c r="B992" s="18"/>
      <c r="C992" s="18"/>
      <c r="D992" s="18"/>
      <c r="E992" s="18"/>
      <c r="F992" s="106"/>
      <c r="G992" s="106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</row>
    <row r="993" spans="1:52" ht="15.75" customHeight="1">
      <c r="A993" s="18"/>
      <c r="B993" s="18"/>
      <c r="C993" s="18"/>
      <c r="D993" s="18"/>
      <c r="E993" s="18"/>
      <c r="F993" s="106"/>
      <c r="G993" s="106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</row>
    <row r="994" spans="1:52" ht="15.75" customHeight="1">
      <c r="A994" s="18"/>
      <c r="B994" s="18"/>
      <c r="C994" s="18"/>
      <c r="D994" s="18"/>
      <c r="E994" s="18"/>
      <c r="F994" s="106"/>
      <c r="G994" s="106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</row>
    <row r="995" spans="1:52" ht="15.75" customHeight="1">
      <c r="A995" s="18"/>
      <c r="B995" s="18"/>
      <c r="C995" s="18"/>
      <c r="D995" s="18"/>
      <c r="E995" s="18"/>
      <c r="F995" s="106"/>
      <c r="G995" s="106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</row>
    <row r="996" spans="1:52" ht="15.75" customHeight="1">
      <c r="A996" s="18"/>
      <c r="B996" s="18"/>
      <c r="C996" s="18"/>
      <c r="D996" s="18"/>
      <c r="E996" s="18"/>
      <c r="F996" s="106"/>
      <c r="G996" s="106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</row>
    <row r="997" spans="1:52" ht="15.75" customHeight="1">
      <c r="A997" s="18"/>
      <c r="B997" s="18"/>
      <c r="C997" s="18"/>
      <c r="D997" s="18"/>
      <c r="E997" s="18"/>
      <c r="F997" s="106"/>
      <c r="G997" s="106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</row>
    <row r="998" spans="1:52" ht="15.75" customHeight="1">
      <c r="A998" s="18"/>
      <c r="B998" s="18"/>
      <c r="C998" s="18"/>
      <c r="D998" s="18"/>
      <c r="E998" s="18"/>
      <c r="F998" s="106"/>
      <c r="G998" s="106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</row>
    <row r="999" spans="1:52" ht="15.75" customHeight="1">
      <c r="A999" s="18"/>
      <c r="B999" s="18"/>
      <c r="C999" s="18"/>
      <c r="D999" s="18"/>
      <c r="E999" s="18"/>
      <c r="F999" s="106"/>
      <c r="G999" s="106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</row>
    <row r="1000" spans="1:52" ht="15.75" customHeight="1">
      <c r="A1000" s="18"/>
      <c r="B1000" s="18"/>
      <c r="C1000" s="18"/>
      <c r="D1000" s="18"/>
      <c r="E1000" s="18"/>
      <c r="F1000" s="106"/>
      <c r="G1000" s="106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</row>
    <row r="1001" spans="1:52" ht="15.75" customHeight="1">
      <c r="A1001" s="18"/>
      <c r="B1001" s="18"/>
      <c r="C1001" s="18"/>
      <c r="D1001" s="18"/>
      <c r="E1001" s="18"/>
      <c r="F1001" s="106"/>
      <c r="G1001" s="106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</row>
    <row r="1002" spans="1:52" ht="15.75" customHeight="1">
      <c r="A1002" s="18"/>
      <c r="B1002" s="18"/>
      <c r="C1002" s="18"/>
      <c r="D1002" s="18"/>
      <c r="E1002" s="18"/>
      <c r="F1002" s="106"/>
      <c r="G1002" s="106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</row>
    <row r="1003" spans="1:52" ht="15.75" customHeight="1">
      <c r="A1003" s="18"/>
      <c r="B1003" s="18"/>
      <c r="C1003" s="18"/>
      <c r="D1003" s="18"/>
      <c r="E1003" s="18"/>
      <c r="F1003" s="106"/>
      <c r="G1003" s="106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</row>
    <row r="1004" spans="1:52" ht="15.75" customHeight="1">
      <c r="A1004" s="18"/>
      <c r="B1004" s="18"/>
      <c r="C1004" s="18"/>
      <c r="D1004" s="18"/>
      <c r="E1004" s="18"/>
      <c r="F1004" s="106"/>
      <c r="G1004" s="106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</row>
    <row r="1005" spans="1:52" ht="15.75" customHeight="1">
      <c r="A1005" s="18"/>
      <c r="B1005" s="18"/>
      <c r="C1005" s="18"/>
      <c r="D1005" s="18"/>
      <c r="E1005" s="18"/>
      <c r="F1005" s="106"/>
      <c r="G1005" s="106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</row>
    <row r="1006" spans="1:52" ht="15.75" customHeight="1">
      <c r="A1006" s="18"/>
      <c r="B1006" s="18"/>
      <c r="C1006" s="18"/>
      <c r="D1006" s="18"/>
      <c r="E1006" s="18"/>
      <c r="F1006" s="106"/>
      <c r="G1006" s="106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</row>
    <row r="1007" spans="1:52" ht="15.75" customHeight="1">
      <c r="A1007" s="18"/>
      <c r="B1007" s="18"/>
      <c r="C1007" s="18"/>
      <c r="D1007" s="18"/>
      <c r="E1007" s="18"/>
      <c r="F1007" s="106"/>
      <c r="G1007" s="106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</row>
    <row r="1008" spans="1:52" ht="15.75" customHeight="1">
      <c r="A1008" s="18"/>
      <c r="B1008" s="18"/>
      <c r="C1008" s="18"/>
      <c r="D1008" s="18"/>
      <c r="E1008" s="18"/>
      <c r="F1008" s="106"/>
      <c r="G1008" s="106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</row>
    <row r="1009" spans="1:52" ht="15.75" customHeight="1">
      <c r="A1009" s="18"/>
      <c r="B1009" s="18"/>
      <c r="C1009" s="18"/>
      <c r="D1009" s="18"/>
      <c r="E1009" s="18"/>
      <c r="F1009" s="106"/>
      <c r="G1009" s="106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</row>
    <row r="1010" spans="1:52" ht="15.75" customHeight="1">
      <c r="A1010" s="18"/>
      <c r="B1010" s="18"/>
      <c r="C1010" s="18"/>
      <c r="D1010" s="18"/>
      <c r="E1010" s="18"/>
      <c r="F1010" s="106"/>
      <c r="G1010" s="106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</row>
    <row r="1011" spans="1:52" ht="15.75" customHeight="1">
      <c r="A1011" s="18"/>
      <c r="B1011" s="18"/>
      <c r="C1011" s="18"/>
      <c r="D1011" s="18"/>
      <c r="E1011" s="18"/>
      <c r="F1011" s="106"/>
      <c r="G1011" s="106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</row>
    <row r="1012" spans="1:52" ht="15.75" customHeight="1">
      <c r="A1012" s="18"/>
      <c r="B1012" s="18"/>
      <c r="C1012" s="18"/>
      <c r="D1012" s="18"/>
      <c r="E1012" s="18"/>
      <c r="F1012" s="106"/>
      <c r="G1012" s="106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</row>
    <row r="1013" spans="1:52" ht="15.75" customHeight="1">
      <c r="A1013" s="18"/>
      <c r="B1013" s="18"/>
      <c r="C1013" s="18"/>
      <c r="D1013" s="18"/>
      <c r="E1013" s="18"/>
      <c r="F1013" s="106"/>
      <c r="G1013" s="106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</row>
    <row r="1014" spans="1:52" ht="15.75" customHeight="1">
      <c r="A1014" s="18"/>
      <c r="B1014" s="18"/>
      <c r="C1014" s="18"/>
      <c r="D1014" s="18"/>
      <c r="E1014" s="18"/>
      <c r="F1014" s="106"/>
      <c r="G1014" s="106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</row>
    <row r="1015" spans="1:52" ht="15.75" customHeight="1">
      <c r="A1015" s="18"/>
      <c r="B1015" s="18"/>
      <c r="C1015" s="18"/>
      <c r="D1015" s="18"/>
      <c r="E1015" s="18"/>
      <c r="F1015" s="106"/>
      <c r="G1015" s="106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</row>
    <row r="1016" spans="1:52" ht="15.75" customHeight="1">
      <c r="A1016" s="18"/>
      <c r="B1016" s="18"/>
      <c r="C1016" s="18"/>
      <c r="D1016" s="18"/>
      <c r="E1016" s="18"/>
      <c r="F1016" s="106"/>
      <c r="G1016" s="106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</row>
    <row r="1017" spans="1:52" ht="15.75" customHeight="1">
      <c r="A1017" s="18"/>
      <c r="B1017" s="18"/>
      <c r="C1017" s="18"/>
      <c r="D1017" s="18"/>
      <c r="E1017" s="18"/>
      <c r="F1017" s="106"/>
      <c r="G1017" s="106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</row>
    <row r="1018" spans="1:52" ht="15.75" customHeight="1">
      <c r="A1018" s="18"/>
      <c r="B1018" s="18"/>
      <c r="C1018" s="18"/>
      <c r="D1018" s="18"/>
      <c r="E1018" s="18"/>
      <c r="F1018" s="106"/>
      <c r="G1018" s="106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</row>
    <row r="1019" spans="1:52" ht="15.75" customHeight="1">
      <c r="A1019" s="18"/>
      <c r="B1019" s="18"/>
      <c r="C1019" s="18"/>
      <c r="D1019" s="18"/>
      <c r="E1019" s="18"/>
      <c r="F1019" s="106"/>
      <c r="G1019" s="106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</row>
    <row r="1020" spans="1:52" ht="15.75" customHeight="1">
      <c r="A1020" s="18"/>
      <c r="B1020" s="18"/>
      <c r="C1020" s="18"/>
      <c r="D1020" s="18"/>
      <c r="E1020" s="18"/>
      <c r="F1020" s="106"/>
      <c r="G1020" s="106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</row>
    <row r="1021" spans="1:52" ht="15.75" customHeight="1">
      <c r="A1021" s="18"/>
      <c r="B1021" s="18"/>
      <c r="C1021" s="18"/>
      <c r="D1021" s="18"/>
      <c r="E1021" s="18"/>
      <c r="F1021" s="106"/>
      <c r="G1021" s="106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</row>
    <row r="1022" spans="1:52" ht="15.75" customHeight="1">
      <c r="A1022" s="18"/>
      <c r="B1022" s="18"/>
      <c r="C1022" s="18"/>
      <c r="D1022" s="18"/>
      <c r="E1022" s="18"/>
      <c r="F1022" s="106"/>
      <c r="G1022" s="106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</row>
    <row r="1023" spans="1:52" ht="15.75" customHeight="1">
      <c r="A1023" s="18"/>
      <c r="B1023" s="18"/>
      <c r="C1023" s="18"/>
      <c r="D1023" s="18"/>
      <c r="E1023" s="18"/>
      <c r="F1023" s="106"/>
      <c r="G1023" s="106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</row>
    <row r="1024" spans="1:52" ht="15.75" customHeight="1">
      <c r="A1024" s="18"/>
      <c r="B1024" s="18"/>
      <c r="C1024" s="18"/>
      <c r="D1024" s="18"/>
      <c r="E1024" s="18"/>
      <c r="F1024" s="106"/>
      <c r="G1024" s="106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</row>
    <row r="1025" spans="1:52" ht="15.75" customHeight="1">
      <c r="A1025" s="18"/>
      <c r="B1025" s="18"/>
      <c r="C1025" s="18"/>
      <c r="D1025" s="18"/>
      <c r="E1025" s="18"/>
      <c r="F1025" s="106"/>
      <c r="G1025" s="106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</row>
    <row r="1026" spans="1:52" ht="15.75" customHeight="1">
      <c r="A1026" s="18"/>
      <c r="B1026" s="18"/>
      <c r="C1026" s="18"/>
      <c r="D1026" s="18"/>
      <c r="E1026" s="18"/>
      <c r="F1026" s="106"/>
      <c r="G1026" s="106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</row>
    <row r="1027" spans="1:52" ht="15.75" customHeight="1">
      <c r="A1027" s="18"/>
      <c r="B1027" s="18"/>
      <c r="C1027" s="18"/>
      <c r="D1027" s="18"/>
      <c r="E1027" s="18"/>
      <c r="F1027" s="106"/>
      <c r="G1027" s="106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</row>
    <row r="1028" spans="1:52" ht="15.75" customHeight="1">
      <c r="A1028" s="18"/>
      <c r="B1028" s="18"/>
      <c r="C1028" s="18"/>
      <c r="D1028" s="18"/>
      <c r="E1028" s="18"/>
      <c r="F1028" s="106"/>
      <c r="G1028" s="106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</row>
    <row r="1029" spans="1:52" ht="15.75" customHeight="1">
      <c r="A1029" s="18"/>
      <c r="B1029" s="18"/>
      <c r="C1029" s="18"/>
      <c r="D1029" s="18"/>
      <c r="E1029" s="18"/>
      <c r="F1029" s="106"/>
      <c r="G1029" s="106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</row>
    <row r="1030" spans="1:52" ht="15.75" customHeight="1">
      <c r="A1030" s="18"/>
      <c r="B1030" s="18"/>
      <c r="C1030" s="18"/>
      <c r="D1030" s="18"/>
      <c r="E1030" s="18"/>
      <c r="F1030" s="106"/>
      <c r="G1030" s="106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</row>
    <row r="1031" spans="1:52" ht="15.75" customHeight="1">
      <c r="A1031" s="18"/>
      <c r="B1031" s="18"/>
      <c r="C1031" s="18"/>
      <c r="D1031" s="18"/>
      <c r="E1031" s="18"/>
      <c r="F1031" s="106"/>
      <c r="G1031" s="106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</row>
    <row r="1032" spans="1:52" ht="15.75" customHeight="1">
      <c r="A1032" s="18"/>
      <c r="B1032" s="18"/>
      <c r="C1032" s="18"/>
      <c r="D1032" s="18"/>
      <c r="E1032" s="18"/>
      <c r="F1032" s="106"/>
      <c r="G1032" s="106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</row>
    <row r="1033" spans="1:52" ht="15.75" customHeight="1">
      <c r="A1033" s="18"/>
      <c r="B1033" s="18"/>
      <c r="C1033" s="18"/>
      <c r="D1033" s="18"/>
      <c r="E1033" s="18"/>
      <c r="F1033" s="106"/>
      <c r="G1033" s="106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</row>
    <row r="1034" spans="1:52" ht="15.75" customHeight="1">
      <c r="A1034" s="18"/>
      <c r="B1034" s="18"/>
      <c r="C1034" s="18"/>
      <c r="D1034" s="18"/>
      <c r="E1034" s="18"/>
      <c r="F1034" s="106"/>
      <c r="G1034" s="106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</row>
    <row r="1035" spans="1:52" ht="15.75" customHeight="1">
      <c r="A1035" s="18"/>
      <c r="B1035" s="18"/>
      <c r="C1035" s="18"/>
      <c r="D1035" s="18"/>
      <c r="E1035" s="18"/>
      <c r="F1035" s="106"/>
      <c r="G1035" s="106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</row>
    <row r="1036" spans="1:52" ht="15.75" customHeight="1">
      <c r="A1036" s="18"/>
      <c r="B1036" s="18"/>
      <c r="C1036" s="18"/>
      <c r="D1036" s="18"/>
      <c r="E1036" s="18"/>
      <c r="F1036" s="106"/>
      <c r="G1036" s="106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</row>
    <row r="1037" spans="1:52" ht="15.75" customHeight="1">
      <c r="A1037" s="18"/>
      <c r="B1037" s="18"/>
      <c r="C1037" s="18"/>
      <c r="D1037" s="18"/>
      <c r="E1037" s="18"/>
      <c r="F1037" s="106"/>
      <c r="G1037" s="106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</row>
    <row r="1038" spans="1:52" ht="15.75" customHeight="1">
      <c r="A1038" s="18"/>
      <c r="B1038" s="18"/>
      <c r="C1038" s="18"/>
      <c r="D1038" s="18"/>
      <c r="E1038" s="18"/>
      <c r="F1038" s="106"/>
      <c r="G1038" s="106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</row>
    <row r="1039" spans="1:52" ht="15.75" customHeight="1">
      <c r="A1039" s="18"/>
      <c r="B1039" s="18"/>
      <c r="C1039" s="18"/>
      <c r="D1039" s="18"/>
      <c r="E1039" s="18"/>
      <c r="F1039" s="106"/>
      <c r="G1039" s="106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</row>
    <row r="1040" spans="1:52" ht="15.75" customHeight="1">
      <c r="A1040" s="18"/>
      <c r="B1040" s="18"/>
      <c r="C1040" s="18"/>
      <c r="D1040" s="18"/>
      <c r="E1040" s="18"/>
      <c r="F1040" s="106"/>
      <c r="G1040" s="106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</row>
    <row r="1041" spans="1:52" ht="15.75" customHeight="1">
      <c r="A1041" s="18"/>
      <c r="B1041" s="18"/>
      <c r="C1041" s="18"/>
      <c r="D1041" s="18"/>
      <c r="E1041" s="18"/>
      <c r="F1041" s="106"/>
      <c r="G1041" s="106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</row>
    <row r="1042" spans="1:52" ht="15.75" customHeight="1">
      <c r="A1042" s="18"/>
      <c r="B1042" s="18"/>
      <c r="C1042" s="18"/>
      <c r="D1042" s="18"/>
      <c r="E1042" s="18"/>
      <c r="F1042" s="106"/>
      <c r="G1042" s="106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</row>
    <row r="1043" spans="1:52" ht="15.75" customHeight="1">
      <c r="A1043" s="18"/>
      <c r="B1043" s="18"/>
      <c r="C1043" s="18"/>
      <c r="D1043" s="18"/>
      <c r="E1043" s="18"/>
      <c r="F1043" s="106"/>
      <c r="G1043" s="106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</row>
    <row r="1044" spans="1:52" ht="15.75" customHeight="1">
      <c r="A1044" s="18"/>
      <c r="B1044" s="18"/>
      <c r="C1044" s="18"/>
      <c r="D1044" s="18"/>
      <c r="E1044" s="18"/>
      <c r="F1044" s="106"/>
      <c r="G1044" s="106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</row>
    <row r="1045" spans="1:52" ht="15.75" customHeight="1">
      <c r="A1045" s="18"/>
      <c r="B1045" s="18"/>
      <c r="C1045" s="18"/>
      <c r="D1045" s="18"/>
      <c r="E1045" s="18"/>
      <c r="F1045" s="106"/>
      <c r="G1045" s="106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</row>
    <row r="1046" spans="1:52" ht="15.75" customHeight="1">
      <c r="A1046" s="18"/>
      <c r="B1046" s="18"/>
      <c r="C1046" s="18"/>
      <c r="D1046" s="18"/>
      <c r="E1046" s="18"/>
      <c r="F1046" s="106"/>
      <c r="G1046" s="106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</row>
    <row r="1047" spans="1:52" ht="15.75" customHeight="1">
      <c r="A1047" s="18"/>
      <c r="B1047" s="18"/>
      <c r="C1047" s="18"/>
      <c r="D1047" s="18"/>
      <c r="E1047" s="18"/>
      <c r="F1047" s="106"/>
      <c r="G1047" s="106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</row>
    <row r="1048" spans="1:52" ht="15.75" customHeight="1">
      <c r="A1048" s="18"/>
      <c r="B1048" s="18"/>
      <c r="C1048" s="18"/>
      <c r="D1048" s="18"/>
      <c r="E1048" s="18"/>
      <c r="F1048" s="106"/>
      <c r="G1048" s="106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</row>
    <row r="1049" spans="1:52" ht="15.75" customHeight="1">
      <c r="A1049" s="18"/>
      <c r="B1049" s="18"/>
      <c r="C1049" s="18"/>
      <c r="D1049" s="18"/>
      <c r="E1049" s="18"/>
      <c r="F1049" s="106"/>
      <c r="G1049" s="106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</row>
    <row r="1050" spans="1:52" ht="15.75" customHeight="1">
      <c r="A1050" s="18"/>
      <c r="B1050" s="18"/>
      <c r="C1050" s="18"/>
      <c r="D1050" s="18"/>
      <c r="E1050" s="18"/>
      <c r="F1050" s="106"/>
      <c r="G1050" s="106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</row>
    <row r="1051" spans="1:52" ht="15.75" customHeight="1">
      <c r="A1051" s="18"/>
      <c r="B1051" s="18"/>
      <c r="C1051" s="18"/>
      <c r="D1051" s="18"/>
      <c r="E1051" s="18"/>
      <c r="F1051" s="106"/>
      <c r="G1051" s="106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</row>
    <row r="1052" spans="1:52" ht="15.75" customHeight="1">
      <c r="A1052" s="18"/>
      <c r="B1052" s="18"/>
      <c r="C1052" s="18"/>
      <c r="D1052" s="18"/>
      <c r="E1052" s="18"/>
      <c r="F1052" s="106"/>
      <c r="G1052" s="106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</row>
    <row r="1053" spans="1:52" ht="15.75" customHeight="1">
      <c r="A1053" s="18"/>
      <c r="B1053" s="18"/>
      <c r="C1053" s="18"/>
      <c r="D1053" s="18"/>
      <c r="E1053" s="18"/>
      <c r="F1053" s="106"/>
      <c r="G1053" s="106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</row>
    <row r="1054" spans="1:52" ht="15.75" customHeight="1">
      <c r="A1054" s="18"/>
      <c r="B1054" s="18"/>
      <c r="C1054" s="18"/>
      <c r="D1054" s="18"/>
      <c r="E1054" s="18"/>
      <c r="F1054" s="106"/>
      <c r="G1054" s="106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</row>
    <row r="1055" spans="1:52" ht="15.75" customHeight="1">
      <c r="A1055" s="18"/>
      <c r="B1055" s="18"/>
      <c r="C1055" s="18"/>
      <c r="D1055" s="18"/>
      <c r="E1055" s="18"/>
      <c r="F1055" s="106"/>
      <c r="G1055" s="106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</row>
    <row r="1056" spans="1:52" ht="15.75" customHeight="1">
      <c r="A1056" s="18"/>
      <c r="B1056" s="18"/>
      <c r="C1056" s="18"/>
      <c r="D1056" s="18"/>
      <c r="E1056" s="18"/>
      <c r="F1056" s="106"/>
      <c r="G1056" s="106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</row>
    <row r="1057" spans="1:52" ht="15.75" customHeight="1">
      <c r="A1057" s="18"/>
      <c r="B1057" s="18"/>
      <c r="C1057" s="18"/>
      <c r="D1057" s="18"/>
      <c r="E1057" s="18"/>
      <c r="F1057" s="106"/>
      <c r="G1057" s="106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</row>
    <row r="1058" spans="1:52" ht="15.75" customHeight="1">
      <c r="A1058" s="18"/>
      <c r="B1058" s="18"/>
      <c r="C1058" s="18"/>
      <c r="D1058" s="18"/>
      <c r="E1058" s="18"/>
      <c r="F1058" s="106"/>
      <c r="G1058" s="106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</row>
    <row r="1059" spans="1:52" ht="15.75" customHeight="1">
      <c r="A1059" s="18"/>
      <c r="B1059" s="18"/>
      <c r="C1059" s="18"/>
      <c r="D1059" s="18"/>
      <c r="E1059" s="18"/>
      <c r="F1059" s="106"/>
      <c r="G1059" s="106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</row>
    <row r="1060" spans="1:52" ht="15.75" customHeight="1">
      <c r="A1060" s="18"/>
      <c r="B1060" s="18"/>
      <c r="C1060" s="18"/>
      <c r="D1060" s="18"/>
      <c r="E1060" s="18"/>
      <c r="F1060" s="106"/>
      <c r="G1060" s="106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</row>
  </sheetData>
  <mergeCells count="19">
    <mergeCell ref="A73:C73"/>
    <mergeCell ref="B67:B68"/>
    <mergeCell ref="C67:C68"/>
    <mergeCell ref="B62:B65"/>
    <mergeCell ref="C62:C65"/>
    <mergeCell ref="A54:A55"/>
    <mergeCell ref="A67:A68"/>
    <mergeCell ref="A62:A65"/>
    <mergeCell ref="C46:C48"/>
    <mergeCell ref="A2:AD2"/>
    <mergeCell ref="A56:A60"/>
    <mergeCell ref="B56:B60"/>
    <mergeCell ref="C56:C60"/>
    <mergeCell ref="C54:C55"/>
    <mergeCell ref="C40:C45"/>
    <mergeCell ref="A36:A39"/>
    <mergeCell ref="A35:D35"/>
    <mergeCell ref="B36:B39"/>
    <mergeCell ref="C36:C39"/>
  </mergeCells>
  <hyperlinks>
    <hyperlink ref="C7" r:id="rId1"/>
    <hyperlink ref="C18" r:id="rId2"/>
    <hyperlink ref="C27" r:id="rId3"/>
    <hyperlink ref="C86" r:id="rId4"/>
    <hyperlink ref="C87" r:id="rId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9" si="0">COUNTIF(E2:AD2,"&gt;0")</f>
        <v>0</v>
      </c>
      <c r="C2" s="8" t="e">
        <f t="shared" ref="C2:C72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62</v>
      </c>
      <c r="B6" s="8">
        <f t="shared" si="0"/>
        <v>0</v>
      </c>
      <c r="C6" s="8" t="e">
        <f t="shared" si="1"/>
        <v>#DIV/0!</v>
      </c>
      <c r="D6" s="21" t="s">
        <v>63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64</v>
      </c>
      <c r="B7" s="8">
        <f t="shared" si="0"/>
        <v>0</v>
      </c>
      <c r="C7" s="8" t="e">
        <f t="shared" si="1"/>
        <v>#DIV/0!</v>
      </c>
      <c r="D7" s="21" t="s">
        <v>65</v>
      </c>
      <c r="E7" s="13"/>
      <c r="F7" s="13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66</v>
      </c>
      <c r="B8" s="8">
        <f t="shared" si="0"/>
        <v>0</v>
      </c>
      <c r="C8" s="8" t="e">
        <f t="shared" si="1"/>
        <v>#DIV/0!</v>
      </c>
      <c r="D8" s="22" t="str">
        <f>HYPERLINK("https://www.digitalauthority.me/alexa/","Alexa dev page")</f>
        <v>Alexa dev page</v>
      </c>
      <c r="E8" s="23"/>
      <c r="F8" s="24"/>
      <c r="G8" s="25"/>
      <c r="H8" s="13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67</v>
      </c>
      <c r="B9" s="8">
        <f t="shared" si="0"/>
        <v>0</v>
      </c>
      <c r="C9" s="8" t="e">
        <f t="shared" si="1"/>
        <v>#DIV/0!</v>
      </c>
      <c r="D9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9" s="28"/>
      <c r="F9" s="26"/>
      <c r="G9" s="29"/>
      <c r="H9" s="29"/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3" t="s">
        <v>68</v>
      </c>
      <c r="B10" s="8">
        <f ca="1">COUNTIF(A10:AD10,"&gt;0")</f>
        <v>0</v>
      </c>
      <c r="C10" s="8" t="str">
        <f t="shared" ca="1" si="1"/>
        <v>#DIV/0!</v>
      </c>
      <c r="D10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10" s="3"/>
      <c r="F10" s="24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69</v>
      </c>
      <c r="B11" s="8">
        <f t="shared" ref="B11:B38" si="2">COUNTIF(E11:AD11,"&gt;0")</f>
        <v>0</v>
      </c>
      <c r="C11" s="8" t="e">
        <f t="shared" si="1"/>
        <v>#DIV/0!</v>
      </c>
      <c r="D11" s="30" t="str">
        <f>HYPERLINK("https://healthcareweekly.com/astaxanthin/","15 health benefits of astaxanthin")</f>
        <v>15 health benefits of astaxanthin</v>
      </c>
      <c r="E11" s="12"/>
      <c r="F11" s="13"/>
      <c r="G11" s="12"/>
      <c r="H11" s="13"/>
      <c r="I11" s="12"/>
      <c r="J11" s="13"/>
      <c r="K11" s="12"/>
      <c r="L11" s="13"/>
      <c r="M11" s="12"/>
      <c r="N11" s="13"/>
      <c r="O11" s="12"/>
      <c r="P11" s="13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70</v>
      </c>
      <c r="B12" s="8">
        <f t="shared" si="2"/>
        <v>1</v>
      </c>
      <c r="C12" s="8">
        <f t="shared" si="1"/>
        <v>48</v>
      </c>
      <c r="D12" s="11" t="str">
        <f>HYPERLINK("https://www.digitalauthority.me/resources/b2b-marketing/","How to Jumpstart Your B2B Marketing Strategy in 2019")</f>
        <v>How to Jumpstart Your B2B Marketing Strategy in 2019</v>
      </c>
      <c r="E12" s="32" t="s">
        <v>71</v>
      </c>
      <c r="F12" s="24">
        <v>48</v>
      </c>
      <c r="G12" s="24"/>
      <c r="H12" s="13"/>
      <c r="I12" s="13"/>
      <c r="J12" s="13"/>
      <c r="K12" s="13"/>
      <c r="L12" s="13"/>
      <c r="M12" s="13"/>
      <c r="N12" s="13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72</v>
      </c>
      <c r="B13" s="8">
        <f t="shared" si="2"/>
        <v>0</v>
      </c>
      <c r="C13" s="8" t="e">
        <f t="shared" si="1"/>
        <v>#DIV/0!</v>
      </c>
      <c r="D13" s="11" t="str">
        <f>HYPERLINK("https://www.digitalauthority.me/resources/big-data-in-healthcare/","Big Data in healthcare")</f>
        <v>Big Data in healthcare</v>
      </c>
      <c r="E13" s="3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73</v>
      </c>
      <c r="B14" s="8">
        <f t="shared" si="2"/>
        <v>0</v>
      </c>
      <c r="C14" s="8" t="e">
        <f t="shared" si="1"/>
        <v>#DIV/0!</v>
      </c>
      <c r="D14" s="30" t="str">
        <f>HYPERLINK("https://healthcareweekly.com/blockchain-in-healthcare/","7 Applications of Blockchain in Healthcare
")</f>
        <v>7 Applications of Blockchain in Healthcare_x000D_</v>
      </c>
      <c r="E14" s="28"/>
      <c r="F14" s="26"/>
      <c r="G14" s="13"/>
      <c r="H14" s="13"/>
      <c r="I14" s="13"/>
      <c r="J14" s="13"/>
      <c r="K14" s="13"/>
      <c r="L14" s="1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73</v>
      </c>
      <c r="B15" s="8">
        <f t="shared" si="2"/>
        <v>0</v>
      </c>
      <c r="C15" s="8" t="e">
        <f t="shared" si="1"/>
        <v>#DIV/0!</v>
      </c>
      <c r="D15" s="11" t="str">
        <f>HYPERLINK("https://www.digitalauthority.me/resources/blockchain-in-healthcare/","Blockchain in Healthcare: An Executive’s Guide for 2019")</f>
        <v>Blockchain in Healthcare: An Executive’s Guide for 2019</v>
      </c>
      <c r="E15" s="1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75</v>
      </c>
      <c r="B16" s="8">
        <f t="shared" si="2"/>
        <v>0</v>
      </c>
      <c r="C16" s="8" t="e">
        <f t="shared" si="1"/>
        <v>#DIV/0!</v>
      </c>
      <c r="D1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76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78</v>
      </c>
      <c r="B18" s="8">
        <f t="shared" si="2"/>
        <v>0</v>
      </c>
      <c r="C18" s="8" t="e">
        <f t="shared" si="1"/>
        <v>#DIV/0!</v>
      </c>
      <c r="D18" s="21" t="s">
        <v>77</v>
      </c>
      <c r="E18" s="12"/>
      <c r="F18" s="13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79</v>
      </c>
      <c r="B19" s="8">
        <f t="shared" si="2"/>
        <v>0</v>
      </c>
      <c r="C19" s="8" t="e">
        <f t="shared" si="1"/>
        <v>#DIV/0!</v>
      </c>
      <c r="D19" s="21" t="s">
        <v>77</v>
      </c>
      <c r="E19" s="33"/>
      <c r="F19" s="34"/>
      <c r="G19" s="12"/>
      <c r="H19" s="13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80</v>
      </c>
      <c r="B20" s="8">
        <f t="shared" si="2"/>
        <v>0</v>
      </c>
      <c r="C20" s="8" t="e">
        <f t="shared" si="1"/>
        <v>#DIV/0!</v>
      </c>
      <c r="D20" s="35" t="s">
        <v>77</v>
      </c>
      <c r="E20" s="12"/>
      <c r="F20" s="13"/>
      <c r="G20" s="28"/>
      <c r="H20" s="26"/>
      <c r="I20" s="28"/>
      <c r="J20" s="26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74</v>
      </c>
      <c r="B21" s="8">
        <f t="shared" si="2"/>
        <v>0</v>
      </c>
      <c r="C21" s="8" t="e">
        <f t="shared" si="1"/>
        <v>#DIV/0!</v>
      </c>
      <c r="D2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1" s="28"/>
      <c r="F21" s="26"/>
      <c r="G21" s="28"/>
      <c r="H21" s="26"/>
      <c r="I21" s="12"/>
      <c r="J21" s="13"/>
      <c r="K21" s="28"/>
      <c r="L21" s="26"/>
      <c r="M21" s="12"/>
      <c r="N21" s="13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13"/>
      <c r="AA21" s="8"/>
      <c r="AB21" s="8"/>
      <c r="AC21" s="8"/>
      <c r="AD21" s="8"/>
    </row>
    <row r="22" spans="1:30" ht="15.75" customHeight="1">
      <c r="A22" s="3" t="s">
        <v>81</v>
      </c>
      <c r="B22" s="8">
        <f t="shared" si="2"/>
        <v>0</v>
      </c>
      <c r="C22" s="8" t="e">
        <f t="shared" si="1"/>
        <v>#DIV/0!</v>
      </c>
      <c r="D22" s="36"/>
      <c r="E22" s="37"/>
      <c r="F22" s="38"/>
      <c r="G22" s="2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82</v>
      </c>
      <c r="B23" s="8">
        <f t="shared" si="2"/>
        <v>0</v>
      </c>
      <c r="C23" s="8" t="e">
        <f t="shared" si="1"/>
        <v>#DIV/0!</v>
      </c>
      <c r="D23" s="11" t="s">
        <v>77</v>
      </c>
      <c r="E23" s="3"/>
      <c r="F23" s="3"/>
      <c r="G23" s="16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83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84</v>
      </c>
      <c r="B25" s="8">
        <f t="shared" si="2"/>
        <v>0</v>
      </c>
      <c r="C25" s="8" t="e">
        <f t="shared" si="1"/>
        <v>#DIV/0!</v>
      </c>
      <c r="D25" s="21" t="s">
        <v>77</v>
      </c>
      <c r="E25" s="39"/>
      <c r="F25" s="7"/>
      <c r="G25" s="40"/>
      <c r="H25" s="8"/>
      <c r="I25" s="12"/>
      <c r="J25" s="1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85</v>
      </c>
      <c r="B26" s="8">
        <f t="shared" si="2"/>
        <v>0</v>
      </c>
      <c r="C26" s="8" t="e">
        <f t="shared" si="1"/>
        <v>#DIV/0!</v>
      </c>
      <c r="D26" s="21" t="s">
        <v>77</v>
      </c>
      <c r="E26" s="41"/>
      <c r="F26" s="42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86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2" t="s">
        <v>87</v>
      </c>
      <c r="B28" s="8">
        <f t="shared" si="2"/>
        <v>0</v>
      </c>
      <c r="C28" s="8" t="e">
        <f t="shared" si="1"/>
        <v>#DIV/0!</v>
      </c>
      <c r="D28" s="21" t="s">
        <v>77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88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9" s="28"/>
      <c r="F29" s="26"/>
      <c r="G29" s="44"/>
      <c r="H29" s="24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89</v>
      </c>
      <c r="B30" s="8">
        <f t="shared" si="2"/>
        <v>0</v>
      </c>
      <c r="C30" s="8" t="e">
        <f t="shared" si="1"/>
        <v>#DIV/0!</v>
      </c>
      <c r="D3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30" s="28"/>
      <c r="F30" s="26"/>
      <c r="G30" s="29"/>
      <c r="H30" s="29"/>
      <c r="I30" s="29"/>
      <c r="J30" s="29"/>
      <c r="K30" s="29"/>
      <c r="L30" s="2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90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1" s="33"/>
      <c r="F31" s="34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59</v>
      </c>
      <c r="B32" s="8">
        <f t="shared" si="2"/>
        <v>0</v>
      </c>
      <c r="C32" s="8" t="e">
        <f t="shared" si="1"/>
        <v>#DIV/0!</v>
      </c>
      <c r="D3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2" s="33"/>
      <c r="F32" s="34"/>
      <c r="G32" s="12"/>
      <c r="H32" s="13"/>
      <c r="I32" s="12"/>
      <c r="J32" s="13"/>
      <c r="K32" s="12"/>
      <c r="L32" s="1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26" t="s">
        <v>91</v>
      </c>
      <c r="B33" s="8">
        <f t="shared" si="2"/>
        <v>0</v>
      </c>
      <c r="C33" s="8" t="e">
        <f t="shared" si="1"/>
        <v>#DIV/0!</v>
      </c>
      <c r="D3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3" s="23"/>
      <c r="F33" s="24"/>
      <c r="G33" s="12"/>
      <c r="H33" s="13"/>
      <c r="I33" s="28"/>
      <c r="J33" s="26"/>
      <c r="K33" s="3"/>
      <c r="L33" s="45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92</v>
      </c>
      <c r="B34" s="8">
        <f t="shared" si="2"/>
        <v>0</v>
      </c>
      <c r="C34" s="8" t="e">
        <f t="shared" si="1"/>
        <v>#DIV/0!</v>
      </c>
      <c r="D34" s="21" t="s">
        <v>77</v>
      </c>
      <c r="E34" s="28"/>
      <c r="F34" s="26"/>
      <c r="G34" s="12"/>
      <c r="H34" s="13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93</v>
      </c>
      <c r="B35" s="8">
        <f t="shared" si="2"/>
        <v>0</v>
      </c>
      <c r="C35" s="8" t="e">
        <f t="shared" si="1"/>
        <v>#DIV/0!</v>
      </c>
      <c r="D35" s="30" t="s">
        <v>77</v>
      </c>
      <c r="E35" s="28"/>
      <c r="F35" s="26"/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2" t="s">
        <v>94</v>
      </c>
      <c r="B36" s="8">
        <f t="shared" si="2"/>
        <v>0</v>
      </c>
      <c r="C36" s="8" t="e">
        <f t="shared" si="1"/>
        <v>#DIV/0!</v>
      </c>
      <c r="D3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6" s="12"/>
      <c r="F36" s="13"/>
      <c r="G36" s="12"/>
      <c r="H36" s="13"/>
      <c r="I36" s="12"/>
      <c r="J36" s="13"/>
      <c r="K36" s="12"/>
      <c r="L36" s="13"/>
      <c r="M36" s="12"/>
      <c r="N36" s="13"/>
      <c r="O36" s="23"/>
      <c r="P36" s="24"/>
      <c r="Q36" s="12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95</v>
      </c>
      <c r="B37" s="8">
        <f t="shared" si="2"/>
        <v>0</v>
      </c>
      <c r="C37" s="8" t="e">
        <f t="shared" si="1"/>
        <v>#DIV/0!</v>
      </c>
      <c r="D37" s="8"/>
      <c r="E37" s="12"/>
      <c r="F37" s="13"/>
      <c r="G37" s="12"/>
      <c r="H37" s="13"/>
      <c r="I37" s="28"/>
      <c r="J37" s="26"/>
      <c r="K37" s="23"/>
      <c r="L37" s="24"/>
      <c r="M37" s="12"/>
      <c r="N37" s="13"/>
      <c r="O37" s="46"/>
      <c r="P37" s="47"/>
      <c r="Q37" s="28"/>
      <c r="R37" s="26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3" t="s">
        <v>96</v>
      </c>
      <c r="B38" s="8">
        <f t="shared" si="2"/>
        <v>0</v>
      </c>
      <c r="C38" s="8" t="e">
        <f t="shared" si="1"/>
        <v>#DIV/0!</v>
      </c>
      <c r="D38" s="11" t="str">
        <f>HYPERLINK("https://www.digitalauthority.me/resources/healthcare-marketing-plan-guide/","Healthcare Marketing Plan Guide")</f>
        <v>Healthcare Marketing Plan Guide</v>
      </c>
      <c r="E38" s="8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7" t="s">
        <v>98</v>
      </c>
      <c r="B39" s="47">
        <f ca="1">COUNTIF(A39:AD39,"&gt;0")</f>
        <v>0</v>
      </c>
      <c r="C39" s="49" t="str">
        <f t="shared" ca="1" si="1"/>
        <v>#DIV/0!</v>
      </c>
      <c r="D39" s="50" t="str">
        <f>HYPERLINK("https://www.digitalauthority.me/resources/healthcare-app-development-ultimate-guide/","Healthcare Mobile App development")</f>
        <v>Healthcare Mobile App development</v>
      </c>
      <c r="E39" s="31"/>
      <c r="F39" s="31"/>
      <c r="G39" s="31"/>
      <c r="H39" s="31"/>
      <c r="I39" s="31"/>
      <c r="J39" s="31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5.75" customHeight="1">
      <c r="A40" s="13" t="s">
        <v>99</v>
      </c>
      <c r="B40" s="8">
        <f t="shared" ref="B40:B71" si="3">COUNTIF(E40:AD40,"&gt;0")</f>
        <v>0</v>
      </c>
      <c r="C40" s="8" t="e">
        <f t="shared" si="1"/>
        <v>#DIV/0!</v>
      </c>
      <c r="D40" s="11" t="str">
        <f>HYPERLINK("https://www.digitalauthority.me/resources/public-relations-healthcare-guide/","Healthcare PR Guide")</f>
        <v>Healthcare PR Guide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>
      <c r="A41" s="3" t="s">
        <v>100</v>
      </c>
      <c r="B41" s="8">
        <f t="shared" si="3"/>
        <v>0</v>
      </c>
      <c r="C41" s="8" t="e">
        <f t="shared" si="1"/>
        <v>#DIV/0!</v>
      </c>
      <c r="D41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1" s="51"/>
      <c r="F41" s="51"/>
      <c r="G41" s="5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101</v>
      </c>
      <c r="B42" s="8">
        <f t="shared" si="3"/>
        <v>0</v>
      </c>
      <c r="C42" s="8" t="e">
        <f t="shared" si="1"/>
        <v>#DIV/0!</v>
      </c>
      <c r="D42" s="27" t="str">
        <f>HYPERLINK("https://healthcareweekly.com/healthcare-startup-fails/","Most Common Health Startup Mistakes – and How to Fix Them
")</f>
        <v>Most Common Health Startup Mistakes – and How to Fix Them_x000D_</v>
      </c>
      <c r="E42" s="28"/>
      <c r="F42" s="26"/>
      <c r="G42" s="28"/>
      <c r="H42" s="26"/>
      <c r="I42" s="12"/>
      <c r="J42" s="13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102</v>
      </c>
      <c r="B43" s="8">
        <f t="shared" si="3"/>
        <v>0</v>
      </c>
      <c r="C43" s="8" t="e">
        <f t="shared" si="1"/>
        <v>#DIV/0!</v>
      </c>
      <c r="D43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3" s="28"/>
      <c r="F43" s="26"/>
      <c r="G43" s="44"/>
      <c r="H43" s="24"/>
      <c r="I43" s="28"/>
      <c r="J43" s="26"/>
      <c r="K43" s="52"/>
      <c r="L43" s="53"/>
      <c r="M43" s="28"/>
      <c r="N43" s="26"/>
      <c r="O43" s="12"/>
      <c r="P43" s="13"/>
      <c r="Q43" s="12"/>
      <c r="R43" s="13"/>
      <c r="S43" s="12"/>
      <c r="T43" s="13"/>
      <c r="U43" s="12"/>
      <c r="V43" s="13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26" t="s">
        <v>103</v>
      </c>
      <c r="B44" s="8">
        <f t="shared" si="3"/>
        <v>0</v>
      </c>
      <c r="C44" s="8" t="e">
        <f t="shared" si="1"/>
        <v>#DIV/0!</v>
      </c>
      <c r="D44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4" s="28"/>
      <c r="F44" s="26"/>
      <c r="G44" s="44"/>
      <c r="H44" s="24"/>
      <c r="I44" s="28"/>
      <c r="J44" s="26"/>
      <c r="K44" s="12"/>
      <c r="L44" s="13"/>
      <c r="M44" s="12"/>
      <c r="N44" s="13"/>
      <c r="O44" s="13"/>
      <c r="P44" s="13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104</v>
      </c>
      <c r="B45" s="8">
        <f t="shared" si="3"/>
        <v>0</v>
      </c>
      <c r="C45" s="8" t="e">
        <f t="shared" si="1"/>
        <v>#DIV/0!</v>
      </c>
      <c r="D45" s="21" t="s">
        <v>105</v>
      </c>
      <c r="E45" s="13"/>
      <c r="F45" s="13"/>
      <c r="G45" s="13"/>
      <c r="H45" s="13"/>
      <c r="I45" s="13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106</v>
      </c>
      <c r="B46" s="8">
        <f t="shared" si="3"/>
        <v>0</v>
      </c>
      <c r="C46" s="8" t="e">
        <f t="shared" si="1"/>
        <v>#DIV/0!</v>
      </c>
      <c r="D46" s="21" t="s">
        <v>107</v>
      </c>
      <c r="E46" s="13"/>
      <c r="F46" s="13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108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12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109</v>
      </c>
      <c r="B48" s="8">
        <f t="shared" si="3"/>
        <v>0</v>
      </c>
      <c r="C48" s="8" t="e">
        <f t="shared" si="1"/>
        <v>#DIV/0!</v>
      </c>
      <c r="D48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8" s="23"/>
      <c r="F48" s="24"/>
      <c r="G48" s="12"/>
      <c r="H48" s="13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110</v>
      </c>
      <c r="B49" s="8">
        <f t="shared" si="3"/>
        <v>0</v>
      </c>
      <c r="C49" s="8" t="e">
        <f t="shared" si="1"/>
        <v>#DIV/0!</v>
      </c>
      <c r="D49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111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HYPERLINK("https://www.digitalauthority.me/resources/it-marketing-guide/","2019 IT marketing Guide")</f>
        <v>2019 IT marketing Guide</v>
      </c>
      <c r="E50" s="50"/>
      <c r="F50" s="56"/>
      <c r="G50" s="3"/>
      <c r="H50" s="13"/>
      <c r="I50" s="13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3" t="s">
        <v>112</v>
      </c>
      <c r="B51" s="8">
        <f t="shared" si="3"/>
        <v>0</v>
      </c>
      <c r="C51" s="8" t="e">
        <f t="shared" si="1"/>
        <v>#DIV/0!</v>
      </c>
      <c r="D51" s="30" t="str">
        <f t="shared" ref="D51:D5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3" t="s">
        <v>113</v>
      </c>
      <c r="B52" s="8">
        <f t="shared" si="3"/>
        <v>0</v>
      </c>
      <c r="C52" s="8" t="e">
        <f t="shared" si="1"/>
        <v>#DIV/0!</v>
      </c>
      <c r="D52" s="30" t="str">
        <f t="shared" si="4"/>
        <v>5 Key Strategies for Your Financial Product Marketing Initiatives in 2019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114</v>
      </c>
      <c r="B53" s="8">
        <f t="shared" si="3"/>
        <v>0</v>
      </c>
      <c r="C53" s="8" t="e">
        <f t="shared" si="1"/>
        <v>#DIV/0!</v>
      </c>
      <c r="D53" s="11" t="str">
        <f>HYPERLINK("https://www.digitalauthority.me/resources/marketing-terms-guide/","Marketing terms ")</f>
        <v xml:space="preserve">Marketing terms </v>
      </c>
      <c r="E53" s="13"/>
      <c r="F53" s="13"/>
      <c r="G53" s="13"/>
      <c r="H53" s="13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115</v>
      </c>
      <c r="B54" s="8">
        <f t="shared" si="3"/>
        <v>0</v>
      </c>
      <c r="C54" s="8" t="e">
        <f t="shared" si="1"/>
        <v>#DIV/0!</v>
      </c>
      <c r="D54" s="21" t="s">
        <v>77</v>
      </c>
      <c r="E54" s="28"/>
      <c r="F54" s="26"/>
      <c r="G54" s="5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116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HYPERLINK("https://www.digitalauthority.me/resources/mobile-app-development-guide/","ultimate guide to app development")</f>
        <v>ultimate guide to app development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118</v>
      </c>
      <c r="B56" s="8">
        <f t="shared" si="3"/>
        <v>0</v>
      </c>
      <c r="C56" s="8" t="e">
        <f t="shared" si="1"/>
        <v>#DIV/0!</v>
      </c>
      <c r="D56" s="11" t="str">
        <f>HYPERLINK("https://www.digitalauthority.me/resources/mobile-app-marketing-guide/","Mobile app marketing guide")</f>
        <v>Mobile app marketing guide</v>
      </c>
      <c r="E56" s="13"/>
      <c r="F56" s="13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2" t="s">
        <v>119</v>
      </c>
      <c r="B57" s="8">
        <f t="shared" si="3"/>
        <v>0</v>
      </c>
      <c r="C57" s="8" t="e">
        <f t="shared" si="1"/>
        <v>#DIV/0!</v>
      </c>
      <c r="D5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7" s="12"/>
      <c r="F57" s="13"/>
      <c r="G57" s="12"/>
      <c r="H57" s="13"/>
      <c r="I57" s="12"/>
      <c r="J57" s="13"/>
      <c r="K57" s="12"/>
      <c r="L57" s="1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120</v>
      </c>
      <c r="B58" s="8">
        <f t="shared" si="3"/>
        <v>0</v>
      </c>
      <c r="C58" s="8" t="e">
        <f t="shared" si="1"/>
        <v>#DIV/0!</v>
      </c>
      <c r="D58" s="21" t="s">
        <v>121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26" t="s">
        <v>122</v>
      </c>
      <c r="B59" s="8">
        <f t="shared" si="3"/>
        <v>0</v>
      </c>
      <c r="C59" s="8" t="e">
        <f t="shared" si="1"/>
        <v>#DIV/0!</v>
      </c>
      <c r="D59" s="59" t="str">
        <f t="shared" ref="D59:D6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9" s="12"/>
      <c r="F59" s="13"/>
      <c r="G59" s="28"/>
      <c r="H59" s="26"/>
      <c r="I59" s="28"/>
      <c r="J59" s="26"/>
      <c r="K59" s="29"/>
      <c r="L59" s="2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26" t="s">
        <v>123</v>
      </c>
      <c r="B60" s="8">
        <f t="shared" si="3"/>
        <v>0</v>
      </c>
      <c r="C60" s="8" t="e">
        <f t="shared" si="1"/>
        <v>#DIV/0!</v>
      </c>
      <c r="D60" s="54" t="str">
        <f t="shared" si="5"/>
        <v xml:space="preserve">11 online reputation management techniques for doctors (the definitive guide)
</v>
      </c>
      <c r="E60" s="28"/>
      <c r="F60" s="26"/>
      <c r="G60" s="28"/>
      <c r="H60" s="26"/>
      <c r="I60" s="28"/>
      <c r="J60" s="26"/>
      <c r="K60" s="29"/>
      <c r="L60" s="2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124</v>
      </c>
      <c r="B61" s="8">
        <f t="shared" si="3"/>
        <v>0</v>
      </c>
      <c r="C61" s="8" t="e">
        <f t="shared" si="1"/>
        <v>#DIV/0!</v>
      </c>
      <c r="D61" s="60" t="s">
        <v>125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3" t="s">
        <v>126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HYPERLINK("https://www.digitalauthority.me/resources/17-reasons-why-most-companies-fail-at-seo/","17 Reasons Why Companies Fail At SEO")</f>
        <v>17 Reasons Why Companies Fail At SEO</v>
      </c>
      <c r="E62" s="3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0" t="s">
        <v>128</v>
      </c>
      <c r="B64" s="8">
        <f t="shared" si="3"/>
        <v>0</v>
      </c>
      <c r="C64" s="8" t="e">
        <f t="shared" si="1"/>
        <v>#DIV/0!</v>
      </c>
      <c r="D6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64" s="10"/>
      <c r="F64" s="13"/>
      <c r="G64" s="12"/>
      <c r="H64" s="1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13" t="s">
        <v>129</v>
      </c>
      <c r="B65" s="8">
        <f t="shared" si="3"/>
        <v>0</v>
      </c>
      <c r="C65" s="8" t="e">
        <f t="shared" si="1"/>
        <v>#DIV/0!</v>
      </c>
      <c r="D6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65" s="28"/>
      <c r="F65" s="26"/>
      <c r="G65" s="12"/>
      <c r="H65" s="13"/>
      <c r="I65" s="12"/>
      <c r="J65" s="13"/>
      <c r="K65" s="13"/>
      <c r="L65" s="1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13" t="s">
        <v>130</v>
      </c>
      <c r="B66" s="8">
        <f t="shared" si="3"/>
        <v>0</v>
      </c>
      <c r="C66" s="8" t="e">
        <f t="shared" si="1"/>
        <v>#DIV/0!</v>
      </c>
      <c r="D66" s="30" t="str">
        <f>HYPERLINK("https://www.digitalauthority.me/web-analytics-services-chicago/","Web Analytics Services page")</f>
        <v>Web Analytics Services page</v>
      </c>
      <c r="E66" s="12"/>
      <c r="F66" s="13"/>
      <c r="G66" s="12"/>
      <c r="H66" s="13"/>
      <c r="I66" s="12"/>
      <c r="J66" s="1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13" t="s">
        <v>131</v>
      </c>
      <c r="B67" s="8">
        <f t="shared" si="3"/>
        <v>0</v>
      </c>
      <c r="C67" s="8" t="e">
        <f t="shared" si="1"/>
        <v>#DIV/0!</v>
      </c>
      <c r="D67" s="21" t="s">
        <v>132</v>
      </c>
      <c r="E67" s="46"/>
      <c r="F67" s="4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13" t="s">
        <v>133</v>
      </c>
      <c r="B68" s="8">
        <f t="shared" si="3"/>
        <v>0</v>
      </c>
      <c r="C68" s="8" t="e">
        <f t="shared" si="1"/>
        <v>#DIV/0!</v>
      </c>
      <c r="D68" s="30" t="str">
        <f>HYPERLINK("https://www.digitalauthority.me/resources/guide-to-data-driven-marketing/","Data Driven Marketing Guide")</f>
        <v>Data Driven Marketing Guide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13" t="s">
        <v>134</v>
      </c>
      <c r="B69" s="8">
        <f t="shared" si="3"/>
        <v>0</v>
      </c>
      <c r="C69" s="8" t="e">
        <f t="shared" si="1"/>
        <v>#DIV/0!</v>
      </c>
      <c r="D69" s="30" t="str">
        <f>HYPERLINK("https://www.digitalauthority.me/resources/outsource-mobile-app-development/","Outsource mobile app development")</f>
        <v>Outsource mobile app development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13" t="s">
        <v>135</v>
      </c>
      <c r="B70" s="8">
        <f t="shared" si="3"/>
        <v>0</v>
      </c>
      <c r="C70" s="8" t="e">
        <f t="shared" si="1"/>
        <v>#DIV/0!</v>
      </c>
      <c r="D70" s="13" t="s">
        <v>136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3" t="s">
        <v>137</v>
      </c>
      <c r="B71" s="8">
        <f t="shared" si="3"/>
        <v>0</v>
      </c>
      <c r="C71" s="8" t="e">
        <f t="shared" si="1"/>
        <v>#DIV/0!</v>
      </c>
      <c r="D71" s="3" t="s">
        <v>137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 t="e">
        <f t="shared" si="1"/>
        <v>#DIV/0!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D6" r:id="rId1"/>
    <hyperlink ref="D7" r:id="rId2"/>
    <hyperlink ref="E12" r:id="rId3"/>
    <hyperlink ref="D17" r:id="rId4"/>
    <hyperlink ref="D18" r:id="rId5"/>
    <hyperlink ref="D19" r:id="rId6"/>
    <hyperlink ref="D20" r:id="rId7"/>
    <hyperlink ref="D23" r:id="rId8"/>
    <hyperlink ref="D24" r:id="rId9"/>
    <hyperlink ref="D25" r:id="rId10"/>
    <hyperlink ref="D26" r:id="rId11"/>
    <hyperlink ref="D27" r:id="rId12"/>
    <hyperlink ref="D28" r:id="rId13"/>
    <hyperlink ref="D34" r:id="rId14"/>
    <hyperlink ref="D35" r:id="rId15"/>
    <hyperlink ref="D45" r:id="rId16"/>
    <hyperlink ref="D46" r:id="rId17"/>
    <hyperlink ref="D54" r:id="rId18"/>
    <hyperlink ref="D58" r:id="rId19"/>
    <hyperlink ref="D61" r:id="rId20"/>
    <hyperlink ref="D67" r:id="rId2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9" si="0">COUNTIF(E2:AD2,"&gt;0")</f>
        <v>0</v>
      </c>
      <c r="C2" s="8" t="e">
        <f t="shared" ref="C2:C72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62</v>
      </c>
      <c r="B6" s="8">
        <f t="shared" si="0"/>
        <v>0</v>
      </c>
      <c r="C6" s="8" t="e">
        <f t="shared" si="1"/>
        <v>#DIV/0!</v>
      </c>
      <c r="D6" s="21" t="s">
        <v>63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64</v>
      </c>
      <c r="B7" s="8">
        <f t="shared" si="0"/>
        <v>0</v>
      </c>
      <c r="C7" s="8" t="e">
        <f t="shared" si="1"/>
        <v>#DIV/0!</v>
      </c>
      <c r="D7" s="21" t="s">
        <v>65</v>
      </c>
      <c r="E7" s="13"/>
      <c r="F7" s="13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66</v>
      </c>
      <c r="B8" s="8">
        <f t="shared" si="0"/>
        <v>0</v>
      </c>
      <c r="C8" s="8" t="e">
        <f t="shared" si="1"/>
        <v>#DIV/0!</v>
      </c>
      <c r="D8" s="22" t="str">
        <f>HYPERLINK("https://www.digitalauthority.me/alexa/","Alexa dev page")</f>
        <v>Alexa dev page</v>
      </c>
      <c r="E8" s="23"/>
      <c r="F8" s="24"/>
      <c r="G8" s="25"/>
      <c r="H8" s="13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67</v>
      </c>
      <c r="B9" s="8">
        <f t="shared" si="0"/>
        <v>0</v>
      </c>
      <c r="C9" s="8" t="e">
        <f t="shared" si="1"/>
        <v>#DIV/0!</v>
      </c>
      <c r="D9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9" s="28"/>
      <c r="F9" s="26"/>
      <c r="G9" s="29"/>
      <c r="H9" s="29"/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3" t="s">
        <v>68</v>
      </c>
      <c r="B10" s="8">
        <f ca="1">COUNTIF(A10:AD10,"&gt;0")</f>
        <v>0</v>
      </c>
      <c r="C10" s="8" t="str">
        <f t="shared" ca="1" si="1"/>
        <v>#DIV/0!</v>
      </c>
      <c r="D10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10" s="3"/>
      <c r="F10" s="24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69</v>
      </c>
      <c r="B11" s="8">
        <f t="shared" ref="B11:B38" si="2">COUNTIF(E11:AD11,"&gt;0")</f>
        <v>0</v>
      </c>
      <c r="C11" s="8" t="e">
        <f t="shared" si="1"/>
        <v>#DIV/0!</v>
      </c>
      <c r="D11" s="30" t="str">
        <f>HYPERLINK("https://healthcareweekly.com/astaxanthin/","15 health benefits of astaxanthin")</f>
        <v>15 health benefits of astaxanthin</v>
      </c>
      <c r="E11" s="12"/>
      <c r="F11" s="13"/>
      <c r="G11" s="12"/>
      <c r="H11" s="13"/>
      <c r="I11" s="12"/>
      <c r="J11" s="13"/>
      <c r="K11" s="12"/>
      <c r="L11" s="13"/>
      <c r="M11" s="12"/>
      <c r="N11" s="13"/>
      <c r="O11" s="12"/>
      <c r="P11" s="13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70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HYPERLINK("https://www.digitalauthority.me/resources/b2b-marketing/","How to Jumpstart Your B2B Marketing Strategy in 2019")</f>
        <v>How to Jumpstart Your B2B Marketing Strategy in 2019</v>
      </c>
      <c r="E12" s="31"/>
      <c r="F12" s="24"/>
      <c r="G12" s="24"/>
      <c r="H12" s="13"/>
      <c r="I12" s="13"/>
      <c r="J12" s="13"/>
      <c r="K12" s="13"/>
      <c r="L12" s="13"/>
      <c r="M12" s="13"/>
      <c r="N12" s="13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72</v>
      </c>
      <c r="B13" s="8">
        <f t="shared" si="2"/>
        <v>0</v>
      </c>
      <c r="C13" s="8" t="e">
        <f t="shared" si="1"/>
        <v>#DIV/0!</v>
      </c>
      <c r="D13" s="11" t="str">
        <f>HYPERLINK("https://www.digitalauthority.me/resources/big-data-in-healthcare/","Big Data in healthcare")</f>
        <v>Big Data in healthcare</v>
      </c>
      <c r="E13" s="3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73</v>
      </c>
      <c r="B14" s="8">
        <f t="shared" si="2"/>
        <v>0</v>
      </c>
      <c r="C14" s="8" t="e">
        <f t="shared" si="1"/>
        <v>#DIV/0!</v>
      </c>
      <c r="D14" s="30" t="str">
        <f>HYPERLINK("https://healthcareweekly.com/blockchain-in-healthcare/","7 Applications of Blockchain in Healthcare
")</f>
        <v>7 Applications of Blockchain in Healthcare_x000D_</v>
      </c>
      <c r="E14" s="28"/>
      <c r="F14" s="26"/>
      <c r="G14" s="13"/>
      <c r="H14" s="13"/>
      <c r="I14" s="13"/>
      <c r="J14" s="13"/>
      <c r="K14" s="13"/>
      <c r="L14" s="1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73</v>
      </c>
      <c r="B15" s="8">
        <f t="shared" si="2"/>
        <v>0</v>
      </c>
      <c r="C15" s="8" t="e">
        <f t="shared" si="1"/>
        <v>#DIV/0!</v>
      </c>
      <c r="D15" s="11" t="str">
        <f>HYPERLINK("https://www.digitalauthority.me/resources/blockchain-in-healthcare/","Blockchain in Healthcare: An Executive’s Guide for 2019")</f>
        <v>Blockchain in Healthcare: An Executive’s Guide for 2019</v>
      </c>
      <c r="E15" s="1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75</v>
      </c>
      <c r="B16" s="8">
        <f t="shared" si="2"/>
        <v>0</v>
      </c>
      <c r="C16" s="8" t="e">
        <f t="shared" si="1"/>
        <v>#DIV/0!</v>
      </c>
      <c r="D1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76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78</v>
      </c>
      <c r="B18" s="8">
        <f t="shared" si="2"/>
        <v>0</v>
      </c>
      <c r="C18" s="8" t="e">
        <f t="shared" si="1"/>
        <v>#DIV/0!</v>
      </c>
      <c r="D18" s="21" t="s">
        <v>77</v>
      </c>
      <c r="E18" s="12"/>
      <c r="F18" s="13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79</v>
      </c>
      <c r="B19" s="8">
        <f t="shared" si="2"/>
        <v>0</v>
      </c>
      <c r="C19" s="8" t="e">
        <f t="shared" si="1"/>
        <v>#DIV/0!</v>
      </c>
      <c r="D19" s="21" t="s">
        <v>77</v>
      </c>
      <c r="E19" s="33"/>
      <c r="F19" s="34"/>
      <c r="G19" s="12"/>
      <c r="H19" s="13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80</v>
      </c>
      <c r="B20" s="8">
        <f t="shared" si="2"/>
        <v>0</v>
      </c>
      <c r="C20" s="8" t="e">
        <f t="shared" si="1"/>
        <v>#DIV/0!</v>
      </c>
      <c r="D20" s="35" t="s">
        <v>77</v>
      </c>
      <c r="E20" s="12"/>
      <c r="F20" s="13"/>
      <c r="G20" s="28"/>
      <c r="H20" s="26"/>
      <c r="I20" s="28"/>
      <c r="J20" s="26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74</v>
      </c>
      <c r="B21" s="8">
        <f t="shared" si="2"/>
        <v>0</v>
      </c>
      <c r="C21" s="8" t="e">
        <f t="shared" si="1"/>
        <v>#DIV/0!</v>
      </c>
      <c r="D2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1" s="28"/>
      <c r="F21" s="26"/>
      <c r="G21" s="28"/>
      <c r="H21" s="26"/>
      <c r="I21" s="12"/>
      <c r="J21" s="13"/>
      <c r="K21" s="28"/>
      <c r="L21" s="26"/>
      <c r="M21" s="12"/>
      <c r="N21" s="13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13"/>
      <c r="AA21" s="8"/>
      <c r="AB21" s="8"/>
      <c r="AC21" s="8"/>
      <c r="AD21" s="8"/>
    </row>
    <row r="22" spans="1:30" ht="15.75" customHeight="1">
      <c r="A22" s="3" t="s">
        <v>81</v>
      </c>
      <c r="B22" s="8">
        <f t="shared" si="2"/>
        <v>0</v>
      </c>
      <c r="C22" s="8" t="e">
        <f t="shared" si="1"/>
        <v>#DIV/0!</v>
      </c>
      <c r="D22" s="36"/>
      <c r="E22" s="37"/>
      <c r="F22" s="38"/>
      <c r="G22" s="2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82</v>
      </c>
      <c r="B23" s="8">
        <f t="shared" si="2"/>
        <v>0</v>
      </c>
      <c r="C23" s="8" t="e">
        <f t="shared" si="1"/>
        <v>#DIV/0!</v>
      </c>
      <c r="D23" s="11" t="s">
        <v>77</v>
      </c>
      <c r="E23" s="3"/>
      <c r="F23" s="3"/>
      <c r="G23" s="16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83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84</v>
      </c>
      <c r="B25" s="8">
        <f t="shared" si="2"/>
        <v>0</v>
      </c>
      <c r="C25" s="8" t="e">
        <f t="shared" si="1"/>
        <v>#DIV/0!</v>
      </c>
      <c r="D25" s="21" t="s">
        <v>77</v>
      </c>
      <c r="E25" s="39"/>
      <c r="F25" s="7"/>
      <c r="G25" s="40"/>
      <c r="H25" s="8"/>
      <c r="I25" s="12"/>
      <c r="J25" s="1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85</v>
      </c>
      <c r="B26" s="8">
        <f t="shared" si="2"/>
        <v>0</v>
      </c>
      <c r="C26" s="8" t="e">
        <f t="shared" si="1"/>
        <v>#DIV/0!</v>
      </c>
      <c r="D26" s="21" t="s">
        <v>77</v>
      </c>
      <c r="E26" s="41"/>
      <c r="F26" s="42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86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2" t="s">
        <v>87</v>
      </c>
      <c r="B28" s="8">
        <f t="shared" si="2"/>
        <v>0</v>
      </c>
      <c r="C28" s="8" t="e">
        <f t="shared" si="1"/>
        <v>#DIV/0!</v>
      </c>
      <c r="D28" s="21" t="s">
        <v>77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88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9" s="28"/>
      <c r="F29" s="26"/>
      <c r="G29" s="44"/>
      <c r="H29" s="24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89</v>
      </c>
      <c r="B30" s="8">
        <f t="shared" si="2"/>
        <v>0</v>
      </c>
      <c r="C30" s="8" t="e">
        <f t="shared" si="1"/>
        <v>#DIV/0!</v>
      </c>
      <c r="D3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30" s="28"/>
      <c r="F30" s="26"/>
      <c r="G30" s="29"/>
      <c r="H30" s="29"/>
      <c r="I30" s="29"/>
      <c r="J30" s="29"/>
      <c r="K30" s="29"/>
      <c r="L30" s="2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90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1" s="33"/>
      <c r="F31" s="34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59</v>
      </c>
      <c r="B32" s="8">
        <f t="shared" si="2"/>
        <v>0</v>
      </c>
      <c r="C32" s="8" t="e">
        <f t="shared" si="1"/>
        <v>#DIV/0!</v>
      </c>
      <c r="D3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2" s="33"/>
      <c r="F32" s="34"/>
      <c r="G32" s="12"/>
      <c r="H32" s="13"/>
      <c r="I32" s="12"/>
      <c r="J32" s="13"/>
      <c r="K32" s="12"/>
      <c r="L32" s="1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26" t="s">
        <v>91</v>
      </c>
      <c r="B33" s="8">
        <f t="shared" si="2"/>
        <v>0</v>
      </c>
      <c r="C33" s="8" t="e">
        <f t="shared" si="1"/>
        <v>#DIV/0!</v>
      </c>
      <c r="D3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3" s="23"/>
      <c r="F33" s="24"/>
      <c r="G33" s="12"/>
      <c r="H33" s="13"/>
      <c r="I33" s="28"/>
      <c r="J33" s="26"/>
      <c r="K33" s="3"/>
      <c r="L33" s="45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92</v>
      </c>
      <c r="B34" s="8">
        <f t="shared" si="2"/>
        <v>0</v>
      </c>
      <c r="C34" s="8" t="e">
        <f t="shared" si="1"/>
        <v>#DIV/0!</v>
      </c>
      <c r="D34" s="21" t="s">
        <v>77</v>
      </c>
      <c r="E34" s="28"/>
      <c r="F34" s="26"/>
      <c r="G34" s="12"/>
      <c r="H34" s="13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93</v>
      </c>
      <c r="B35" s="8">
        <f t="shared" si="2"/>
        <v>0</v>
      </c>
      <c r="C35" s="8" t="e">
        <f t="shared" si="1"/>
        <v>#DIV/0!</v>
      </c>
      <c r="D35" s="30" t="s">
        <v>77</v>
      </c>
      <c r="E35" s="28"/>
      <c r="F35" s="26"/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2" t="s">
        <v>94</v>
      </c>
      <c r="B36" s="8">
        <f t="shared" si="2"/>
        <v>0</v>
      </c>
      <c r="C36" s="8" t="e">
        <f t="shared" si="1"/>
        <v>#DIV/0!</v>
      </c>
      <c r="D3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6" s="12"/>
      <c r="F36" s="13"/>
      <c r="G36" s="12"/>
      <c r="H36" s="13"/>
      <c r="I36" s="12"/>
      <c r="J36" s="13"/>
      <c r="K36" s="12"/>
      <c r="L36" s="13"/>
      <c r="M36" s="12"/>
      <c r="N36" s="13"/>
      <c r="O36" s="23"/>
      <c r="P36" s="24"/>
      <c r="Q36" s="12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95</v>
      </c>
      <c r="B37" s="8">
        <f t="shared" si="2"/>
        <v>0</v>
      </c>
      <c r="C37" s="8" t="e">
        <f t="shared" si="1"/>
        <v>#DIV/0!</v>
      </c>
      <c r="D37" s="8"/>
      <c r="E37" s="12"/>
      <c r="F37" s="13"/>
      <c r="G37" s="12"/>
      <c r="H37" s="13"/>
      <c r="I37" s="28"/>
      <c r="J37" s="26"/>
      <c r="K37" s="23"/>
      <c r="L37" s="24"/>
      <c r="M37" s="12"/>
      <c r="N37" s="13"/>
      <c r="O37" s="46"/>
      <c r="P37" s="47"/>
      <c r="Q37" s="28"/>
      <c r="R37" s="26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3" t="s">
        <v>96</v>
      </c>
      <c r="B38" s="8">
        <f t="shared" si="2"/>
        <v>0</v>
      </c>
      <c r="C38" s="8" t="e">
        <f t="shared" si="1"/>
        <v>#DIV/0!</v>
      </c>
      <c r="D38" s="11" t="str">
        <f>HYPERLINK("https://www.digitalauthority.me/resources/healthcare-marketing-plan-guide/","Healthcare Marketing Plan Guide")</f>
        <v>Healthcare Marketing Plan Guide</v>
      </c>
      <c r="E38" s="8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7" t="s">
        <v>98</v>
      </c>
      <c r="B39" s="47">
        <f ca="1">COUNTIF(A39:AD39,"&gt;0")</f>
        <v>0</v>
      </c>
      <c r="C39" s="49" t="str">
        <f t="shared" ca="1" si="1"/>
        <v>#DIV/0!</v>
      </c>
      <c r="D39" s="50" t="str">
        <f>HYPERLINK("https://www.digitalauthority.me/resources/healthcare-app-development-ultimate-guide/","Healthcare Mobile App development")</f>
        <v>Healthcare Mobile App development</v>
      </c>
      <c r="E39" s="31"/>
      <c r="F39" s="31"/>
      <c r="G39" s="31"/>
      <c r="H39" s="31"/>
      <c r="I39" s="31"/>
      <c r="J39" s="31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5.75" customHeight="1">
      <c r="A40" s="13" t="s">
        <v>99</v>
      </c>
      <c r="B40" s="8">
        <f t="shared" ref="B40:B71" si="3">COUNTIF(E40:AD40,"&gt;0")</f>
        <v>0</v>
      </c>
      <c r="C40" s="8" t="e">
        <f t="shared" si="1"/>
        <v>#DIV/0!</v>
      </c>
      <c r="D40" s="11" t="str">
        <f>HYPERLINK("https://www.digitalauthority.me/resources/public-relations-healthcare-guide/","Healthcare PR Guide")</f>
        <v>Healthcare PR Guide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>
      <c r="A41" s="3" t="s">
        <v>100</v>
      </c>
      <c r="B41" s="8">
        <f t="shared" si="3"/>
        <v>0</v>
      </c>
      <c r="C41" s="8" t="e">
        <f t="shared" si="1"/>
        <v>#DIV/0!</v>
      </c>
      <c r="D41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1" s="51"/>
      <c r="F41" s="51"/>
      <c r="G41" s="5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101</v>
      </c>
      <c r="B42" s="8">
        <f t="shared" si="3"/>
        <v>0</v>
      </c>
      <c r="C42" s="8" t="e">
        <f t="shared" si="1"/>
        <v>#DIV/0!</v>
      </c>
      <c r="D42" s="27" t="str">
        <f>HYPERLINK("https://healthcareweekly.com/healthcare-startup-fails/","Most Common Health Startup Mistakes – and How to Fix Them
")</f>
        <v>Most Common Health Startup Mistakes – and How to Fix Them_x000D_</v>
      </c>
      <c r="E42" s="28"/>
      <c r="F42" s="26"/>
      <c r="G42" s="28"/>
      <c r="H42" s="26"/>
      <c r="I42" s="12"/>
      <c r="J42" s="13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102</v>
      </c>
      <c r="B43" s="8">
        <f t="shared" si="3"/>
        <v>0</v>
      </c>
      <c r="C43" s="8" t="e">
        <f t="shared" si="1"/>
        <v>#DIV/0!</v>
      </c>
      <c r="D43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3" s="28"/>
      <c r="F43" s="26"/>
      <c r="G43" s="44"/>
      <c r="H43" s="24"/>
      <c r="I43" s="28"/>
      <c r="J43" s="26"/>
      <c r="K43" s="52"/>
      <c r="L43" s="53"/>
      <c r="M43" s="28"/>
      <c r="N43" s="26"/>
      <c r="O43" s="12"/>
      <c r="P43" s="13"/>
      <c r="Q43" s="12"/>
      <c r="R43" s="13"/>
      <c r="S43" s="12"/>
      <c r="T43" s="13"/>
      <c r="U43" s="12"/>
      <c r="V43" s="13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26" t="s">
        <v>103</v>
      </c>
      <c r="B44" s="8">
        <f t="shared" si="3"/>
        <v>0</v>
      </c>
      <c r="C44" s="8" t="e">
        <f t="shared" si="1"/>
        <v>#DIV/0!</v>
      </c>
      <c r="D44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4" s="28"/>
      <c r="F44" s="26"/>
      <c r="G44" s="44"/>
      <c r="H44" s="24"/>
      <c r="I44" s="28"/>
      <c r="J44" s="26"/>
      <c r="K44" s="12"/>
      <c r="L44" s="13"/>
      <c r="M44" s="12"/>
      <c r="N44" s="13"/>
      <c r="O44" s="13"/>
      <c r="P44" s="13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104</v>
      </c>
      <c r="B45" s="8">
        <f t="shared" si="3"/>
        <v>0</v>
      </c>
      <c r="C45" s="8" t="e">
        <f t="shared" si="1"/>
        <v>#DIV/0!</v>
      </c>
      <c r="D45" s="21" t="s">
        <v>105</v>
      </c>
      <c r="E45" s="13"/>
      <c r="F45" s="13"/>
      <c r="G45" s="13"/>
      <c r="H45" s="13"/>
      <c r="I45" s="13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106</v>
      </c>
      <c r="B46" s="8">
        <f t="shared" si="3"/>
        <v>0</v>
      </c>
      <c r="C46" s="8" t="e">
        <f t="shared" si="1"/>
        <v>#DIV/0!</v>
      </c>
      <c r="D46" s="21" t="s">
        <v>107</v>
      </c>
      <c r="E46" s="13"/>
      <c r="F46" s="13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108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12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109</v>
      </c>
      <c r="B48" s="8">
        <f t="shared" si="3"/>
        <v>0</v>
      </c>
      <c r="C48" s="8" t="e">
        <f t="shared" si="1"/>
        <v>#DIV/0!</v>
      </c>
      <c r="D48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8" s="23"/>
      <c r="F48" s="24"/>
      <c r="G48" s="12"/>
      <c r="H48" s="13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110</v>
      </c>
      <c r="B49" s="8">
        <f t="shared" si="3"/>
        <v>0</v>
      </c>
      <c r="C49" s="8" t="e">
        <f t="shared" si="1"/>
        <v>#DIV/0!</v>
      </c>
      <c r="D49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111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HYPERLINK("https://www.digitalauthority.me/resources/it-marketing-guide/","2019 IT marketing Guide")</f>
        <v>2019 IT marketing Guide</v>
      </c>
      <c r="E50" s="50"/>
      <c r="F50" s="56"/>
      <c r="G50" s="3"/>
      <c r="H50" s="13"/>
      <c r="I50" s="13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3" t="s">
        <v>112</v>
      </c>
      <c r="B51" s="8">
        <f t="shared" si="3"/>
        <v>0</v>
      </c>
      <c r="C51" s="8" t="e">
        <f t="shared" si="1"/>
        <v>#DIV/0!</v>
      </c>
      <c r="D51" s="30" t="str">
        <f t="shared" ref="D51:D5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3" t="s">
        <v>113</v>
      </c>
      <c r="B52" s="8">
        <f t="shared" si="3"/>
        <v>0</v>
      </c>
      <c r="C52" s="8" t="e">
        <f t="shared" si="1"/>
        <v>#DIV/0!</v>
      </c>
      <c r="D52" s="30" t="str">
        <f t="shared" si="4"/>
        <v>5 Key Strategies for Your Financial Product Marketing Initiatives in 2019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114</v>
      </c>
      <c r="B53" s="8">
        <f t="shared" si="3"/>
        <v>0</v>
      </c>
      <c r="C53" s="8" t="e">
        <f t="shared" si="1"/>
        <v>#DIV/0!</v>
      </c>
      <c r="D53" s="11" t="str">
        <f>HYPERLINK("https://www.digitalauthority.me/resources/marketing-terms-guide/","Marketing terms ")</f>
        <v xml:space="preserve">Marketing terms </v>
      </c>
      <c r="E53" s="13"/>
      <c r="F53" s="13"/>
      <c r="G53" s="13"/>
      <c r="H53" s="13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115</v>
      </c>
      <c r="B54" s="8">
        <f t="shared" si="3"/>
        <v>0</v>
      </c>
      <c r="C54" s="8" t="e">
        <f t="shared" si="1"/>
        <v>#DIV/0!</v>
      </c>
      <c r="D54" s="21" t="s">
        <v>77</v>
      </c>
      <c r="E54" s="28"/>
      <c r="F54" s="26"/>
      <c r="G54" s="5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116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HYPERLINK("https://www.digitalauthority.me/resources/mobile-app-development-guide/","ultimate guide to app development")</f>
        <v>ultimate guide to app development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118</v>
      </c>
      <c r="B56" s="8">
        <f t="shared" si="3"/>
        <v>0</v>
      </c>
      <c r="C56" s="8" t="e">
        <f t="shared" si="1"/>
        <v>#DIV/0!</v>
      </c>
      <c r="D56" s="11" t="str">
        <f>HYPERLINK("https://www.digitalauthority.me/resources/mobile-app-marketing-guide/","Mobile app marketing guide")</f>
        <v>Mobile app marketing guide</v>
      </c>
      <c r="E56" s="13"/>
      <c r="F56" s="13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2" t="s">
        <v>119</v>
      </c>
      <c r="B57" s="8">
        <f t="shared" si="3"/>
        <v>0</v>
      </c>
      <c r="C57" s="8" t="e">
        <f t="shared" si="1"/>
        <v>#DIV/0!</v>
      </c>
      <c r="D5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7" s="12"/>
      <c r="F57" s="13"/>
      <c r="G57" s="12"/>
      <c r="H57" s="13"/>
      <c r="I57" s="12"/>
      <c r="J57" s="13"/>
      <c r="K57" s="12"/>
      <c r="L57" s="1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120</v>
      </c>
      <c r="B58" s="8">
        <f t="shared" si="3"/>
        <v>0</v>
      </c>
      <c r="C58" s="8" t="e">
        <f t="shared" si="1"/>
        <v>#DIV/0!</v>
      </c>
      <c r="D58" s="21" t="s">
        <v>121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26" t="s">
        <v>122</v>
      </c>
      <c r="B59" s="8">
        <f t="shared" si="3"/>
        <v>0</v>
      </c>
      <c r="C59" s="8" t="e">
        <f t="shared" si="1"/>
        <v>#DIV/0!</v>
      </c>
      <c r="D59" s="59" t="str">
        <f t="shared" ref="D59:D6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9" s="12"/>
      <c r="F59" s="13"/>
      <c r="G59" s="28"/>
      <c r="H59" s="26"/>
      <c r="I59" s="28"/>
      <c r="J59" s="26"/>
      <c r="K59" s="29"/>
      <c r="L59" s="2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26" t="s">
        <v>123</v>
      </c>
      <c r="B60" s="8">
        <f t="shared" si="3"/>
        <v>0</v>
      </c>
      <c r="C60" s="8" t="e">
        <f t="shared" si="1"/>
        <v>#DIV/0!</v>
      </c>
      <c r="D60" s="54" t="str">
        <f t="shared" si="5"/>
        <v xml:space="preserve">11 online reputation management techniques for doctors (the definitive guide)
</v>
      </c>
      <c r="E60" s="28"/>
      <c r="F60" s="26"/>
      <c r="G60" s="28"/>
      <c r="H60" s="26"/>
      <c r="I60" s="28"/>
      <c r="J60" s="26"/>
      <c r="K60" s="29"/>
      <c r="L60" s="2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124</v>
      </c>
      <c r="B61" s="8">
        <f t="shared" si="3"/>
        <v>0</v>
      </c>
      <c r="C61" s="8" t="e">
        <f t="shared" si="1"/>
        <v>#DIV/0!</v>
      </c>
      <c r="D61" s="60" t="s">
        <v>125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3" t="s">
        <v>126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HYPERLINK("https://www.digitalauthority.me/resources/17-reasons-why-most-companies-fail-at-seo/","17 Reasons Why Companies Fail At SEO")</f>
        <v>17 Reasons Why Companies Fail At SEO</v>
      </c>
      <c r="E62" s="3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0" t="s">
        <v>128</v>
      </c>
      <c r="B64" s="8">
        <f t="shared" si="3"/>
        <v>0</v>
      </c>
      <c r="C64" s="8" t="e">
        <f t="shared" si="1"/>
        <v>#DIV/0!</v>
      </c>
      <c r="D6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64" s="10"/>
      <c r="F64" s="13"/>
      <c r="G64" s="12"/>
      <c r="H64" s="1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13" t="s">
        <v>129</v>
      </c>
      <c r="B65" s="8">
        <f t="shared" si="3"/>
        <v>0</v>
      </c>
      <c r="C65" s="8" t="e">
        <f t="shared" si="1"/>
        <v>#DIV/0!</v>
      </c>
      <c r="D6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65" s="28"/>
      <c r="F65" s="26"/>
      <c r="G65" s="12"/>
      <c r="H65" s="13"/>
      <c r="I65" s="12"/>
      <c r="J65" s="13"/>
      <c r="K65" s="13"/>
      <c r="L65" s="1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13" t="s">
        <v>130</v>
      </c>
      <c r="B66" s="8">
        <f t="shared" si="3"/>
        <v>0</v>
      </c>
      <c r="C66" s="8" t="e">
        <f t="shared" si="1"/>
        <v>#DIV/0!</v>
      </c>
      <c r="D66" s="30" t="str">
        <f>HYPERLINK("https://www.digitalauthority.me/web-analytics-services-chicago/","Web Analytics Services page")</f>
        <v>Web Analytics Services page</v>
      </c>
      <c r="E66" s="12"/>
      <c r="F66" s="13"/>
      <c r="G66" s="12"/>
      <c r="H66" s="13"/>
      <c r="I66" s="12"/>
      <c r="J66" s="1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13" t="s">
        <v>131</v>
      </c>
      <c r="B67" s="8">
        <f t="shared" si="3"/>
        <v>0</v>
      </c>
      <c r="C67" s="8" t="e">
        <f t="shared" si="1"/>
        <v>#DIV/0!</v>
      </c>
      <c r="D67" s="21" t="s">
        <v>132</v>
      </c>
      <c r="E67" s="46"/>
      <c r="F67" s="4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13" t="s">
        <v>133</v>
      </c>
      <c r="B68" s="8">
        <f t="shared" si="3"/>
        <v>0</v>
      </c>
      <c r="C68" s="8" t="e">
        <f t="shared" si="1"/>
        <v>#DIV/0!</v>
      </c>
      <c r="D68" s="30" t="str">
        <f>HYPERLINK("https://www.digitalauthority.me/resources/guide-to-data-driven-marketing/","Data Driven Marketing Guide")</f>
        <v>Data Driven Marketing Guide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13" t="s">
        <v>134</v>
      </c>
      <c r="B69" s="8">
        <f t="shared" si="3"/>
        <v>0</v>
      </c>
      <c r="C69" s="8" t="e">
        <f t="shared" si="1"/>
        <v>#DIV/0!</v>
      </c>
      <c r="D69" s="30" t="str">
        <f>HYPERLINK("https://www.digitalauthority.me/resources/outsource-mobile-app-development/","Outsource mobile app development")</f>
        <v>Outsource mobile app development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13" t="s">
        <v>135</v>
      </c>
      <c r="B70" s="8">
        <f t="shared" si="3"/>
        <v>0</v>
      </c>
      <c r="C70" s="8" t="e">
        <f t="shared" si="1"/>
        <v>#DIV/0!</v>
      </c>
      <c r="D70" s="13" t="s">
        <v>136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3" t="s">
        <v>137</v>
      </c>
      <c r="B71" s="8">
        <f t="shared" si="3"/>
        <v>0</v>
      </c>
      <c r="C71" s="8" t="e">
        <f t="shared" si="1"/>
        <v>#DIV/0!</v>
      </c>
      <c r="D71" s="3" t="s">
        <v>137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 t="e">
        <f t="shared" si="1"/>
        <v>#DIV/0!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D6" r:id="rId1"/>
    <hyperlink ref="D7" r:id="rId2"/>
    <hyperlink ref="D17" r:id="rId3"/>
    <hyperlink ref="D18" r:id="rId4"/>
    <hyperlink ref="D19" r:id="rId5"/>
    <hyperlink ref="D20" r:id="rId6"/>
    <hyperlink ref="D23" r:id="rId7"/>
    <hyperlink ref="D24" r:id="rId8"/>
    <hyperlink ref="D25" r:id="rId9"/>
    <hyperlink ref="D26" r:id="rId10"/>
    <hyperlink ref="D27" r:id="rId11"/>
    <hyperlink ref="D28" r:id="rId12"/>
    <hyperlink ref="D34" r:id="rId13"/>
    <hyperlink ref="D35" r:id="rId14"/>
    <hyperlink ref="D45" r:id="rId15"/>
    <hyperlink ref="D46" r:id="rId16"/>
    <hyperlink ref="D54" r:id="rId17"/>
    <hyperlink ref="D58" r:id="rId18"/>
    <hyperlink ref="D61" r:id="rId19"/>
    <hyperlink ref="D67" r:id="rId2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J994"/>
  <sheetViews>
    <sheetView tabSelected="1" workbookViewId="0">
      <pane ySplit="2" topLeftCell="A3" activePane="bottomLeft" state="frozen"/>
      <selection pane="bottomLeft" activeCell="F15" sqref="F15"/>
    </sheetView>
  </sheetViews>
  <sheetFormatPr baseColWidth="10" defaultColWidth="14.5" defaultRowHeight="15.75" customHeight="1" x14ac:dyDescent="0"/>
  <cols>
    <col min="1" max="1" width="27.5" customWidth="1"/>
    <col min="2" max="2" width="33" customWidth="1"/>
    <col min="3" max="3" width="4.1640625" customWidth="1"/>
    <col min="4" max="4" width="11" customWidth="1"/>
    <col min="5" max="5" width="6.6640625" customWidth="1"/>
    <col min="6" max="6" width="31.5" customWidth="1"/>
    <col min="7" max="7" width="8.6640625" customWidth="1"/>
    <col min="8" max="9" width="9.33203125" customWidth="1"/>
    <col min="10" max="10" width="5.6640625" customWidth="1"/>
    <col min="11" max="11" width="13.83203125" customWidth="1"/>
    <col min="12" max="12" width="8" customWidth="1"/>
    <col min="13" max="13" width="7.6640625" customWidth="1"/>
    <col min="14" max="14" width="6" customWidth="1"/>
    <col min="15" max="15" width="33.1640625" customWidth="1"/>
    <col min="16" max="16" width="32.33203125" customWidth="1"/>
    <col min="17" max="17" width="4.5" customWidth="1"/>
    <col min="18" max="18" width="8.83203125" customWidth="1"/>
    <col min="19" max="19" width="33.33203125" customWidth="1"/>
    <col min="20" max="20" width="26.5" customWidth="1"/>
  </cols>
  <sheetData>
    <row r="1" spans="1:36" ht="15.75" customHeight="1">
      <c r="A1" s="63" t="s">
        <v>141</v>
      </c>
      <c r="B1" s="63"/>
      <c r="C1" s="63"/>
      <c r="D1" s="63"/>
      <c r="E1" s="64" t="s">
        <v>142</v>
      </c>
      <c r="F1" s="18"/>
      <c r="G1" s="18"/>
      <c r="H1" s="18"/>
      <c r="I1" s="18"/>
      <c r="J1" s="18"/>
      <c r="K1" s="18"/>
      <c r="L1" s="18"/>
      <c r="M1" s="18"/>
      <c r="N1" s="18"/>
      <c r="O1" s="193" t="s">
        <v>144</v>
      </c>
      <c r="P1" s="185"/>
      <c r="Q1" s="185"/>
      <c r="R1" s="185"/>
      <c r="S1" s="63" t="s">
        <v>145</v>
      </c>
      <c r="T1" s="3" t="s">
        <v>146</v>
      </c>
      <c r="AB1" s="18"/>
      <c r="AC1" s="18"/>
      <c r="AD1" s="18"/>
      <c r="AE1" s="18"/>
      <c r="AF1" s="18"/>
      <c r="AG1" s="18"/>
      <c r="AH1" s="18"/>
      <c r="AI1" s="18"/>
      <c r="AJ1" s="18"/>
    </row>
    <row r="2" spans="1:36" ht="15.75" customHeight="1">
      <c r="A2" s="3" t="s">
        <v>147</v>
      </c>
      <c r="B2" s="3" t="s">
        <v>148</v>
      </c>
      <c r="C2" s="3" t="s">
        <v>6</v>
      </c>
      <c r="D2" s="3" t="s">
        <v>149</v>
      </c>
      <c r="E2" s="16"/>
      <c r="F2" s="3" t="s">
        <v>146</v>
      </c>
      <c r="G2" s="3" t="s">
        <v>150</v>
      </c>
      <c r="H2" s="3" t="s">
        <v>151</v>
      </c>
      <c r="I2" s="3" t="s">
        <v>152</v>
      </c>
      <c r="J2" s="3" t="s">
        <v>153</v>
      </c>
      <c r="K2" s="3" t="s">
        <v>154</v>
      </c>
      <c r="L2" s="3" t="s">
        <v>155</v>
      </c>
      <c r="M2" s="3" t="s">
        <v>156</v>
      </c>
      <c r="N2" s="3" t="s">
        <v>157</v>
      </c>
      <c r="O2" s="3" t="s">
        <v>158</v>
      </c>
      <c r="P2" s="3" t="s">
        <v>159</v>
      </c>
      <c r="Q2" s="3" t="s">
        <v>6</v>
      </c>
      <c r="R2" s="3" t="s">
        <v>160</v>
      </c>
      <c r="S2" s="3"/>
      <c r="T2" s="18"/>
      <c r="AB2" s="18"/>
      <c r="AC2" s="18"/>
      <c r="AD2" s="18"/>
      <c r="AE2" s="18"/>
      <c r="AF2" s="18"/>
      <c r="AG2" s="18"/>
      <c r="AH2" s="18"/>
      <c r="AI2" s="18"/>
      <c r="AJ2" s="18"/>
    </row>
    <row r="3" spans="1:36" ht="15.75" customHeight="1">
      <c r="A3" s="3" t="s">
        <v>161</v>
      </c>
      <c r="B3" s="61" t="s">
        <v>162</v>
      </c>
      <c r="C3" s="3">
        <v>90</v>
      </c>
      <c r="D3" s="65">
        <v>10</v>
      </c>
      <c r="E3" s="66">
        <v>0.04</v>
      </c>
      <c r="F3" s="3"/>
      <c r="G3" s="3" t="s">
        <v>163</v>
      </c>
      <c r="H3" s="3"/>
      <c r="I3" s="3"/>
      <c r="J3" s="3"/>
      <c r="K3" s="3"/>
      <c r="L3" s="3"/>
      <c r="M3" s="18"/>
      <c r="N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</row>
    <row r="4" spans="1:36" ht="15.75" customHeight="1">
      <c r="A4" s="3" t="s">
        <v>164</v>
      </c>
      <c r="B4" s="61" t="s">
        <v>165</v>
      </c>
      <c r="C4" s="3">
        <v>90</v>
      </c>
      <c r="D4" s="3">
        <v>0</v>
      </c>
      <c r="E4" s="16">
        <v>1</v>
      </c>
      <c r="F4" s="3"/>
      <c r="G4" s="3"/>
      <c r="H4" s="3"/>
      <c r="I4" s="3"/>
      <c r="J4" s="3"/>
      <c r="K4" s="3" t="s">
        <v>163</v>
      </c>
      <c r="L4" s="3" t="s">
        <v>163</v>
      </c>
      <c r="M4" s="18"/>
      <c r="N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</row>
    <row r="5" spans="1:36" ht="15.75" customHeight="1">
      <c r="A5" s="3" t="s">
        <v>166</v>
      </c>
      <c r="B5" s="61" t="s">
        <v>167</v>
      </c>
      <c r="C5" s="3">
        <v>88</v>
      </c>
      <c r="D5" s="65">
        <v>35</v>
      </c>
      <c r="E5" s="66">
        <v>0.01</v>
      </c>
      <c r="F5" s="3" t="s">
        <v>168</v>
      </c>
      <c r="G5" s="3" t="s">
        <v>163</v>
      </c>
      <c r="H5" s="3"/>
      <c r="I5" s="3"/>
      <c r="J5" s="3"/>
      <c r="K5" s="3"/>
      <c r="L5" s="3" t="s">
        <v>163</v>
      </c>
      <c r="M5" s="18"/>
      <c r="N5" s="18"/>
      <c r="T5" s="10"/>
      <c r="AB5" s="18"/>
      <c r="AC5" s="18"/>
      <c r="AD5" s="18"/>
      <c r="AE5" s="18"/>
      <c r="AF5" s="18"/>
      <c r="AG5" s="18"/>
      <c r="AH5" s="18"/>
      <c r="AI5" s="18"/>
      <c r="AJ5" s="18"/>
    </row>
    <row r="6" spans="1:36" ht="15.75" customHeight="1">
      <c r="A6" s="3" t="s">
        <v>169</v>
      </c>
      <c r="B6" s="61" t="s">
        <v>170</v>
      </c>
      <c r="C6" s="3">
        <v>83</v>
      </c>
      <c r="D6" s="3">
        <v>40</v>
      </c>
      <c r="E6" s="16">
        <v>1</v>
      </c>
      <c r="F6" s="3" t="s">
        <v>171</v>
      </c>
      <c r="G6" s="3"/>
      <c r="H6" s="3"/>
      <c r="I6" s="3" t="s">
        <v>163</v>
      </c>
      <c r="J6" s="3" t="s">
        <v>163</v>
      </c>
      <c r="K6" s="3"/>
      <c r="L6" s="3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</row>
    <row r="7" spans="1:36" ht="15.75" customHeight="1">
      <c r="A7" s="3" t="s">
        <v>172</v>
      </c>
      <c r="B7" s="61" t="s">
        <v>173</v>
      </c>
      <c r="C7" s="3">
        <v>81</v>
      </c>
      <c r="D7" s="65">
        <v>55</v>
      </c>
      <c r="E7" s="66">
        <v>0.01</v>
      </c>
      <c r="F7" s="3" t="s">
        <v>174</v>
      </c>
      <c r="G7" s="3"/>
      <c r="H7" s="3"/>
      <c r="I7" s="3" t="s">
        <v>163</v>
      </c>
      <c r="J7" s="3"/>
      <c r="K7" s="3"/>
      <c r="L7" s="3" t="s">
        <v>163</v>
      </c>
      <c r="M7" s="18"/>
      <c r="N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</row>
    <row r="8" spans="1:36" ht="15.75" customHeight="1">
      <c r="A8" s="37" t="s">
        <v>175</v>
      </c>
      <c r="B8" s="36" t="s">
        <v>176</v>
      </c>
      <c r="C8" s="38">
        <v>79</v>
      </c>
      <c r="D8" s="67">
        <v>20</v>
      </c>
      <c r="E8" s="68">
        <v>0.28000000000000003</v>
      </c>
      <c r="F8" s="31" t="s">
        <v>177</v>
      </c>
      <c r="G8" s="31"/>
      <c r="H8" s="31"/>
      <c r="I8" s="31"/>
      <c r="J8" s="31"/>
      <c r="K8" s="31" t="s">
        <v>163</v>
      </c>
      <c r="L8" s="3" t="s">
        <v>163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</row>
    <row r="9" spans="1:36" ht="15.75" customHeight="1">
      <c r="A9" s="3" t="s">
        <v>178</v>
      </c>
      <c r="B9" s="61" t="s">
        <v>179</v>
      </c>
      <c r="C9" s="3">
        <v>79</v>
      </c>
      <c r="D9" s="3">
        <v>0</v>
      </c>
      <c r="E9" s="16" t="s">
        <v>180</v>
      </c>
      <c r="F9" s="3"/>
      <c r="G9" s="3" t="s">
        <v>163</v>
      </c>
      <c r="H9" s="3"/>
      <c r="I9" s="3"/>
      <c r="J9" s="3"/>
      <c r="K9" s="3"/>
      <c r="L9" s="3" t="s">
        <v>163</v>
      </c>
      <c r="M9" s="18"/>
      <c r="N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</row>
    <row r="10" spans="1:36" ht="15.75" customHeight="1">
      <c r="A10" s="3" t="s">
        <v>181</v>
      </c>
      <c r="B10" s="61" t="s">
        <v>182</v>
      </c>
      <c r="C10" s="3">
        <v>78</v>
      </c>
      <c r="D10" s="65">
        <v>50</v>
      </c>
      <c r="E10" s="66">
        <v>0.05</v>
      </c>
      <c r="F10" s="3"/>
      <c r="G10" s="3" t="s">
        <v>163</v>
      </c>
      <c r="H10" s="3"/>
      <c r="I10" s="3"/>
      <c r="J10" s="3"/>
      <c r="K10" s="3"/>
      <c r="L10" s="3" t="s">
        <v>163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</row>
    <row r="11" spans="1:36" ht="15.75" customHeight="1">
      <c r="A11" s="3" t="s">
        <v>183</v>
      </c>
      <c r="B11" s="61" t="s">
        <v>184</v>
      </c>
      <c r="C11" s="3">
        <v>77</v>
      </c>
      <c r="D11" s="65">
        <v>25</v>
      </c>
      <c r="E11" s="66">
        <v>0.01</v>
      </c>
      <c r="F11" s="65"/>
      <c r="G11" s="65"/>
      <c r="H11" s="65"/>
      <c r="I11" s="65"/>
      <c r="J11" s="65"/>
      <c r="K11" s="65" t="s">
        <v>163</v>
      </c>
      <c r="L11" s="3" t="s">
        <v>163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1:36" ht="15.75" customHeight="1">
      <c r="A12" s="3" t="s">
        <v>185</v>
      </c>
      <c r="B12" s="61" t="s">
        <v>186</v>
      </c>
      <c r="C12" s="3">
        <v>77</v>
      </c>
      <c r="D12" s="65">
        <v>130</v>
      </c>
      <c r="E12" s="69" t="s">
        <v>180</v>
      </c>
      <c r="F12" s="3" t="s">
        <v>187</v>
      </c>
      <c r="G12" s="3"/>
      <c r="H12" s="3"/>
      <c r="I12" s="3"/>
      <c r="J12" s="3" t="s">
        <v>163</v>
      </c>
      <c r="K12" s="3"/>
      <c r="L12" s="3" t="s">
        <v>163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</row>
    <row r="13" spans="1:36" ht="15.75" customHeight="1">
      <c r="A13" s="3" t="s">
        <v>188</v>
      </c>
      <c r="B13" s="61" t="s">
        <v>189</v>
      </c>
      <c r="C13" s="3">
        <v>76</v>
      </c>
      <c r="D13" s="65">
        <v>70</v>
      </c>
      <c r="E13" s="66">
        <v>0.03</v>
      </c>
      <c r="F13" s="3" t="s">
        <v>190</v>
      </c>
      <c r="G13" s="3"/>
      <c r="H13" s="3" t="s">
        <v>163</v>
      </c>
      <c r="I13" s="3" t="s">
        <v>163</v>
      </c>
      <c r="J13" s="3" t="s">
        <v>163</v>
      </c>
      <c r="K13" s="3"/>
      <c r="L13" s="3" t="s">
        <v>191</v>
      </c>
      <c r="M13" s="18"/>
      <c r="N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 ht="15.75" customHeight="1">
      <c r="A14" s="3" t="s">
        <v>192</v>
      </c>
      <c r="B14" s="61" t="s">
        <v>193</v>
      </c>
      <c r="C14" s="3">
        <v>75</v>
      </c>
      <c r="D14" s="65">
        <v>37</v>
      </c>
      <c r="E14" s="66">
        <v>0.05</v>
      </c>
      <c r="F14" s="3" t="s">
        <v>194</v>
      </c>
      <c r="G14" s="3"/>
      <c r="H14" s="3"/>
      <c r="I14" s="3"/>
      <c r="J14" s="3"/>
      <c r="K14" s="3" t="s">
        <v>163</v>
      </c>
      <c r="L14" s="3" t="s">
        <v>163</v>
      </c>
      <c r="M14" s="18"/>
      <c r="N14" s="18"/>
      <c r="O14" s="3"/>
      <c r="P14" s="3"/>
      <c r="Q14" s="3"/>
      <c r="R14" s="65"/>
      <c r="S14" s="3"/>
      <c r="T14" s="18"/>
      <c r="AB14" s="18"/>
      <c r="AC14" s="18"/>
      <c r="AD14" s="18"/>
      <c r="AE14" s="18"/>
      <c r="AF14" s="18"/>
      <c r="AG14" s="18"/>
      <c r="AH14" s="18"/>
      <c r="AI14" s="18"/>
      <c r="AJ14" s="18"/>
    </row>
    <row r="15" spans="1:36" ht="15.75" customHeight="1">
      <c r="A15" s="3" t="s">
        <v>195</v>
      </c>
      <c r="B15" s="61" t="s">
        <v>196</v>
      </c>
      <c r="C15" s="3">
        <v>75</v>
      </c>
      <c r="D15" s="3">
        <v>70</v>
      </c>
      <c r="E15" s="66">
        <v>0.01</v>
      </c>
      <c r="F15" s="3" t="s">
        <v>197</v>
      </c>
      <c r="G15" s="3"/>
      <c r="H15" s="3"/>
      <c r="I15" s="3" t="s">
        <v>163</v>
      </c>
      <c r="J15" s="3"/>
      <c r="K15" s="3"/>
      <c r="L15" s="3" t="s">
        <v>191</v>
      </c>
      <c r="M15" s="18"/>
      <c r="N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</row>
    <row r="16" spans="1:36" ht="15.75" customHeight="1">
      <c r="A16" s="3" t="s">
        <v>198</v>
      </c>
      <c r="B16" s="70" t="s">
        <v>199</v>
      </c>
      <c r="C16" s="3">
        <v>75</v>
      </c>
      <c r="D16" s="65" t="s">
        <v>200</v>
      </c>
      <c r="E16" s="66">
        <v>0.01</v>
      </c>
      <c r="F16" s="3" t="s">
        <v>201</v>
      </c>
      <c r="G16" s="3"/>
      <c r="H16" s="3"/>
      <c r="I16" s="3" t="s">
        <v>163</v>
      </c>
      <c r="J16" s="3" t="s">
        <v>163</v>
      </c>
      <c r="K16" s="3"/>
      <c r="L16" s="3" t="s">
        <v>163</v>
      </c>
      <c r="M16" s="18"/>
      <c r="N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</row>
    <row r="17" spans="1:36" ht="15.75" customHeight="1">
      <c r="A17" s="3" t="s">
        <v>172</v>
      </c>
      <c r="B17" s="61" t="s">
        <v>204</v>
      </c>
      <c r="C17" s="3">
        <v>75</v>
      </c>
      <c r="D17" s="3">
        <v>45</v>
      </c>
      <c r="E17" s="16">
        <v>7</v>
      </c>
      <c r="F17" s="3" t="s">
        <v>211</v>
      </c>
      <c r="G17" s="3"/>
      <c r="H17" s="3" t="s">
        <v>163</v>
      </c>
      <c r="I17" s="3"/>
      <c r="J17" s="3" t="s">
        <v>163</v>
      </c>
      <c r="K17" s="3"/>
      <c r="L17" s="3" t="s">
        <v>163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</row>
    <row r="18" spans="1:36" ht="15.75" customHeight="1">
      <c r="A18" s="3" t="s">
        <v>195</v>
      </c>
      <c r="B18" s="61" t="s">
        <v>212</v>
      </c>
      <c r="C18" s="3">
        <v>73</v>
      </c>
      <c r="D18" s="3">
        <v>100</v>
      </c>
      <c r="E18" s="66">
        <v>0.01</v>
      </c>
      <c r="F18" s="3" t="s">
        <v>213</v>
      </c>
      <c r="G18" s="3"/>
      <c r="H18" s="3" t="s">
        <v>163</v>
      </c>
      <c r="I18" s="3"/>
      <c r="J18" s="3" t="s">
        <v>163</v>
      </c>
      <c r="K18" s="3"/>
      <c r="L18" s="3" t="s">
        <v>163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 ht="15.75" customHeight="1">
      <c r="A19" s="3" t="s">
        <v>214</v>
      </c>
      <c r="B19" s="61" t="s">
        <v>215</v>
      </c>
      <c r="C19" s="3">
        <v>73</v>
      </c>
      <c r="D19" s="3">
        <v>100</v>
      </c>
      <c r="E19" s="16">
        <v>1</v>
      </c>
      <c r="F19" s="3" t="s">
        <v>217</v>
      </c>
      <c r="G19" s="3"/>
      <c r="H19" s="3" t="s">
        <v>163</v>
      </c>
      <c r="I19" s="3"/>
      <c r="J19" s="3" t="s">
        <v>163</v>
      </c>
      <c r="K19" s="3"/>
      <c r="L19" s="3" t="s">
        <v>163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ht="15.75" customHeight="1">
      <c r="A20" s="3" t="s">
        <v>218</v>
      </c>
      <c r="B20" s="61" t="s">
        <v>219</v>
      </c>
      <c r="C20" s="3">
        <v>73</v>
      </c>
      <c r="D20" s="65">
        <v>100</v>
      </c>
      <c r="E20" s="69" t="s">
        <v>180</v>
      </c>
      <c r="F20" s="3"/>
      <c r="G20" s="3" t="s">
        <v>163</v>
      </c>
      <c r="H20" s="3"/>
      <c r="I20" s="3"/>
      <c r="J20" s="3"/>
      <c r="K20" s="3"/>
      <c r="L20" s="3" t="s">
        <v>163</v>
      </c>
      <c r="M20" s="18"/>
      <c r="N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 ht="15.75" customHeight="1">
      <c r="A21" s="3" t="s">
        <v>195</v>
      </c>
      <c r="B21" s="61" t="s">
        <v>221</v>
      </c>
      <c r="C21" s="3">
        <v>72</v>
      </c>
      <c r="D21" s="3">
        <v>100</v>
      </c>
      <c r="E21" s="66">
        <v>0.02</v>
      </c>
      <c r="F21" s="3" t="s">
        <v>223</v>
      </c>
      <c r="G21" s="3"/>
      <c r="H21" s="3" t="s">
        <v>163</v>
      </c>
      <c r="I21" s="3" t="s">
        <v>163</v>
      </c>
      <c r="J21" s="3"/>
      <c r="K21" s="3"/>
      <c r="L21" s="3" t="s">
        <v>163</v>
      </c>
      <c r="M21" s="18"/>
      <c r="N21" s="3" t="s">
        <v>163</v>
      </c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 ht="15.75" customHeight="1">
      <c r="A22" s="3" t="s">
        <v>224</v>
      </c>
      <c r="B22" s="61" t="s">
        <v>225</v>
      </c>
      <c r="C22" s="3">
        <v>72</v>
      </c>
      <c r="D22" s="3">
        <v>20</v>
      </c>
      <c r="E22" s="66">
        <v>0.28999999999999998</v>
      </c>
      <c r="F22" s="3"/>
      <c r="G22" s="3" t="s">
        <v>163</v>
      </c>
      <c r="H22" s="3"/>
      <c r="I22" s="3"/>
      <c r="J22" s="3"/>
      <c r="K22" s="3"/>
      <c r="L22" s="3" t="s">
        <v>191</v>
      </c>
      <c r="M22" s="18"/>
      <c r="N22" s="3" t="s">
        <v>163</v>
      </c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 ht="15.75" customHeight="1">
      <c r="A23" s="3" t="s">
        <v>195</v>
      </c>
      <c r="B23" s="61" t="s">
        <v>226</v>
      </c>
      <c r="C23" s="3">
        <v>72</v>
      </c>
      <c r="D23" s="3">
        <v>50</v>
      </c>
      <c r="E23" s="66">
        <v>7.0000000000000007E-2</v>
      </c>
      <c r="F23" s="3"/>
      <c r="G23" s="3"/>
      <c r="H23" s="3" t="s">
        <v>163</v>
      </c>
      <c r="I23" s="3" t="s">
        <v>163</v>
      </c>
      <c r="J23" s="3" t="s">
        <v>163</v>
      </c>
      <c r="K23" s="3"/>
      <c r="L23" s="3" t="s">
        <v>191</v>
      </c>
      <c r="M23" s="18"/>
      <c r="N23" s="3" t="s">
        <v>191</v>
      </c>
      <c r="O23">
        <f>565*(150+45)</f>
        <v>110175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 ht="15.75" customHeight="1">
      <c r="A24" s="37" t="s">
        <v>175</v>
      </c>
      <c r="B24" s="36" t="s">
        <v>229</v>
      </c>
      <c r="C24" s="38">
        <v>72</v>
      </c>
      <c r="D24" s="67">
        <v>20</v>
      </c>
      <c r="E24" s="68">
        <v>0.03</v>
      </c>
      <c r="F24" s="73" t="s">
        <v>230</v>
      </c>
      <c r="G24" s="73"/>
      <c r="H24" s="73"/>
      <c r="I24" s="73"/>
      <c r="J24" s="73"/>
      <c r="K24" s="74" t="s">
        <v>163</v>
      </c>
      <c r="L24" s="3" t="s">
        <v>163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 ht="15.75" customHeight="1">
      <c r="A25" s="3" t="s">
        <v>232</v>
      </c>
      <c r="B25" s="61" t="s">
        <v>233</v>
      </c>
      <c r="C25" s="3">
        <v>72</v>
      </c>
      <c r="D25" s="3">
        <v>20</v>
      </c>
      <c r="E25" s="16">
        <v>22</v>
      </c>
      <c r="F25" s="3"/>
      <c r="G25" s="3" t="s">
        <v>163</v>
      </c>
      <c r="H25" s="3"/>
      <c r="I25" s="3"/>
      <c r="J25" s="3"/>
      <c r="K25" s="3"/>
      <c r="L25" s="3" t="s">
        <v>163</v>
      </c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 ht="15.75" customHeight="1">
      <c r="A26" s="3" t="s">
        <v>195</v>
      </c>
      <c r="B26" s="61" t="s">
        <v>235</v>
      </c>
      <c r="C26" s="3">
        <v>71</v>
      </c>
      <c r="D26" s="3">
        <v>50</v>
      </c>
      <c r="E26" s="66">
        <v>7.0000000000000007E-2</v>
      </c>
      <c r="F26" s="3"/>
      <c r="G26" s="3"/>
      <c r="H26" s="3" t="s">
        <v>163</v>
      </c>
      <c r="I26" s="3" t="s">
        <v>163</v>
      </c>
      <c r="J26" s="3"/>
      <c r="K26" s="3"/>
      <c r="L26" s="3" t="s">
        <v>191</v>
      </c>
      <c r="M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 ht="15.75" customHeight="1">
      <c r="A27" s="3" t="s">
        <v>237</v>
      </c>
      <c r="B27" s="61" t="s">
        <v>238</v>
      </c>
      <c r="C27" s="3">
        <v>71</v>
      </c>
      <c r="D27" s="65">
        <v>100</v>
      </c>
      <c r="E27" s="66">
        <v>0.01</v>
      </c>
      <c r="F27" s="3"/>
      <c r="G27" s="3"/>
      <c r="H27" s="3"/>
      <c r="I27" s="3" t="s">
        <v>163</v>
      </c>
      <c r="J27" s="3" t="s">
        <v>163</v>
      </c>
      <c r="K27" s="3"/>
      <c r="L27" s="3" t="s">
        <v>163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 ht="15.75" customHeight="1">
      <c r="A28" s="3" t="s">
        <v>240</v>
      </c>
      <c r="B28" s="61" t="s">
        <v>241</v>
      </c>
      <c r="C28" s="3">
        <v>71</v>
      </c>
      <c r="D28" s="65">
        <v>100</v>
      </c>
      <c r="E28" s="66">
        <v>0.01</v>
      </c>
      <c r="F28" s="18"/>
      <c r="G28" s="18"/>
      <c r="H28" s="18"/>
      <c r="I28" s="18"/>
      <c r="J28" s="18"/>
      <c r="K28" s="18"/>
      <c r="L28" s="3" t="s">
        <v>163</v>
      </c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 ht="15.75" customHeight="1">
      <c r="A29" s="75" t="s">
        <v>243</v>
      </c>
      <c r="B29" s="61" t="s">
        <v>245</v>
      </c>
      <c r="C29" s="3">
        <v>71</v>
      </c>
      <c r="D29" s="3">
        <v>35</v>
      </c>
      <c r="E29" s="16"/>
      <c r="F29" s="3"/>
      <c r="G29" s="3"/>
      <c r="H29" s="3" t="s">
        <v>163</v>
      </c>
      <c r="I29" s="3"/>
      <c r="J29" s="3"/>
      <c r="K29" s="3"/>
      <c r="L29" s="3" t="s">
        <v>163</v>
      </c>
      <c r="M29" s="18"/>
      <c r="N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 ht="15.75" customHeight="1">
      <c r="A30" s="3" t="s">
        <v>247</v>
      </c>
      <c r="B30" s="61" t="s">
        <v>248</v>
      </c>
      <c r="C30" s="3">
        <v>71</v>
      </c>
      <c r="D30" s="3">
        <v>30</v>
      </c>
      <c r="E30" s="16">
        <v>4</v>
      </c>
      <c r="F30" s="3"/>
      <c r="G30" s="3"/>
      <c r="H30" s="3"/>
      <c r="I30" s="3"/>
      <c r="J30" s="3" t="s">
        <v>163</v>
      </c>
      <c r="K30" s="3"/>
      <c r="L30" s="3" t="s">
        <v>191</v>
      </c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 ht="15.75" customHeight="1">
      <c r="A31" s="72" t="s">
        <v>249</v>
      </c>
      <c r="B31" s="36" t="s">
        <v>250</v>
      </c>
      <c r="C31" s="24">
        <v>71</v>
      </c>
      <c r="D31" s="76">
        <v>25</v>
      </c>
      <c r="E31" s="68">
        <v>0.03</v>
      </c>
      <c r="F31" s="31" t="s">
        <v>251</v>
      </c>
      <c r="G31" s="31"/>
      <c r="H31" s="31"/>
      <c r="I31" s="31"/>
      <c r="J31" s="31"/>
      <c r="K31" s="31" t="s">
        <v>163</v>
      </c>
      <c r="L31" s="3" t="s">
        <v>163</v>
      </c>
      <c r="M31" s="18"/>
      <c r="N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15.75" customHeight="1">
      <c r="A32" s="72" t="s">
        <v>192</v>
      </c>
      <c r="B32" s="60" t="s">
        <v>253</v>
      </c>
      <c r="C32" s="72">
        <v>70</v>
      </c>
      <c r="D32" s="72">
        <v>20</v>
      </c>
      <c r="E32" s="77">
        <v>0.01</v>
      </c>
      <c r="G32" s="72"/>
      <c r="H32" s="72" t="s">
        <v>163</v>
      </c>
      <c r="I32" s="72"/>
      <c r="J32" s="72" t="s">
        <v>163</v>
      </c>
      <c r="K32" s="72" t="s">
        <v>163</v>
      </c>
      <c r="L32" s="3" t="s">
        <v>191</v>
      </c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15.75" customHeight="1">
      <c r="A33" s="3" t="s">
        <v>254</v>
      </c>
      <c r="B33" s="61" t="s">
        <v>255</v>
      </c>
      <c r="C33" s="3">
        <v>70</v>
      </c>
      <c r="D33" s="3">
        <v>60</v>
      </c>
      <c r="E33" s="16">
        <v>12</v>
      </c>
      <c r="F33" s="3" t="s">
        <v>256</v>
      </c>
      <c r="G33" s="3"/>
      <c r="H33" s="3"/>
      <c r="I33" s="3"/>
      <c r="J33" s="3" t="s">
        <v>163</v>
      </c>
      <c r="K33" s="3"/>
      <c r="L33" s="3" t="s">
        <v>163</v>
      </c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</row>
    <row r="34" spans="1:36" ht="15.75" customHeight="1">
      <c r="A34" s="75" t="s">
        <v>243</v>
      </c>
      <c r="B34" s="61" t="s">
        <v>257</v>
      </c>
      <c r="C34" s="3">
        <v>70</v>
      </c>
      <c r="D34" s="3">
        <v>85</v>
      </c>
      <c r="E34" s="66">
        <v>0.08</v>
      </c>
      <c r="F34" s="3"/>
      <c r="G34" s="3" t="s">
        <v>163</v>
      </c>
      <c r="H34" s="3"/>
      <c r="I34" s="3"/>
      <c r="J34" s="3"/>
      <c r="K34" s="3"/>
      <c r="L34" s="3" t="s">
        <v>163</v>
      </c>
      <c r="M34" s="18"/>
      <c r="N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</row>
    <row r="35" spans="1:36" ht="15.75" customHeight="1">
      <c r="A35" s="3" t="s">
        <v>258</v>
      </c>
      <c r="B35" s="61" t="s">
        <v>259</v>
      </c>
      <c r="C35" s="3">
        <v>70</v>
      </c>
      <c r="D35" s="3">
        <v>100</v>
      </c>
      <c r="E35" s="16">
        <v>2</v>
      </c>
      <c r="F35" s="3" t="s">
        <v>260</v>
      </c>
      <c r="G35" s="3"/>
      <c r="H35" s="3" t="s">
        <v>163</v>
      </c>
      <c r="I35" s="3"/>
      <c r="J35" s="3"/>
      <c r="K35" s="3" t="s">
        <v>163</v>
      </c>
      <c r="L35" s="3" t="s">
        <v>163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</row>
    <row r="36" spans="1:36" ht="15.75" customHeight="1">
      <c r="A36" s="3" t="s">
        <v>261</v>
      </c>
      <c r="B36" s="61" t="s">
        <v>262</v>
      </c>
      <c r="C36" s="3">
        <v>68</v>
      </c>
      <c r="D36" s="3">
        <v>40</v>
      </c>
      <c r="E36" s="16">
        <v>13</v>
      </c>
      <c r="F36" s="3"/>
      <c r="G36" s="3"/>
      <c r="H36" s="3" t="s">
        <v>163</v>
      </c>
      <c r="I36" s="3" t="s">
        <v>163</v>
      </c>
      <c r="J36" s="3"/>
      <c r="K36" s="3"/>
      <c r="L36" s="3" t="s">
        <v>191</v>
      </c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</row>
    <row r="37" spans="1:36" ht="15.75" customHeight="1">
      <c r="A37" s="3" t="s">
        <v>263</v>
      </c>
      <c r="B37" s="61" t="s">
        <v>264</v>
      </c>
      <c r="C37" s="3">
        <v>68</v>
      </c>
      <c r="D37" s="65">
        <v>45</v>
      </c>
      <c r="E37" s="69">
        <v>3</v>
      </c>
      <c r="F37" s="31" t="s">
        <v>265</v>
      </c>
      <c r="G37" s="37"/>
      <c r="H37" s="31" t="s">
        <v>163</v>
      </c>
      <c r="I37" s="37"/>
      <c r="J37" s="31" t="s">
        <v>163</v>
      </c>
      <c r="K37" s="37"/>
      <c r="L37" s="3" t="s">
        <v>163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</row>
    <row r="38" spans="1:36" ht="15.75" customHeight="1">
      <c r="A38" s="72" t="s">
        <v>266</v>
      </c>
      <c r="B38" s="60" t="s">
        <v>267</v>
      </c>
      <c r="C38" s="72">
        <v>67</v>
      </c>
      <c r="D38" s="78">
        <v>100</v>
      </c>
      <c r="E38" s="79" t="s">
        <v>180</v>
      </c>
      <c r="G38" s="72"/>
      <c r="H38" s="72" t="s">
        <v>163</v>
      </c>
      <c r="I38" s="72"/>
      <c r="J38" s="72"/>
      <c r="K38" s="72" t="s">
        <v>163</v>
      </c>
      <c r="L38" s="3" t="s">
        <v>163</v>
      </c>
      <c r="M38" s="18"/>
      <c r="N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</row>
    <row r="39" spans="1:36" ht="15.75" customHeight="1">
      <c r="A39" s="72" t="s">
        <v>268</v>
      </c>
      <c r="B39" s="60" t="s">
        <v>269</v>
      </c>
      <c r="C39" s="72">
        <v>67</v>
      </c>
      <c r="D39" s="72">
        <v>49</v>
      </c>
      <c r="E39" s="72">
        <v>1</v>
      </c>
      <c r="F39" s="72" t="s">
        <v>270</v>
      </c>
      <c r="G39" s="72"/>
      <c r="H39" s="72"/>
      <c r="I39" s="72"/>
      <c r="J39" s="72" t="s">
        <v>163</v>
      </c>
      <c r="K39" s="72"/>
      <c r="L39" s="3" t="s">
        <v>163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</row>
    <row r="40" spans="1:36" ht="15.75" customHeight="1">
      <c r="A40" s="3" t="s">
        <v>195</v>
      </c>
      <c r="B40" s="61" t="s">
        <v>271</v>
      </c>
      <c r="C40" s="3">
        <v>66</v>
      </c>
      <c r="D40" s="3">
        <v>35</v>
      </c>
      <c r="E40" s="16" t="s">
        <v>180</v>
      </c>
      <c r="F40" s="3"/>
      <c r="G40" s="3"/>
      <c r="H40" s="3"/>
      <c r="I40" s="3"/>
      <c r="J40" s="3"/>
      <c r="K40" s="3" t="s">
        <v>163</v>
      </c>
      <c r="L40" s="3" t="s">
        <v>191</v>
      </c>
      <c r="M40" s="18"/>
      <c r="N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</row>
    <row r="41" spans="1:36" ht="15.75" customHeight="1">
      <c r="A41" s="3" t="s">
        <v>195</v>
      </c>
      <c r="B41" s="61" t="s">
        <v>272</v>
      </c>
      <c r="C41" s="3">
        <v>66</v>
      </c>
      <c r="D41" s="3">
        <v>100</v>
      </c>
      <c r="E41" s="66">
        <v>0.01</v>
      </c>
      <c r="F41" s="80"/>
      <c r="G41" s="80"/>
      <c r="H41" s="80" t="s">
        <v>163</v>
      </c>
      <c r="I41" s="80"/>
      <c r="J41" s="80" t="s">
        <v>163</v>
      </c>
      <c r="K41" s="80"/>
      <c r="L41" s="3" t="s">
        <v>163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</row>
    <row r="42" spans="1:36" ht="15.75" customHeight="1">
      <c r="A42" s="3" t="s">
        <v>261</v>
      </c>
      <c r="B42" s="61" t="s">
        <v>273</v>
      </c>
      <c r="C42" s="3">
        <v>66</v>
      </c>
      <c r="D42" s="3">
        <v>40</v>
      </c>
      <c r="E42" s="16" t="s">
        <v>180</v>
      </c>
      <c r="F42" s="3"/>
      <c r="G42" s="3"/>
      <c r="H42" s="3" t="s">
        <v>163</v>
      </c>
      <c r="I42" s="3" t="s">
        <v>163</v>
      </c>
      <c r="J42" s="3" t="s">
        <v>163</v>
      </c>
      <c r="K42" s="3"/>
      <c r="L42" s="3" t="s">
        <v>191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</row>
    <row r="43" spans="1:36" ht="15.75" customHeight="1">
      <c r="A43" s="3" t="s">
        <v>274</v>
      </c>
      <c r="B43" s="61" t="s">
        <v>275</v>
      </c>
      <c r="C43" s="3">
        <v>66</v>
      </c>
      <c r="D43" s="3">
        <v>90</v>
      </c>
      <c r="E43" s="16">
        <v>7</v>
      </c>
      <c r="F43" s="3"/>
      <c r="G43" s="3"/>
      <c r="H43" s="3"/>
      <c r="I43" s="3" t="s">
        <v>163</v>
      </c>
      <c r="J43" s="3" t="s">
        <v>163</v>
      </c>
      <c r="K43" s="3"/>
      <c r="L43" s="3" t="s">
        <v>163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</row>
    <row r="44" spans="1:36" ht="15.75" customHeight="1">
      <c r="A44" s="3" t="s">
        <v>276</v>
      </c>
      <c r="B44" s="61" t="s">
        <v>277</v>
      </c>
      <c r="C44" s="3">
        <v>66</v>
      </c>
      <c r="D44" s="3">
        <v>120</v>
      </c>
      <c r="E44" s="16">
        <v>2</v>
      </c>
      <c r="F44" s="3"/>
      <c r="G44" s="3"/>
      <c r="H44" s="3" t="s">
        <v>163</v>
      </c>
      <c r="I44" s="3"/>
      <c r="J44" s="3" t="s">
        <v>163</v>
      </c>
      <c r="K44" s="3"/>
      <c r="L44" s="3" t="s">
        <v>163</v>
      </c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</row>
    <row r="45" spans="1:36" ht="15.75" customHeight="1">
      <c r="A45" s="3" t="s">
        <v>278</v>
      </c>
      <c r="B45" s="61" t="s">
        <v>279</v>
      </c>
      <c r="C45" s="3">
        <v>65</v>
      </c>
      <c r="D45" s="65" t="s">
        <v>280</v>
      </c>
      <c r="E45" s="66">
        <v>0.09</v>
      </c>
      <c r="F45" s="3"/>
      <c r="G45" s="3" t="s">
        <v>163</v>
      </c>
      <c r="H45" s="3"/>
      <c r="I45" s="3"/>
      <c r="J45" s="3"/>
      <c r="K45" s="3"/>
      <c r="L45" s="3" t="s">
        <v>163</v>
      </c>
      <c r="M45" s="18"/>
      <c r="N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</row>
    <row r="46" spans="1:36" ht="15.75" customHeight="1">
      <c r="A46" s="81" t="s">
        <v>247</v>
      </c>
      <c r="B46" s="61" t="s">
        <v>281</v>
      </c>
      <c r="C46" s="3">
        <v>65</v>
      </c>
      <c r="D46" s="3">
        <v>30</v>
      </c>
      <c r="E46" s="16">
        <v>4</v>
      </c>
      <c r="F46" s="3"/>
      <c r="G46" s="3"/>
      <c r="H46" s="3"/>
      <c r="I46" s="3"/>
      <c r="J46" s="3" t="s">
        <v>163</v>
      </c>
      <c r="K46" s="3"/>
      <c r="L46" s="3" t="s">
        <v>163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</row>
    <row r="47" spans="1:36" ht="15.75" customHeight="1">
      <c r="A47" s="3" t="s">
        <v>282</v>
      </c>
      <c r="B47" s="61" t="s">
        <v>283</v>
      </c>
      <c r="C47" s="3">
        <v>65</v>
      </c>
      <c r="D47" s="3">
        <v>50</v>
      </c>
      <c r="E47" s="16">
        <v>7</v>
      </c>
      <c r="F47" s="3"/>
      <c r="G47" s="3"/>
      <c r="H47" s="3"/>
      <c r="I47" s="3" t="s">
        <v>163</v>
      </c>
      <c r="J47" s="3" t="s">
        <v>163</v>
      </c>
      <c r="K47" s="3"/>
      <c r="L47" s="3" t="s">
        <v>191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</row>
    <row r="48" spans="1:36" ht="15.75" customHeight="1">
      <c r="A48" s="3" t="s">
        <v>284</v>
      </c>
      <c r="B48" s="61" t="s">
        <v>285</v>
      </c>
      <c r="C48" s="3">
        <v>64</v>
      </c>
      <c r="D48" s="3">
        <v>150</v>
      </c>
      <c r="E48" s="16">
        <v>26</v>
      </c>
      <c r="F48" s="3"/>
      <c r="G48" s="3"/>
      <c r="H48" s="3"/>
      <c r="I48" s="3" t="s">
        <v>163</v>
      </c>
      <c r="J48" s="3" t="s">
        <v>163</v>
      </c>
      <c r="K48" s="3"/>
      <c r="L48" s="3" t="s">
        <v>163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</row>
    <row r="49" spans="1:36" ht="15.75" customHeight="1">
      <c r="A49" s="3" t="s">
        <v>286</v>
      </c>
      <c r="B49" s="61" t="s">
        <v>287</v>
      </c>
      <c r="C49" s="3">
        <v>64</v>
      </c>
      <c r="D49" s="3">
        <v>125</v>
      </c>
      <c r="E49" s="16">
        <v>0</v>
      </c>
      <c r="F49" s="3"/>
      <c r="G49" s="3" t="s">
        <v>163</v>
      </c>
      <c r="H49" s="3"/>
      <c r="I49" s="3"/>
      <c r="J49" s="3"/>
      <c r="K49" s="3"/>
      <c r="L49" s="3" t="s">
        <v>191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</row>
    <row r="50" spans="1:36" ht="15.75" customHeight="1">
      <c r="A50" s="3" t="s">
        <v>288</v>
      </c>
      <c r="B50" s="61" t="s">
        <v>289</v>
      </c>
      <c r="C50" s="3">
        <v>63</v>
      </c>
      <c r="D50" s="3">
        <v>30</v>
      </c>
      <c r="E50" s="66">
        <v>0.19</v>
      </c>
      <c r="F50" s="3"/>
      <c r="G50" s="3"/>
      <c r="H50" s="3"/>
      <c r="I50" s="3"/>
      <c r="J50" s="3" t="s">
        <v>163</v>
      </c>
      <c r="K50" s="3" t="s">
        <v>163</v>
      </c>
      <c r="L50" s="3" t="s">
        <v>163</v>
      </c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</row>
    <row r="51" spans="1:36" ht="15.75" customHeight="1">
      <c r="A51" s="3" t="s">
        <v>290</v>
      </c>
      <c r="B51" s="61" t="s">
        <v>291</v>
      </c>
      <c r="C51" s="3">
        <v>63</v>
      </c>
      <c r="D51" s="65">
        <v>5</v>
      </c>
      <c r="E51" s="16">
        <v>1</v>
      </c>
      <c r="F51" s="3"/>
      <c r="G51" s="3" t="s">
        <v>163</v>
      </c>
      <c r="H51" s="3"/>
      <c r="I51" s="3"/>
      <c r="J51" s="3"/>
      <c r="K51" s="3"/>
      <c r="L51" s="3" t="s">
        <v>163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</row>
    <row r="52" spans="1:36" ht="15.75" customHeight="1">
      <c r="A52" s="3" t="s">
        <v>172</v>
      </c>
      <c r="B52" s="61" t="s">
        <v>292</v>
      </c>
      <c r="C52" s="3">
        <v>63</v>
      </c>
      <c r="D52" s="3">
        <v>35</v>
      </c>
      <c r="E52" s="16">
        <v>0</v>
      </c>
      <c r="F52" s="3"/>
      <c r="G52" s="3" t="s">
        <v>163</v>
      </c>
      <c r="H52" s="3"/>
      <c r="I52" s="3"/>
      <c r="J52" s="3"/>
      <c r="K52" s="3"/>
      <c r="L52" s="3" t="s">
        <v>163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</row>
    <row r="53" spans="1:36" ht="15.75" customHeight="1">
      <c r="A53" s="3" t="s">
        <v>293</v>
      </c>
      <c r="B53" s="61" t="s">
        <v>294</v>
      </c>
      <c r="C53" s="3">
        <v>63</v>
      </c>
      <c r="D53" s="3">
        <v>40</v>
      </c>
      <c r="E53" s="16">
        <v>0</v>
      </c>
      <c r="F53" s="3"/>
      <c r="G53" s="3"/>
      <c r="H53" s="3" t="s">
        <v>163</v>
      </c>
      <c r="I53" s="3"/>
      <c r="J53" s="3"/>
      <c r="K53" s="3" t="s">
        <v>163</v>
      </c>
      <c r="L53" s="3" t="s">
        <v>163</v>
      </c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</row>
    <row r="54" spans="1:36" ht="15.75" customHeight="1">
      <c r="A54" s="3" t="s">
        <v>295</v>
      </c>
      <c r="B54" s="61" t="s">
        <v>296</v>
      </c>
      <c r="C54" s="3">
        <v>62</v>
      </c>
      <c r="D54" s="65">
        <v>25</v>
      </c>
      <c r="E54" s="69">
        <v>3</v>
      </c>
      <c r="F54" s="3"/>
      <c r="G54" s="3"/>
      <c r="H54" s="3"/>
      <c r="I54" s="3"/>
      <c r="J54" s="3"/>
      <c r="K54" s="3"/>
      <c r="L54" s="3" t="s">
        <v>163</v>
      </c>
      <c r="M54" s="18"/>
      <c r="N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</row>
    <row r="55" spans="1:36" ht="15.75" customHeight="1">
      <c r="A55" s="72" t="s">
        <v>297</v>
      </c>
      <c r="B55" s="60" t="s">
        <v>298</v>
      </c>
      <c r="C55" s="72">
        <v>62</v>
      </c>
      <c r="D55" s="72">
        <v>37</v>
      </c>
      <c r="E55" s="82">
        <v>9</v>
      </c>
      <c r="G55" s="72"/>
      <c r="H55" s="72"/>
      <c r="I55" s="72" t="s">
        <v>163</v>
      </c>
      <c r="J55" s="72" t="s">
        <v>163</v>
      </c>
      <c r="K55" s="72"/>
      <c r="L55" s="3" t="s">
        <v>163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</row>
    <row r="56" spans="1:36" ht="15.75" customHeight="1">
      <c r="A56" s="3" t="s">
        <v>299</v>
      </c>
      <c r="B56" s="61" t="s">
        <v>300</v>
      </c>
      <c r="C56" s="3">
        <v>61</v>
      </c>
      <c r="D56" s="3">
        <v>50</v>
      </c>
      <c r="E56" s="16">
        <v>7</v>
      </c>
      <c r="F56" s="3" t="s">
        <v>301</v>
      </c>
      <c r="G56" s="3"/>
      <c r="H56" s="3"/>
      <c r="I56" s="3"/>
      <c r="J56" s="3"/>
      <c r="K56" s="3"/>
      <c r="L56" s="3" t="s">
        <v>191</v>
      </c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</row>
    <row r="57" spans="1:36" ht="15.75" customHeight="1">
      <c r="A57" s="3" t="s">
        <v>302</v>
      </c>
      <c r="B57" s="61" t="s">
        <v>303</v>
      </c>
      <c r="C57" s="3">
        <v>60</v>
      </c>
      <c r="D57" s="3">
        <v>39.99</v>
      </c>
      <c r="E57" s="16">
        <v>5</v>
      </c>
      <c r="F57" s="3"/>
      <c r="G57" s="3" t="s">
        <v>163</v>
      </c>
      <c r="H57" s="3"/>
      <c r="I57" s="3"/>
      <c r="J57" s="3"/>
      <c r="K57" s="3"/>
      <c r="L57" s="3" t="s">
        <v>191</v>
      </c>
      <c r="M57" s="18"/>
      <c r="N57" s="3" t="s">
        <v>163</v>
      </c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</row>
    <row r="58" spans="1:36" ht="15.75" customHeight="1">
      <c r="A58" s="3" t="s">
        <v>304</v>
      </c>
      <c r="B58" s="61" t="s">
        <v>303</v>
      </c>
      <c r="C58" s="3">
        <v>60</v>
      </c>
      <c r="D58" s="65">
        <v>45</v>
      </c>
      <c r="E58" s="69">
        <v>5</v>
      </c>
      <c r="F58" s="3" t="s">
        <v>305</v>
      </c>
      <c r="G58" s="3"/>
      <c r="H58" s="3"/>
      <c r="I58" s="3"/>
      <c r="J58" s="3"/>
      <c r="K58" s="3"/>
      <c r="L58" s="3" t="s">
        <v>191</v>
      </c>
      <c r="M58" s="18"/>
      <c r="N58" s="3" t="s">
        <v>163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</row>
    <row r="59" spans="1:36" ht="15.75" customHeight="1">
      <c r="A59" s="37" t="s">
        <v>306</v>
      </c>
      <c r="B59" s="36" t="s">
        <v>307</v>
      </c>
      <c r="C59" s="38">
        <v>60</v>
      </c>
      <c r="D59" s="67">
        <v>50</v>
      </c>
      <c r="E59" s="76">
        <v>2</v>
      </c>
      <c r="F59" s="73"/>
      <c r="G59" s="73"/>
      <c r="H59" s="73"/>
      <c r="I59" s="73"/>
      <c r="J59" s="73"/>
      <c r="K59" s="73"/>
      <c r="L59" s="3" t="s">
        <v>191</v>
      </c>
      <c r="M59" s="18"/>
      <c r="N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</row>
    <row r="60" spans="1:36" ht="15.75" customHeight="1">
      <c r="A60" s="3" t="s">
        <v>166</v>
      </c>
      <c r="B60" s="61" t="s">
        <v>308</v>
      </c>
      <c r="C60" s="3">
        <v>60</v>
      </c>
      <c r="D60" s="65">
        <v>35</v>
      </c>
      <c r="E60" s="69">
        <v>3</v>
      </c>
      <c r="F60" s="18"/>
      <c r="G60" s="18"/>
      <c r="H60" s="18"/>
      <c r="I60" s="18"/>
      <c r="J60" s="3" t="s">
        <v>163</v>
      </c>
      <c r="K60" s="18"/>
      <c r="L60" s="3" t="s">
        <v>191</v>
      </c>
      <c r="M60" s="18"/>
      <c r="N60" s="18"/>
      <c r="O60" s="3"/>
      <c r="P60" s="3"/>
      <c r="Q60" s="3"/>
      <c r="R60" s="3"/>
      <c r="S60" s="3"/>
      <c r="T60" s="10"/>
      <c r="AB60" s="18"/>
      <c r="AC60" s="18"/>
      <c r="AD60" s="18"/>
      <c r="AE60" s="18"/>
      <c r="AF60" s="18"/>
      <c r="AG60" s="18"/>
      <c r="AH60" s="18"/>
      <c r="AI60" s="18"/>
      <c r="AJ60" s="18"/>
    </row>
    <row r="61" spans="1:36" ht="15.75" customHeight="1">
      <c r="A61" s="3" t="s">
        <v>309</v>
      </c>
      <c r="B61" s="61" t="s">
        <v>310</v>
      </c>
      <c r="C61" s="3">
        <v>60</v>
      </c>
      <c r="D61" s="3">
        <v>35</v>
      </c>
      <c r="E61" s="16">
        <v>3</v>
      </c>
      <c r="F61" s="3"/>
      <c r="G61" s="3"/>
      <c r="H61" s="3"/>
      <c r="I61" s="3"/>
      <c r="J61" s="3"/>
      <c r="K61" s="3" t="s">
        <v>163</v>
      </c>
      <c r="L61" s="3" t="s">
        <v>163</v>
      </c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</row>
    <row r="62" spans="1:36" ht="15.75" customHeight="1">
      <c r="A62" s="3" t="s">
        <v>311</v>
      </c>
      <c r="B62" s="61" t="s">
        <v>312</v>
      </c>
      <c r="C62" s="3">
        <v>60</v>
      </c>
      <c r="D62" s="3">
        <v>35</v>
      </c>
      <c r="E62" s="16">
        <v>2</v>
      </c>
      <c r="F62" s="3"/>
      <c r="G62" s="3" t="s">
        <v>163</v>
      </c>
      <c r="H62" s="3"/>
      <c r="I62" s="3"/>
      <c r="J62" s="3"/>
      <c r="K62" s="3"/>
      <c r="L62" s="3" t="s">
        <v>163</v>
      </c>
      <c r="M62" s="18"/>
      <c r="N62" s="3" t="s">
        <v>163</v>
      </c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</row>
    <row r="63" spans="1:36" ht="15.75" customHeight="1">
      <c r="A63" s="72" t="s">
        <v>313</v>
      </c>
      <c r="B63" s="60" t="s">
        <v>314</v>
      </c>
      <c r="C63" s="72">
        <v>59</v>
      </c>
      <c r="D63" s="72">
        <v>50</v>
      </c>
      <c r="E63" s="82">
        <v>7</v>
      </c>
      <c r="G63" s="72"/>
      <c r="H63" s="72" t="s">
        <v>163</v>
      </c>
      <c r="I63" s="72"/>
      <c r="J63" s="72"/>
      <c r="K63" s="72"/>
      <c r="L63" s="3" t="s">
        <v>163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</row>
    <row r="64" spans="1:36" ht="15.75" customHeight="1">
      <c r="A64" s="72" t="s">
        <v>192</v>
      </c>
      <c r="B64" s="60" t="s">
        <v>315</v>
      </c>
      <c r="C64" s="72">
        <v>59</v>
      </c>
      <c r="D64" s="72">
        <v>20</v>
      </c>
      <c r="E64" s="82">
        <v>9</v>
      </c>
      <c r="G64" s="72"/>
      <c r="H64" s="72" t="s">
        <v>163</v>
      </c>
      <c r="I64" s="72"/>
      <c r="J64" s="72" t="s">
        <v>163</v>
      </c>
      <c r="K64" s="72" t="s">
        <v>163</v>
      </c>
      <c r="L64" s="3" t="s">
        <v>191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</row>
    <row r="65" spans="1:36" ht="15.75" customHeight="1">
      <c r="A65" s="3" t="s">
        <v>195</v>
      </c>
      <c r="B65" s="61" t="s">
        <v>316</v>
      </c>
      <c r="C65" s="3">
        <v>59</v>
      </c>
      <c r="D65" s="3">
        <v>50</v>
      </c>
      <c r="E65" s="16">
        <v>8</v>
      </c>
      <c r="F65" s="3"/>
      <c r="G65" s="3"/>
      <c r="H65" s="3"/>
      <c r="I65" s="3" t="s">
        <v>163</v>
      </c>
      <c r="J65" s="3"/>
      <c r="K65" s="3"/>
      <c r="L65" s="3" t="s">
        <v>191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</row>
    <row r="66" spans="1:36" ht="15.75" customHeight="1">
      <c r="A66" s="72" t="s">
        <v>317</v>
      </c>
      <c r="B66" s="60" t="s">
        <v>318</v>
      </c>
      <c r="C66" s="72">
        <v>59</v>
      </c>
      <c r="D66" s="72">
        <v>40</v>
      </c>
      <c r="E66" s="82">
        <v>3</v>
      </c>
      <c r="G66" s="72"/>
      <c r="H66" s="72"/>
      <c r="I66" s="72" t="s">
        <v>163</v>
      </c>
      <c r="J66" s="72" t="s">
        <v>163</v>
      </c>
      <c r="K66" s="72"/>
      <c r="L66" s="3" t="s">
        <v>163</v>
      </c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</row>
    <row r="67" spans="1:36" ht="15.75" customHeight="1">
      <c r="A67" s="3" t="s">
        <v>319</v>
      </c>
      <c r="B67" s="61" t="s">
        <v>320</v>
      </c>
      <c r="C67" s="3">
        <v>58</v>
      </c>
      <c r="D67" s="65">
        <v>35</v>
      </c>
      <c r="E67" s="69" t="s">
        <v>180</v>
      </c>
      <c r="F67" s="3"/>
      <c r="G67" s="3"/>
      <c r="H67" s="3"/>
      <c r="I67" s="3"/>
      <c r="J67" s="3"/>
      <c r="K67" s="3" t="s">
        <v>163</v>
      </c>
      <c r="L67" s="3" t="s">
        <v>191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 ht="15.75" customHeight="1">
      <c r="A68" s="3" t="s">
        <v>321</v>
      </c>
      <c r="B68" s="61" t="s">
        <v>322</v>
      </c>
      <c r="C68" s="3">
        <v>58</v>
      </c>
      <c r="D68" s="3">
        <v>60</v>
      </c>
      <c r="E68" s="16">
        <v>1</v>
      </c>
      <c r="F68" s="18"/>
      <c r="G68" s="18"/>
      <c r="H68" s="18"/>
      <c r="I68" s="18"/>
      <c r="J68" s="18"/>
      <c r="K68" s="18"/>
      <c r="L68" s="3" t="s">
        <v>163</v>
      </c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</row>
    <row r="69" spans="1:36" ht="15.75" customHeight="1">
      <c r="A69" s="3" t="s">
        <v>263</v>
      </c>
      <c r="B69" s="61" t="s">
        <v>323</v>
      </c>
      <c r="C69" s="3">
        <v>58</v>
      </c>
      <c r="D69" s="65">
        <v>45</v>
      </c>
      <c r="E69" s="69">
        <v>6</v>
      </c>
      <c r="F69" s="37"/>
      <c r="G69" s="37"/>
      <c r="H69" s="31" t="s">
        <v>163</v>
      </c>
      <c r="I69" s="31" t="s">
        <v>163</v>
      </c>
      <c r="J69" s="37"/>
      <c r="K69" s="37"/>
      <c r="L69" s="3" t="s">
        <v>191</v>
      </c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</row>
    <row r="70" spans="1:36" ht="15.75" customHeight="1">
      <c r="A70" s="3" t="s">
        <v>299</v>
      </c>
      <c r="B70" s="61" t="s">
        <v>324</v>
      </c>
      <c r="C70" s="3">
        <v>58</v>
      </c>
      <c r="D70" s="3">
        <v>50</v>
      </c>
      <c r="E70" s="16">
        <v>12</v>
      </c>
      <c r="F70" s="3" t="s">
        <v>301</v>
      </c>
      <c r="G70" s="3"/>
      <c r="H70" s="3" t="s">
        <v>163</v>
      </c>
      <c r="I70" s="3"/>
      <c r="J70" s="3"/>
      <c r="K70" s="3"/>
      <c r="L70" s="3" t="s">
        <v>191</v>
      </c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</row>
    <row r="71" spans="1:36" ht="15.75" customHeight="1">
      <c r="A71" s="3" t="s">
        <v>195</v>
      </c>
      <c r="B71" s="61" t="s">
        <v>325</v>
      </c>
      <c r="C71" s="3">
        <v>57</v>
      </c>
      <c r="D71" s="3">
        <v>50</v>
      </c>
      <c r="E71" s="16">
        <v>2</v>
      </c>
      <c r="F71" s="3"/>
      <c r="G71" s="3"/>
      <c r="H71" s="3" t="s">
        <v>163</v>
      </c>
      <c r="I71" s="3"/>
      <c r="J71" s="3" t="s">
        <v>163</v>
      </c>
      <c r="K71" s="3"/>
      <c r="L71" s="3" t="s">
        <v>191</v>
      </c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</row>
    <row r="72" spans="1:36" ht="15.75" customHeight="1">
      <c r="A72" s="3" t="s">
        <v>261</v>
      </c>
      <c r="B72" s="61" t="s">
        <v>326</v>
      </c>
      <c r="C72" s="3">
        <v>57</v>
      </c>
      <c r="D72" s="3">
        <v>40</v>
      </c>
      <c r="E72" s="16" t="s">
        <v>180</v>
      </c>
      <c r="F72" s="3"/>
      <c r="G72" s="3"/>
      <c r="H72" s="3" t="s">
        <v>163</v>
      </c>
      <c r="I72" s="3" t="s">
        <v>163</v>
      </c>
      <c r="J72" s="3" t="s">
        <v>163</v>
      </c>
      <c r="K72" s="3"/>
      <c r="L72" s="3" t="s">
        <v>191</v>
      </c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</row>
    <row r="73" spans="1:36" ht="15.75" customHeight="1">
      <c r="A73" s="3" t="s">
        <v>327</v>
      </c>
      <c r="B73" s="61" t="s">
        <v>328</v>
      </c>
      <c r="C73" s="3">
        <v>57</v>
      </c>
      <c r="D73" s="3">
        <v>50</v>
      </c>
      <c r="E73" s="16">
        <v>2</v>
      </c>
      <c r="F73" s="3"/>
      <c r="G73" s="3"/>
      <c r="H73" s="3"/>
      <c r="I73" s="3" t="s">
        <v>163</v>
      </c>
      <c r="J73" s="3"/>
      <c r="K73" s="3"/>
      <c r="L73" s="3" t="s">
        <v>163</v>
      </c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</row>
    <row r="74" spans="1:36" ht="15.75" customHeight="1">
      <c r="A74" s="3" t="s">
        <v>195</v>
      </c>
      <c r="B74" s="61" t="s">
        <v>329</v>
      </c>
      <c r="C74" s="3">
        <v>56</v>
      </c>
      <c r="D74" s="3">
        <v>30</v>
      </c>
      <c r="E74" s="16">
        <v>1</v>
      </c>
      <c r="F74" s="3" t="s">
        <v>330</v>
      </c>
      <c r="G74" s="3"/>
      <c r="H74" s="3" t="s">
        <v>163</v>
      </c>
      <c r="I74" s="3" t="s">
        <v>163</v>
      </c>
      <c r="J74" s="3"/>
      <c r="K74" s="3"/>
      <c r="L74" s="3" t="s">
        <v>191</v>
      </c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</row>
    <row r="75" spans="1:36" ht="15.75" customHeight="1">
      <c r="A75" s="3" t="s">
        <v>263</v>
      </c>
      <c r="B75" s="61" t="s">
        <v>331</v>
      </c>
      <c r="C75" s="3">
        <v>56</v>
      </c>
      <c r="D75" s="65">
        <v>45</v>
      </c>
      <c r="E75" s="69" t="s">
        <v>180</v>
      </c>
      <c r="F75" s="37" t="s">
        <v>332</v>
      </c>
      <c r="G75" s="37"/>
      <c r="H75" s="31" t="s">
        <v>163</v>
      </c>
      <c r="I75" s="31" t="s">
        <v>163</v>
      </c>
      <c r="J75" s="31" t="s">
        <v>163</v>
      </c>
      <c r="K75" s="37"/>
      <c r="L75" s="3" t="s">
        <v>191</v>
      </c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</row>
    <row r="76" spans="1:36" ht="15.75" customHeight="1">
      <c r="A76" s="3" t="s">
        <v>263</v>
      </c>
      <c r="B76" s="61" t="s">
        <v>333</v>
      </c>
      <c r="C76" s="3">
        <v>56</v>
      </c>
      <c r="D76" s="65">
        <v>45</v>
      </c>
      <c r="E76" s="69">
        <v>10</v>
      </c>
      <c r="F76" s="37" t="s">
        <v>334</v>
      </c>
      <c r="G76" s="37"/>
      <c r="H76" s="37"/>
      <c r="I76" s="31" t="s">
        <v>163</v>
      </c>
      <c r="J76" s="31" t="s">
        <v>163</v>
      </c>
      <c r="K76" s="37"/>
      <c r="L76" s="3" t="s">
        <v>163</v>
      </c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</row>
    <row r="77" spans="1:36" ht="15.75" customHeight="1">
      <c r="A77" s="3" t="s">
        <v>172</v>
      </c>
      <c r="B77" s="61" t="s">
        <v>335</v>
      </c>
      <c r="C77" s="3">
        <v>56</v>
      </c>
      <c r="D77" s="3">
        <v>20</v>
      </c>
      <c r="E77" s="16">
        <v>0</v>
      </c>
      <c r="F77" s="3" t="s">
        <v>336</v>
      </c>
      <c r="G77" s="3"/>
      <c r="H77" s="3"/>
      <c r="I77" s="3"/>
      <c r="J77" s="3"/>
      <c r="K77" s="3"/>
      <c r="L77" s="3" t="s">
        <v>191</v>
      </c>
      <c r="M77" s="18"/>
      <c r="N77" s="3" t="s">
        <v>163</v>
      </c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</row>
    <row r="78" spans="1:36" ht="15.75" customHeight="1">
      <c r="A78" s="72" t="s">
        <v>192</v>
      </c>
      <c r="B78" s="60" t="s">
        <v>337</v>
      </c>
      <c r="C78" s="72">
        <v>55</v>
      </c>
      <c r="D78" s="72">
        <v>20</v>
      </c>
      <c r="E78" s="82">
        <v>11</v>
      </c>
      <c r="F78" s="72" t="s">
        <v>338</v>
      </c>
      <c r="G78" s="72"/>
      <c r="H78" s="72"/>
      <c r="I78" s="72"/>
      <c r="J78" s="72" t="s">
        <v>163</v>
      </c>
      <c r="K78" s="72" t="s">
        <v>163</v>
      </c>
      <c r="L78" s="3" t="s">
        <v>191</v>
      </c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</row>
    <row r="79" spans="1:36" ht="15.75" customHeight="1">
      <c r="A79" s="3" t="s">
        <v>339</v>
      </c>
      <c r="B79" s="61" t="s">
        <v>340</v>
      </c>
      <c r="C79" s="3">
        <v>55</v>
      </c>
      <c r="D79" s="65">
        <v>45</v>
      </c>
      <c r="E79" s="69">
        <v>3</v>
      </c>
      <c r="F79" s="18"/>
      <c r="G79" s="18"/>
      <c r="H79" s="18"/>
      <c r="I79" s="18"/>
      <c r="J79" s="18"/>
      <c r="K79" s="18"/>
      <c r="L79" s="3" t="s">
        <v>163</v>
      </c>
      <c r="M79" s="18"/>
      <c r="N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</row>
    <row r="80" spans="1:36" ht="15.75" customHeight="1">
      <c r="A80" s="83" t="s">
        <v>341</v>
      </c>
      <c r="B80" s="61" t="s">
        <v>342</v>
      </c>
      <c r="C80" s="3">
        <v>55</v>
      </c>
      <c r="D80" s="3">
        <v>60</v>
      </c>
      <c r="E80" s="16">
        <v>3</v>
      </c>
      <c r="F80" s="3" t="s">
        <v>344</v>
      </c>
      <c r="G80" s="3" t="s">
        <v>163</v>
      </c>
      <c r="H80" s="3"/>
      <c r="I80" s="3"/>
      <c r="J80" s="3"/>
      <c r="K80" s="3"/>
      <c r="L80" s="3" t="s">
        <v>163</v>
      </c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</row>
    <row r="81" spans="1:36" ht="15.75" customHeight="1">
      <c r="A81" s="72" t="s">
        <v>345</v>
      </c>
      <c r="B81" s="60" t="s">
        <v>346</v>
      </c>
      <c r="C81" s="72">
        <v>55</v>
      </c>
      <c r="D81" s="72">
        <v>20</v>
      </c>
      <c r="E81" s="77">
        <v>0.01</v>
      </c>
      <c r="F81" s="72" t="s">
        <v>347</v>
      </c>
      <c r="G81" s="72"/>
      <c r="H81" s="72" t="s">
        <v>163</v>
      </c>
      <c r="I81" s="72"/>
      <c r="J81" s="72" t="s">
        <v>163</v>
      </c>
      <c r="K81" s="72"/>
      <c r="L81" s="3" t="s">
        <v>191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</row>
    <row r="82" spans="1:36" ht="15.75" customHeight="1">
      <c r="A82" s="84" t="s">
        <v>348</v>
      </c>
      <c r="B82" s="61" t="s">
        <v>349</v>
      </c>
      <c r="C82" s="3">
        <v>55</v>
      </c>
      <c r="D82" s="65">
        <v>85</v>
      </c>
      <c r="E82" s="16">
        <v>2</v>
      </c>
      <c r="F82" s="3"/>
      <c r="G82" s="3"/>
      <c r="H82" s="3"/>
      <c r="I82" s="3"/>
      <c r="J82" s="3"/>
      <c r="K82" s="3" t="s">
        <v>163</v>
      </c>
      <c r="L82" s="3" t="s">
        <v>163</v>
      </c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</row>
    <row r="83" spans="1:36" ht="15.75" customHeight="1">
      <c r="A83" s="3" t="s">
        <v>350</v>
      </c>
      <c r="B83" s="61" t="s">
        <v>351</v>
      </c>
      <c r="C83" s="3">
        <v>55</v>
      </c>
      <c r="D83" s="65">
        <v>35</v>
      </c>
      <c r="E83" s="16">
        <v>1</v>
      </c>
      <c r="F83" s="3"/>
      <c r="G83" s="3"/>
      <c r="H83" s="3"/>
      <c r="I83" s="3"/>
      <c r="J83" s="3" t="s">
        <v>163</v>
      </c>
      <c r="K83" s="3" t="s">
        <v>163</v>
      </c>
      <c r="L83" s="3" t="s">
        <v>191</v>
      </c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</row>
    <row r="84" spans="1:36" ht="15.75" customHeight="1">
      <c r="A84" s="3" t="s">
        <v>164</v>
      </c>
      <c r="B84" s="61" t="s">
        <v>352</v>
      </c>
      <c r="C84" s="18">
        <v>54</v>
      </c>
      <c r="D84" s="3">
        <v>0</v>
      </c>
      <c r="E84" s="16">
        <v>4</v>
      </c>
      <c r="F84" s="18"/>
      <c r="G84" s="18"/>
      <c r="H84" s="18"/>
      <c r="I84" s="18"/>
      <c r="J84" s="18"/>
      <c r="K84" s="18"/>
      <c r="L84" s="3" t="s">
        <v>163</v>
      </c>
      <c r="M84" s="18"/>
      <c r="N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</row>
    <row r="85" spans="1:36" ht="15.75" customHeight="1">
      <c r="A85" s="3" t="s">
        <v>172</v>
      </c>
      <c r="B85" s="61" t="s">
        <v>353</v>
      </c>
      <c r="C85" s="3">
        <v>54</v>
      </c>
      <c r="D85" s="3">
        <v>80</v>
      </c>
      <c r="E85" s="16">
        <v>8</v>
      </c>
      <c r="F85" s="3"/>
      <c r="G85" s="3"/>
      <c r="H85" s="3"/>
      <c r="I85" s="3"/>
      <c r="J85" s="3"/>
      <c r="K85" s="3" t="s">
        <v>163</v>
      </c>
      <c r="L85" s="3" t="s">
        <v>191</v>
      </c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</row>
    <row r="86" spans="1:36" ht="15.75" customHeight="1">
      <c r="A86" s="3" t="s">
        <v>354</v>
      </c>
      <c r="B86" s="61" t="s">
        <v>355</v>
      </c>
      <c r="C86" s="3">
        <v>54</v>
      </c>
      <c r="D86" s="3">
        <v>25</v>
      </c>
      <c r="E86" s="16">
        <v>1</v>
      </c>
      <c r="F86" s="3" t="s">
        <v>356</v>
      </c>
      <c r="G86" s="3"/>
      <c r="H86" s="3"/>
      <c r="I86" s="3"/>
      <c r="J86" s="3"/>
      <c r="K86" s="3" t="s">
        <v>163</v>
      </c>
      <c r="L86" s="3" t="s">
        <v>191</v>
      </c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</row>
    <row r="87" spans="1:36" ht="15.75" customHeight="1">
      <c r="A87" s="3" t="s">
        <v>327</v>
      </c>
      <c r="B87" s="61" t="s">
        <v>357</v>
      </c>
      <c r="C87" s="3">
        <v>54</v>
      </c>
      <c r="D87" s="3">
        <v>50</v>
      </c>
      <c r="E87" s="16">
        <v>10</v>
      </c>
      <c r="F87" s="3"/>
      <c r="G87" s="3"/>
      <c r="H87" s="3" t="s">
        <v>163</v>
      </c>
      <c r="I87" s="3" t="s">
        <v>163</v>
      </c>
      <c r="J87" s="3" t="s">
        <v>163</v>
      </c>
      <c r="K87" s="3"/>
      <c r="L87" s="3" t="s">
        <v>163</v>
      </c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</row>
    <row r="88" spans="1:36" ht="15.75" customHeight="1">
      <c r="A88" s="3" t="s">
        <v>358</v>
      </c>
      <c r="B88" s="61" t="s">
        <v>359</v>
      </c>
      <c r="C88" s="3">
        <v>54</v>
      </c>
      <c r="D88" s="3">
        <v>65</v>
      </c>
      <c r="E88" s="16">
        <v>2</v>
      </c>
      <c r="F88" s="3" t="s">
        <v>360</v>
      </c>
      <c r="G88" s="3"/>
      <c r="H88" s="3"/>
      <c r="I88" s="3"/>
      <c r="J88" s="3" t="s">
        <v>163</v>
      </c>
      <c r="K88" s="3"/>
      <c r="L88" s="3" t="s">
        <v>191</v>
      </c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</row>
    <row r="89" spans="1:36" ht="15.75" customHeight="1">
      <c r="A89" s="3" t="s">
        <v>361</v>
      </c>
      <c r="B89" s="61" t="s">
        <v>362</v>
      </c>
      <c r="C89" s="3">
        <v>53</v>
      </c>
      <c r="D89" s="65">
        <v>32</v>
      </c>
      <c r="E89" s="69" t="s">
        <v>180</v>
      </c>
      <c r="F89" s="3" t="s">
        <v>363</v>
      </c>
      <c r="G89" s="18"/>
      <c r="H89" s="18"/>
      <c r="I89" s="18"/>
      <c r="J89" s="18"/>
      <c r="K89" s="18"/>
      <c r="L89" s="3" t="s">
        <v>191</v>
      </c>
      <c r="M89" s="18"/>
      <c r="N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</row>
    <row r="90" spans="1:36" ht="15.75" customHeight="1">
      <c r="A90" s="61" t="s">
        <v>364</v>
      </c>
      <c r="B90" s="61" t="s">
        <v>364</v>
      </c>
      <c r="C90" s="3">
        <v>53</v>
      </c>
      <c r="D90" s="3">
        <v>105</v>
      </c>
      <c r="E90" s="16">
        <v>1</v>
      </c>
      <c r="F90" s="3" t="s">
        <v>365</v>
      </c>
      <c r="G90" s="3"/>
      <c r="H90" s="3" t="s">
        <v>163</v>
      </c>
      <c r="I90" s="3" t="s">
        <v>163</v>
      </c>
      <c r="J90" s="3" t="s">
        <v>163</v>
      </c>
      <c r="K90" s="3"/>
      <c r="L90" s="3" t="s">
        <v>191</v>
      </c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</row>
    <row r="91" spans="1:36" ht="15.75" customHeight="1">
      <c r="A91" s="3" t="s">
        <v>366</v>
      </c>
      <c r="B91" s="61" t="s">
        <v>367</v>
      </c>
      <c r="C91" s="3">
        <v>53</v>
      </c>
      <c r="D91" s="65">
        <v>30</v>
      </c>
      <c r="E91" s="69" t="s">
        <v>180</v>
      </c>
      <c r="L91" s="3" t="s">
        <v>163</v>
      </c>
      <c r="M91" s="18"/>
      <c r="N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</row>
    <row r="92" spans="1:36" ht="15.75" customHeight="1">
      <c r="A92" s="3" t="s">
        <v>368</v>
      </c>
      <c r="B92" s="61" t="s">
        <v>369</v>
      </c>
      <c r="C92" s="3">
        <v>53</v>
      </c>
      <c r="D92" s="65">
        <v>50</v>
      </c>
      <c r="E92" s="69" t="s">
        <v>180</v>
      </c>
      <c r="F92" s="18"/>
      <c r="G92" s="18"/>
      <c r="H92" s="18"/>
      <c r="I92" s="18"/>
      <c r="J92" s="18"/>
      <c r="K92" s="18"/>
      <c r="L92" s="3" t="s">
        <v>163</v>
      </c>
      <c r="M92" s="18"/>
      <c r="N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</row>
    <row r="93" spans="1:36" ht="15.75" customHeight="1">
      <c r="A93" s="72" t="s">
        <v>370</v>
      </c>
      <c r="B93" s="60" t="s">
        <v>372</v>
      </c>
      <c r="C93" s="72">
        <v>53</v>
      </c>
      <c r="D93" s="72">
        <v>100</v>
      </c>
      <c r="E93" s="72">
        <v>1</v>
      </c>
      <c r="F93" s="3" t="s">
        <v>373</v>
      </c>
      <c r="G93" s="3"/>
      <c r="H93" s="3"/>
      <c r="I93" s="3"/>
      <c r="J93" s="3" t="s">
        <v>163</v>
      </c>
      <c r="K93" s="3"/>
      <c r="L93" s="3" t="s">
        <v>163</v>
      </c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</row>
    <row r="94" spans="1:36" ht="15.75" customHeight="1">
      <c r="A94" s="72" t="s">
        <v>374</v>
      </c>
      <c r="B94" s="60" t="s">
        <v>375</v>
      </c>
      <c r="C94" s="72">
        <v>53</v>
      </c>
      <c r="D94" s="78">
        <v>30</v>
      </c>
      <c r="E94" s="79" t="s">
        <v>180</v>
      </c>
      <c r="F94" s="72" t="s">
        <v>376</v>
      </c>
      <c r="G94" s="72"/>
      <c r="H94" s="72"/>
      <c r="I94" s="72" t="s">
        <v>163</v>
      </c>
      <c r="J94" s="72" t="s">
        <v>163</v>
      </c>
      <c r="K94" s="72"/>
      <c r="L94" s="3" t="s">
        <v>163</v>
      </c>
      <c r="M94" s="18"/>
      <c r="N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</row>
    <row r="95" spans="1:36" ht="15.75" customHeight="1">
      <c r="A95" s="3" t="s">
        <v>358</v>
      </c>
      <c r="B95" s="61" t="s">
        <v>377</v>
      </c>
      <c r="C95" s="3">
        <v>53</v>
      </c>
      <c r="D95" s="3">
        <v>65</v>
      </c>
      <c r="E95" s="16">
        <v>2</v>
      </c>
      <c r="F95" s="3" t="s">
        <v>378</v>
      </c>
      <c r="G95" s="3"/>
      <c r="H95" s="3"/>
      <c r="I95" s="3"/>
      <c r="J95" s="3" t="s">
        <v>163</v>
      </c>
      <c r="K95" s="3" t="s">
        <v>163</v>
      </c>
      <c r="L95" s="3" t="s">
        <v>163</v>
      </c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</row>
    <row r="96" spans="1:36" ht="15.75" customHeight="1">
      <c r="A96" s="3" t="s">
        <v>379</v>
      </c>
      <c r="B96" s="61" t="s">
        <v>380</v>
      </c>
      <c r="C96" s="3">
        <v>53</v>
      </c>
      <c r="D96" s="3">
        <v>90</v>
      </c>
      <c r="E96" s="16">
        <v>1</v>
      </c>
      <c r="F96" s="3" t="s">
        <v>381</v>
      </c>
      <c r="G96" s="3"/>
      <c r="H96" s="3"/>
      <c r="I96" s="3"/>
      <c r="J96" s="3"/>
      <c r="K96" s="3"/>
      <c r="L96" s="3" t="s">
        <v>163</v>
      </c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</row>
    <row r="97" spans="1:36" ht="15.75" customHeight="1">
      <c r="A97" s="3" t="s">
        <v>195</v>
      </c>
      <c r="B97" s="61" t="s">
        <v>382</v>
      </c>
      <c r="C97" s="3">
        <v>52</v>
      </c>
      <c r="D97" s="3">
        <v>50</v>
      </c>
      <c r="E97" s="16">
        <v>1</v>
      </c>
      <c r="F97" s="3" t="s">
        <v>383</v>
      </c>
      <c r="G97" s="3"/>
      <c r="H97" s="3" t="s">
        <v>163</v>
      </c>
      <c r="I97" s="3" t="s">
        <v>163</v>
      </c>
      <c r="J97" s="3"/>
      <c r="K97" s="3"/>
      <c r="L97" s="3" t="s">
        <v>191</v>
      </c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</row>
    <row r="98" spans="1:36" ht="15.75" customHeight="1">
      <c r="A98" s="3" t="s">
        <v>384</v>
      </c>
      <c r="B98" s="61" t="s">
        <v>385</v>
      </c>
      <c r="C98" s="3">
        <v>52</v>
      </c>
      <c r="D98" s="65">
        <v>40</v>
      </c>
      <c r="E98" s="69">
        <v>1</v>
      </c>
      <c r="F98" s="65" t="s">
        <v>230</v>
      </c>
      <c r="G98" s="65"/>
      <c r="H98" s="65"/>
      <c r="I98" s="65"/>
      <c r="J98" s="65"/>
      <c r="K98" s="65" t="s">
        <v>163</v>
      </c>
      <c r="L98" s="3" t="s">
        <v>191</v>
      </c>
      <c r="M98" s="18"/>
      <c r="N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</row>
    <row r="99" spans="1:36" ht="15.75" customHeight="1">
      <c r="A99" s="3" t="s">
        <v>386</v>
      </c>
      <c r="B99" s="85" t="s">
        <v>387</v>
      </c>
      <c r="C99" s="86">
        <v>52</v>
      </c>
      <c r="D99" s="87">
        <v>0</v>
      </c>
      <c r="E99" s="88">
        <v>54</v>
      </c>
      <c r="F99" s="80"/>
      <c r="G99" s="80"/>
      <c r="H99" s="80"/>
      <c r="I99" s="80" t="s">
        <v>163</v>
      </c>
      <c r="J99" s="80" t="s">
        <v>163</v>
      </c>
      <c r="K99" s="80"/>
      <c r="L99" s="3" t="s">
        <v>163</v>
      </c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</row>
    <row r="100" spans="1:36" ht="15.75" customHeight="1">
      <c r="A100" s="3" t="s">
        <v>358</v>
      </c>
      <c r="B100" s="61" t="s">
        <v>388</v>
      </c>
      <c r="C100" s="3">
        <v>52</v>
      </c>
      <c r="D100" s="3">
        <v>65</v>
      </c>
      <c r="E100" s="16">
        <v>3</v>
      </c>
      <c r="F100" s="3" t="s">
        <v>389</v>
      </c>
      <c r="G100" s="3"/>
      <c r="H100" s="3"/>
      <c r="I100" s="3"/>
      <c r="J100" s="3" t="s">
        <v>163</v>
      </c>
      <c r="K100" s="3" t="s">
        <v>163</v>
      </c>
      <c r="L100" s="3" t="s">
        <v>191</v>
      </c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</row>
    <row r="101" spans="1:36" ht="15.75" customHeight="1">
      <c r="A101" s="3" t="s">
        <v>195</v>
      </c>
      <c r="B101" s="61" t="s">
        <v>390</v>
      </c>
      <c r="C101" s="3">
        <v>51</v>
      </c>
      <c r="D101" s="3">
        <v>30</v>
      </c>
      <c r="E101" s="3">
        <v>0</v>
      </c>
      <c r="F101" s="3"/>
      <c r="G101" s="3"/>
      <c r="H101" s="3" t="s">
        <v>163</v>
      </c>
      <c r="I101" s="3"/>
      <c r="J101" s="3" t="s">
        <v>163</v>
      </c>
      <c r="K101" s="3" t="s">
        <v>163</v>
      </c>
      <c r="L101" s="3" t="s">
        <v>191</v>
      </c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</row>
    <row r="102" spans="1:36" ht="15.75" customHeight="1">
      <c r="A102" s="84" t="s">
        <v>391</v>
      </c>
      <c r="B102" s="61" t="s">
        <v>392</v>
      </c>
      <c r="C102" s="3">
        <v>51</v>
      </c>
      <c r="D102" s="3">
        <v>149</v>
      </c>
      <c r="E102" s="16">
        <v>1</v>
      </c>
      <c r="F102" s="3" t="s">
        <v>393</v>
      </c>
      <c r="G102" s="3"/>
      <c r="H102" s="3"/>
      <c r="I102" s="3"/>
      <c r="J102" s="3"/>
      <c r="K102" s="3"/>
      <c r="L102" s="3" t="s">
        <v>191</v>
      </c>
      <c r="M102" s="3"/>
      <c r="N102" s="3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</row>
    <row r="103" spans="1:36" ht="15.75" customHeight="1">
      <c r="A103" s="3" t="s">
        <v>394</v>
      </c>
      <c r="B103" s="61" t="s">
        <v>395</v>
      </c>
      <c r="C103" s="3">
        <v>51</v>
      </c>
      <c r="D103" s="3">
        <v>35</v>
      </c>
      <c r="E103" s="16">
        <v>1</v>
      </c>
      <c r="F103" s="3" t="s">
        <v>396</v>
      </c>
      <c r="G103" s="3"/>
      <c r="H103" s="3"/>
      <c r="I103" s="3"/>
      <c r="J103" s="3"/>
      <c r="K103" s="3"/>
      <c r="L103" s="3" t="s">
        <v>163</v>
      </c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</row>
    <row r="104" spans="1:36" ht="15.75" customHeight="1">
      <c r="A104" s="84" t="s">
        <v>348</v>
      </c>
      <c r="B104" s="61" t="s">
        <v>397</v>
      </c>
      <c r="C104" s="3">
        <v>51</v>
      </c>
      <c r="D104" s="65">
        <v>85</v>
      </c>
      <c r="E104" s="16">
        <v>13</v>
      </c>
      <c r="F104" s="3" t="s">
        <v>398</v>
      </c>
      <c r="G104" s="3"/>
      <c r="H104" s="3"/>
      <c r="I104" s="3"/>
      <c r="J104" s="3"/>
      <c r="K104" s="3"/>
      <c r="L104" s="3" t="s">
        <v>191</v>
      </c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</row>
    <row r="105" spans="1:36" ht="15.75" customHeight="1">
      <c r="A105" s="3" t="s">
        <v>403</v>
      </c>
      <c r="B105" s="61" t="s">
        <v>404</v>
      </c>
      <c r="C105" s="3">
        <v>51</v>
      </c>
      <c r="D105" s="3">
        <v>65</v>
      </c>
      <c r="E105" s="16">
        <v>0</v>
      </c>
      <c r="F105" s="3" t="s">
        <v>407</v>
      </c>
      <c r="G105" s="3"/>
      <c r="H105" s="3"/>
      <c r="I105" s="3"/>
      <c r="J105" s="3"/>
      <c r="K105" s="3"/>
      <c r="L105" s="3" t="s">
        <v>191</v>
      </c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</row>
    <row r="106" spans="1:36" ht="15.75" customHeight="1">
      <c r="A106" s="3" t="s">
        <v>408</v>
      </c>
      <c r="B106" s="61" t="s">
        <v>409</v>
      </c>
      <c r="C106" s="3">
        <v>51</v>
      </c>
      <c r="D106" s="3">
        <v>70</v>
      </c>
      <c r="E106" s="16">
        <v>2</v>
      </c>
      <c r="F106" s="3" t="s">
        <v>410</v>
      </c>
      <c r="G106" s="3" t="s">
        <v>163</v>
      </c>
      <c r="H106" s="3"/>
      <c r="I106" s="3"/>
      <c r="J106" s="3"/>
      <c r="K106" s="3"/>
      <c r="L106" s="3" t="s">
        <v>163</v>
      </c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</row>
    <row r="107" spans="1:36" ht="15.75" customHeight="1">
      <c r="A107" s="3" t="s">
        <v>411</v>
      </c>
      <c r="B107" s="61" t="s">
        <v>412</v>
      </c>
      <c r="C107" s="3">
        <v>51</v>
      </c>
      <c r="D107" s="3">
        <v>0</v>
      </c>
      <c r="E107" s="16">
        <v>2</v>
      </c>
      <c r="F107" s="3"/>
      <c r="G107" s="3"/>
      <c r="H107" s="3"/>
      <c r="I107" s="3" t="s">
        <v>163</v>
      </c>
      <c r="J107" s="3" t="s">
        <v>163</v>
      </c>
      <c r="K107" s="3" t="s">
        <v>163</v>
      </c>
      <c r="L107" s="3" t="s">
        <v>163</v>
      </c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</row>
    <row r="108" spans="1:36" ht="15.75" customHeight="1">
      <c r="A108" s="3" t="s">
        <v>195</v>
      </c>
      <c r="B108" s="61" t="s">
        <v>413</v>
      </c>
      <c r="C108" s="3">
        <v>51</v>
      </c>
      <c r="D108" s="3">
        <v>35</v>
      </c>
      <c r="E108" s="16">
        <v>3</v>
      </c>
      <c r="F108" s="3"/>
      <c r="G108" s="3" t="s">
        <v>163</v>
      </c>
      <c r="H108" s="3"/>
      <c r="I108" s="3"/>
      <c r="J108" s="3"/>
      <c r="K108" s="3"/>
      <c r="L108" s="3" t="s">
        <v>191</v>
      </c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</row>
    <row r="109" spans="1:36" ht="15.75" customHeight="1">
      <c r="A109" s="3" t="s">
        <v>195</v>
      </c>
      <c r="B109" s="61" t="s">
        <v>414</v>
      </c>
      <c r="C109" s="3">
        <v>51</v>
      </c>
      <c r="D109" s="3">
        <v>35</v>
      </c>
      <c r="E109" s="16">
        <v>0</v>
      </c>
      <c r="F109" s="3"/>
      <c r="G109" s="3"/>
      <c r="H109" s="3"/>
      <c r="I109" s="3"/>
      <c r="J109" s="3" t="s">
        <v>163</v>
      </c>
      <c r="K109" s="3"/>
      <c r="L109" s="3" t="s">
        <v>191</v>
      </c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</row>
    <row r="110" spans="1:36" ht="15.75" customHeight="1">
      <c r="A110" s="84" t="s">
        <v>391</v>
      </c>
      <c r="B110" s="61" t="s">
        <v>416</v>
      </c>
      <c r="C110" s="3">
        <v>50</v>
      </c>
      <c r="D110" s="3">
        <v>140</v>
      </c>
      <c r="E110" s="16">
        <v>9</v>
      </c>
      <c r="F110" s="3" t="s">
        <v>344</v>
      </c>
      <c r="G110" s="3" t="s">
        <v>163</v>
      </c>
      <c r="H110" s="3"/>
      <c r="I110" s="3"/>
      <c r="J110" s="3"/>
      <c r="K110" s="3"/>
      <c r="L110" s="3" t="s">
        <v>191</v>
      </c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</row>
    <row r="111" spans="1:36" ht="15.75" customHeight="1">
      <c r="A111" s="3" t="s">
        <v>164</v>
      </c>
      <c r="B111" s="61" t="s">
        <v>417</v>
      </c>
      <c r="C111" s="3">
        <v>50</v>
      </c>
      <c r="D111" s="3" t="s">
        <v>418</v>
      </c>
      <c r="E111" s="16">
        <v>4</v>
      </c>
      <c r="F111" s="65" t="s">
        <v>344</v>
      </c>
      <c r="G111" s="65" t="s">
        <v>163</v>
      </c>
      <c r="H111" s="65"/>
      <c r="I111" s="65"/>
      <c r="J111" s="65"/>
      <c r="K111" s="65"/>
      <c r="L111" s="3" t="s">
        <v>163</v>
      </c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</row>
    <row r="112" spans="1:36" ht="15.75" customHeight="1">
      <c r="A112" s="3" t="s">
        <v>419</v>
      </c>
      <c r="B112" s="61" t="s">
        <v>420</v>
      </c>
      <c r="C112" s="3">
        <v>50</v>
      </c>
      <c r="D112" s="3">
        <v>50</v>
      </c>
      <c r="E112" s="16">
        <v>4</v>
      </c>
      <c r="F112" s="3" t="s">
        <v>421</v>
      </c>
      <c r="G112" s="3"/>
      <c r="H112" s="3"/>
      <c r="I112" s="3"/>
      <c r="J112" s="3"/>
      <c r="K112" s="3" t="s">
        <v>163</v>
      </c>
      <c r="L112" s="3" t="s">
        <v>163</v>
      </c>
      <c r="M112" s="3"/>
      <c r="N112" s="3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</row>
    <row r="113" spans="1:36" ht="15.75" customHeight="1">
      <c r="A113" s="3" t="s">
        <v>172</v>
      </c>
      <c r="B113" s="61" t="s">
        <v>423</v>
      </c>
      <c r="C113" s="3">
        <v>50</v>
      </c>
      <c r="D113" s="3">
        <v>10</v>
      </c>
      <c r="E113" s="16">
        <v>0</v>
      </c>
      <c r="F113" s="3" t="s">
        <v>427</v>
      </c>
      <c r="G113" s="3"/>
      <c r="H113" s="3"/>
      <c r="I113" s="3"/>
      <c r="J113" s="3"/>
      <c r="K113" s="3"/>
      <c r="L113" s="3" t="s">
        <v>191</v>
      </c>
      <c r="M113" s="18"/>
      <c r="N113" s="3" t="s">
        <v>163</v>
      </c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</row>
    <row r="114" spans="1:36" ht="15.75" customHeight="1">
      <c r="A114" s="3" t="s">
        <v>429</v>
      </c>
      <c r="B114" s="60" t="s">
        <v>431</v>
      </c>
      <c r="C114" s="3">
        <v>50</v>
      </c>
      <c r="D114" s="3">
        <v>40</v>
      </c>
      <c r="E114" s="16">
        <v>2</v>
      </c>
      <c r="F114" s="3"/>
      <c r="G114" s="3" t="s">
        <v>163</v>
      </c>
      <c r="H114" s="3"/>
      <c r="I114" s="3"/>
      <c r="J114" s="3"/>
      <c r="K114" s="3"/>
      <c r="L114" s="3" t="s">
        <v>163</v>
      </c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</row>
    <row r="115" spans="1:36" ht="15.75" customHeight="1">
      <c r="A115" s="3" t="s">
        <v>446</v>
      </c>
      <c r="B115" s="61" t="s">
        <v>447</v>
      </c>
      <c r="C115" s="3">
        <v>50</v>
      </c>
      <c r="D115" s="3">
        <v>50</v>
      </c>
      <c r="E115" s="16">
        <v>0</v>
      </c>
      <c r="F115" s="3"/>
      <c r="G115" s="3" t="s">
        <v>163</v>
      </c>
      <c r="H115" s="3"/>
      <c r="I115" s="3"/>
      <c r="J115" s="3"/>
      <c r="K115" s="3"/>
      <c r="L115" s="3" t="s">
        <v>163</v>
      </c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</row>
    <row r="116" spans="1:36" ht="15.75" customHeight="1">
      <c r="A116" s="3" t="s">
        <v>450</v>
      </c>
      <c r="B116" s="61" t="s">
        <v>451</v>
      </c>
      <c r="C116" s="3">
        <v>50</v>
      </c>
      <c r="D116" s="3">
        <v>50</v>
      </c>
      <c r="E116" s="16">
        <v>3</v>
      </c>
      <c r="F116" s="3"/>
      <c r="G116" s="3" t="s">
        <v>163</v>
      </c>
      <c r="H116" s="3"/>
      <c r="I116" s="3"/>
      <c r="J116" s="3"/>
      <c r="K116" s="3"/>
      <c r="L116" s="3" t="s">
        <v>163</v>
      </c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</row>
    <row r="117" spans="1:36" ht="15.75" customHeight="1">
      <c r="A117" s="3" t="s">
        <v>457</v>
      </c>
      <c r="B117" s="61" t="s">
        <v>458</v>
      </c>
      <c r="C117" s="3">
        <v>50</v>
      </c>
      <c r="D117" s="3">
        <v>50</v>
      </c>
      <c r="E117" s="16">
        <v>14</v>
      </c>
      <c r="F117" s="3"/>
      <c r="G117" s="3"/>
      <c r="H117" s="3"/>
      <c r="I117" s="3"/>
      <c r="J117" s="3"/>
      <c r="K117" s="3" t="s">
        <v>163</v>
      </c>
      <c r="L117" s="3" t="s">
        <v>191</v>
      </c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</row>
    <row r="118" spans="1:36" ht="15.75" customHeight="1">
      <c r="A118" s="3" t="s">
        <v>358</v>
      </c>
      <c r="B118" s="61" t="s">
        <v>463</v>
      </c>
      <c r="C118" s="3">
        <v>50</v>
      </c>
      <c r="D118" s="3">
        <v>90</v>
      </c>
      <c r="E118" s="16">
        <v>4</v>
      </c>
      <c r="F118" s="3"/>
      <c r="G118" s="3"/>
      <c r="H118" s="3"/>
      <c r="I118" s="3"/>
      <c r="J118" s="3" t="s">
        <v>163</v>
      </c>
      <c r="K118" s="3" t="s">
        <v>163</v>
      </c>
      <c r="L118" s="3" t="s">
        <v>163</v>
      </c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6" ht="15.75" customHeight="1">
      <c r="A119" s="3" t="s">
        <v>358</v>
      </c>
      <c r="B119" s="61" t="s">
        <v>467</v>
      </c>
      <c r="C119" s="3">
        <v>50</v>
      </c>
      <c r="D119" s="3">
        <v>65</v>
      </c>
      <c r="E119" s="16">
        <v>3</v>
      </c>
      <c r="F119" s="3"/>
      <c r="G119" s="3"/>
      <c r="H119" s="3"/>
      <c r="I119" s="3"/>
      <c r="J119" s="3"/>
      <c r="K119" s="3" t="s">
        <v>163</v>
      </c>
      <c r="L119" s="3" t="s">
        <v>191</v>
      </c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</row>
    <row r="120" spans="1:36" ht="15.75" customHeight="1">
      <c r="A120" s="3" t="s">
        <v>469</v>
      </c>
      <c r="B120" s="61" t="s">
        <v>470</v>
      </c>
      <c r="C120" s="3">
        <v>50</v>
      </c>
      <c r="D120" s="3">
        <v>70</v>
      </c>
      <c r="E120" s="16">
        <v>0</v>
      </c>
      <c r="F120" s="3"/>
      <c r="G120" s="3"/>
      <c r="H120" s="3" t="s">
        <v>163</v>
      </c>
      <c r="I120" s="3"/>
      <c r="J120" s="3"/>
      <c r="K120" s="3" t="s">
        <v>163</v>
      </c>
      <c r="L120" s="3" t="s">
        <v>163</v>
      </c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36" ht="15.75" customHeight="1">
      <c r="A121" s="3" t="s">
        <v>195</v>
      </c>
      <c r="B121" s="61" t="s">
        <v>472</v>
      </c>
      <c r="C121" s="3">
        <v>50</v>
      </c>
      <c r="D121" s="3">
        <v>35</v>
      </c>
      <c r="E121" s="16">
        <v>0</v>
      </c>
      <c r="F121" s="3"/>
      <c r="G121" s="3"/>
      <c r="H121" s="3"/>
      <c r="I121" s="3"/>
      <c r="J121" s="3"/>
      <c r="K121" s="3" t="s">
        <v>163</v>
      </c>
      <c r="L121" s="3" t="s">
        <v>191</v>
      </c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</row>
    <row r="122" spans="1:36" ht="15.75" customHeight="1">
      <c r="A122" s="3" t="s">
        <v>339</v>
      </c>
      <c r="B122" s="61" t="s">
        <v>476</v>
      </c>
      <c r="C122" s="3">
        <v>49</v>
      </c>
      <c r="D122" s="65">
        <v>45</v>
      </c>
      <c r="E122" s="69" t="s">
        <v>180</v>
      </c>
      <c r="F122" s="18"/>
      <c r="G122" s="18"/>
      <c r="H122" s="18"/>
      <c r="I122" s="18"/>
      <c r="J122" s="18"/>
      <c r="K122" s="18"/>
      <c r="L122" s="3" t="s">
        <v>163</v>
      </c>
      <c r="M122" s="18"/>
      <c r="N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</row>
    <row r="123" spans="1:36" ht="15.75" customHeight="1">
      <c r="A123" s="3" t="s">
        <v>479</v>
      </c>
      <c r="B123" s="61" t="s">
        <v>480</v>
      </c>
      <c r="C123" s="3">
        <v>49</v>
      </c>
      <c r="D123" s="3">
        <v>100</v>
      </c>
      <c r="E123" s="16">
        <v>1</v>
      </c>
      <c r="F123" s="3" t="s">
        <v>256</v>
      </c>
      <c r="G123" s="3"/>
      <c r="H123" s="3"/>
      <c r="I123" s="3"/>
      <c r="J123" s="3" t="s">
        <v>163</v>
      </c>
      <c r="K123" s="3"/>
      <c r="L123" s="3" t="s">
        <v>163</v>
      </c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</row>
    <row r="124" spans="1:36" ht="15.75" customHeight="1">
      <c r="A124" s="3" t="s">
        <v>429</v>
      </c>
      <c r="B124" s="60" t="s">
        <v>485</v>
      </c>
      <c r="C124" s="3">
        <v>49</v>
      </c>
      <c r="D124" s="3">
        <v>40</v>
      </c>
      <c r="E124" s="16">
        <v>0</v>
      </c>
      <c r="F124" s="3" t="s">
        <v>410</v>
      </c>
      <c r="G124" s="3" t="s">
        <v>163</v>
      </c>
      <c r="H124" s="3"/>
      <c r="I124" s="3"/>
      <c r="J124" s="3"/>
      <c r="K124" s="3"/>
      <c r="L124" s="3" t="s">
        <v>163</v>
      </c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</row>
    <row r="125" spans="1:36" ht="15.75" customHeight="1">
      <c r="A125" s="3" t="s">
        <v>195</v>
      </c>
      <c r="B125" s="61" t="s">
        <v>488</v>
      </c>
      <c r="C125" s="3">
        <v>49</v>
      </c>
      <c r="D125" s="3">
        <v>50</v>
      </c>
      <c r="E125" s="16">
        <v>7</v>
      </c>
      <c r="F125" s="3" t="s">
        <v>490</v>
      </c>
      <c r="G125" s="3"/>
      <c r="H125" s="3"/>
      <c r="I125" s="3" t="s">
        <v>163</v>
      </c>
      <c r="J125" s="3"/>
      <c r="K125" s="3"/>
      <c r="L125" s="3" t="s">
        <v>191</v>
      </c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</row>
    <row r="126" spans="1:36" ht="15.75" customHeight="1">
      <c r="A126" s="3" t="s">
        <v>491</v>
      </c>
      <c r="B126" s="61" t="s">
        <v>492</v>
      </c>
      <c r="C126" s="3">
        <v>48</v>
      </c>
      <c r="D126" s="65">
        <v>50</v>
      </c>
      <c r="E126" s="69">
        <v>2</v>
      </c>
      <c r="F126" s="37"/>
      <c r="G126" s="37"/>
      <c r="H126" s="31" t="s">
        <v>163</v>
      </c>
      <c r="I126" s="37"/>
      <c r="J126" s="31" t="s">
        <v>163</v>
      </c>
      <c r="K126" s="31" t="s">
        <v>163</v>
      </c>
      <c r="L126" s="3" t="s">
        <v>163</v>
      </c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</row>
    <row r="127" spans="1:36" ht="15.75" customHeight="1">
      <c r="A127" s="3" t="s">
        <v>493</v>
      </c>
      <c r="B127" s="61" t="s">
        <v>494</v>
      </c>
      <c r="C127" s="3">
        <v>48</v>
      </c>
      <c r="D127" s="65">
        <v>40</v>
      </c>
      <c r="E127" s="69" t="s">
        <v>180</v>
      </c>
      <c r="F127" s="3"/>
      <c r="G127" s="3"/>
      <c r="H127" s="3" t="s">
        <v>163</v>
      </c>
      <c r="I127" s="3"/>
      <c r="J127" s="3" t="s">
        <v>163</v>
      </c>
      <c r="K127" s="3" t="s">
        <v>163</v>
      </c>
      <c r="L127" s="3" t="s">
        <v>163</v>
      </c>
      <c r="M127" s="18"/>
      <c r="N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</row>
    <row r="128" spans="1:36" ht="15.75" customHeight="1">
      <c r="A128" s="3" t="s">
        <v>495</v>
      </c>
      <c r="B128" s="60" t="s">
        <v>496</v>
      </c>
      <c r="C128" s="72">
        <v>48</v>
      </c>
      <c r="D128" s="72">
        <v>50</v>
      </c>
      <c r="E128" s="82" t="s">
        <v>180</v>
      </c>
      <c r="F128" s="72" t="s">
        <v>497</v>
      </c>
      <c r="G128" s="72"/>
      <c r="H128" s="72"/>
      <c r="I128" s="72" t="s">
        <v>163</v>
      </c>
      <c r="J128" s="72"/>
      <c r="K128" s="72"/>
      <c r="L128" s="3" t="s">
        <v>191</v>
      </c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</row>
    <row r="129" spans="1:36" ht="15.75" customHeight="1">
      <c r="A129" s="3" t="s">
        <v>384</v>
      </c>
      <c r="B129" s="61" t="s">
        <v>498</v>
      </c>
      <c r="C129" s="3">
        <v>48</v>
      </c>
      <c r="D129" s="65">
        <v>35</v>
      </c>
      <c r="E129" s="69">
        <v>33</v>
      </c>
      <c r="F129" s="65" t="s">
        <v>230</v>
      </c>
      <c r="G129" s="65"/>
      <c r="H129" s="65"/>
      <c r="I129" s="65"/>
      <c r="J129" s="65"/>
      <c r="K129" s="65" t="s">
        <v>163</v>
      </c>
      <c r="L129" s="3" t="s">
        <v>191</v>
      </c>
      <c r="M129" s="18"/>
      <c r="N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</row>
    <row r="130" spans="1:36" ht="15.75" customHeight="1">
      <c r="A130" s="3" t="s">
        <v>499</v>
      </c>
      <c r="B130" s="61" t="s">
        <v>500</v>
      </c>
      <c r="C130" s="3">
        <v>48</v>
      </c>
      <c r="D130" s="3">
        <v>100</v>
      </c>
      <c r="E130" s="16">
        <v>7</v>
      </c>
      <c r="F130" s="3"/>
      <c r="G130" s="3"/>
      <c r="H130" s="3"/>
      <c r="I130" s="3" t="s">
        <v>163</v>
      </c>
      <c r="J130" s="3" t="s">
        <v>163</v>
      </c>
      <c r="K130" s="3"/>
      <c r="L130" s="3" t="s">
        <v>191</v>
      </c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</row>
    <row r="131" spans="1:36" ht="15.75" customHeight="1">
      <c r="A131" s="3" t="s">
        <v>339</v>
      </c>
      <c r="B131" s="61" t="s">
        <v>502</v>
      </c>
      <c r="C131" s="3">
        <v>47</v>
      </c>
      <c r="D131" s="65">
        <v>45</v>
      </c>
      <c r="E131" s="66">
        <v>0.01</v>
      </c>
      <c r="F131" s="18"/>
      <c r="G131" s="18"/>
      <c r="H131" s="18"/>
      <c r="I131" s="18"/>
      <c r="J131" s="18"/>
      <c r="K131" s="18"/>
      <c r="L131" s="3" t="s">
        <v>163</v>
      </c>
      <c r="M131" s="18"/>
      <c r="N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</row>
    <row r="132" spans="1:36" ht="15.75" customHeight="1">
      <c r="A132" s="3" t="s">
        <v>503</v>
      </c>
      <c r="B132" s="61" t="s">
        <v>504</v>
      </c>
      <c r="C132" s="3">
        <v>47</v>
      </c>
      <c r="D132" s="65">
        <v>30</v>
      </c>
      <c r="E132" s="66">
        <v>0.01</v>
      </c>
      <c r="F132" s="3" t="s">
        <v>505</v>
      </c>
      <c r="G132" s="3"/>
      <c r="H132" s="3"/>
      <c r="I132" s="3"/>
      <c r="J132" s="3" t="s">
        <v>163</v>
      </c>
      <c r="K132" s="3" t="s">
        <v>163</v>
      </c>
      <c r="L132" s="3" t="s">
        <v>163</v>
      </c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</row>
    <row r="133" spans="1:36" ht="15.75" customHeight="1">
      <c r="A133" s="3" t="s">
        <v>290</v>
      </c>
      <c r="B133" s="61" t="s">
        <v>506</v>
      </c>
      <c r="C133" s="3">
        <v>47</v>
      </c>
      <c r="D133" s="65">
        <v>5</v>
      </c>
      <c r="E133" s="16">
        <v>4</v>
      </c>
      <c r="F133" s="3"/>
      <c r="G133" s="3" t="s">
        <v>163</v>
      </c>
      <c r="H133" s="3"/>
      <c r="I133" s="3"/>
      <c r="J133" s="3"/>
      <c r="K133" s="3"/>
      <c r="L133" s="3" t="s">
        <v>163</v>
      </c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</row>
    <row r="134" spans="1:36" ht="15.75" customHeight="1">
      <c r="A134" s="3" t="s">
        <v>507</v>
      </c>
      <c r="B134" s="61" t="s">
        <v>508</v>
      </c>
      <c r="C134" s="3">
        <v>47</v>
      </c>
      <c r="D134" s="65">
        <v>25</v>
      </c>
      <c r="E134" s="16">
        <v>1</v>
      </c>
      <c r="F134" s="3"/>
      <c r="G134" s="3" t="s">
        <v>163</v>
      </c>
      <c r="H134" s="3"/>
      <c r="I134" s="3"/>
      <c r="J134" s="3"/>
      <c r="K134" s="3"/>
      <c r="L134" s="3" t="s">
        <v>163</v>
      </c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</row>
    <row r="135" spans="1:36" ht="15.75" customHeight="1">
      <c r="A135" s="3" t="s">
        <v>509</v>
      </c>
      <c r="B135" s="61" t="s">
        <v>510</v>
      </c>
      <c r="C135" s="3">
        <v>47</v>
      </c>
      <c r="D135" s="3">
        <v>20</v>
      </c>
      <c r="E135" s="16">
        <v>1</v>
      </c>
      <c r="F135" s="3" t="s">
        <v>511</v>
      </c>
      <c r="G135" s="3"/>
      <c r="H135" s="3"/>
      <c r="I135" s="3"/>
      <c r="J135" s="3" t="s">
        <v>163</v>
      </c>
      <c r="K135" s="3"/>
      <c r="L135" s="3" t="s">
        <v>163</v>
      </c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</row>
    <row r="136" spans="1:36" ht="15.75" customHeight="1">
      <c r="A136" s="3" t="s">
        <v>512</v>
      </c>
      <c r="B136" s="61" t="s">
        <v>513</v>
      </c>
      <c r="C136" s="3">
        <v>47</v>
      </c>
      <c r="D136" s="3">
        <v>120</v>
      </c>
      <c r="E136" s="16">
        <v>1</v>
      </c>
      <c r="F136" s="3" t="s">
        <v>514</v>
      </c>
      <c r="G136" s="3"/>
      <c r="H136" s="3"/>
      <c r="I136" s="3"/>
      <c r="J136" s="3"/>
      <c r="K136" s="3" t="s">
        <v>163</v>
      </c>
      <c r="L136" s="3" t="s">
        <v>163</v>
      </c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</row>
    <row r="137" spans="1:36" ht="15.75" customHeight="1">
      <c r="A137" s="3" t="s">
        <v>195</v>
      </c>
      <c r="B137" s="61" t="s">
        <v>515</v>
      </c>
      <c r="C137" s="3">
        <v>47</v>
      </c>
      <c r="D137" s="3">
        <v>50</v>
      </c>
      <c r="E137" s="16">
        <v>11</v>
      </c>
      <c r="F137" s="3" t="s">
        <v>516</v>
      </c>
      <c r="G137" s="3"/>
      <c r="H137" s="3" t="s">
        <v>163</v>
      </c>
      <c r="I137" s="3"/>
      <c r="J137" s="3" t="s">
        <v>163</v>
      </c>
      <c r="K137" s="3"/>
      <c r="L137" s="3" t="s">
        <v>191</v>
      </c>
      <c r="M137" s="18"/>
      <c r="N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</row>
    <row r="138" spans="1:36" ht="15.75" customHeight="1">
      <c r="A138" s="3" t="s">
        <v>517</v>
      </c>
      <c r="B138" s="89" t="s">
        <v>518</v>
      </c>
      <c r="C138" s="3">
        <v>46</v>
      </c>
      <c r="D138" s="65">
        <v>20</v>
      </c>
      <c r="E138" s="69" t="s">
        <v>180</v>
      </c>
      <c r="F138" s="3" t="s">
        <v>519</v>
      </c>
      <c r="G138" s="3"/>
      <c r="H138" s="3" t="s">
        <v>163</v>
      </c>
      <c r="I138" s="3" t="s">
        <v>163</v>
      </c>
      <c r="J138" s="3"/>
      <c r="K138" s="3"/>
      <c r="L138" s="3" t="s">
        <v>191</v>
      </c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</row>
    <row r="139" spans="1:36" ht="15.75" customHeight="1">
      <c r="A139" s="3" t="s">
        <v>520</v>
      </c>
      <c r="B139" s="61" t="s">
        <v>521</v>
      </c>
      <c r="C139" s="3">
        <v>46</v>
      </c>
      <c r="D139" s="65">
        <v>35</v>
      </c>
      <c r="E139" s="69">
        <v>15</v>
      </c>
      <c r="F139" s="65" t="s">
        <v>522</v>
      </c>
      <c r="G139" s="65"/>
      <c r="H139" s="65"/>
      <c r="I139" s="65"/>
      <c r="J139" s="65"/>
      <c r="K139" s="65" t="s">
        <v>163</v>
      </c>
      <c r="L139" s="3" t="s">
        <v>163</v>
      </c>
      <c r="M139" s="18"/>
      <c r="N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</row>
    <row r="140" spans="1:36" ht="15.75" customHeight="1">
      <c r="A140" s="3" t="s">
        <v>523</v>
      </c>
      <c r="B140" s="61" t="s">
        <v>524</v>
      </c>
      <c r="C140" s="3">
        <v>46</v>
      </c>
      <c r="D140" s="65">
        <v>30</v>
      </c>
      <c r="E140" s="69">
        <v>14</v>
      </c>
      <c r="F140" s="3" t="s">
        <v>525</v>
      </c>
      <c r="G140" s="3"/>
      <c r="H140" s="3" t="s">
        <v>163</v>
      </c>
      <c r="I140" s="3" t="s">
        <v>163</v>
      </c>
      <c r="J140" s="3"/>
      <c r="K140" s="3"/>
      <c r="L140" s="3" t="s">
        <v>163</v>
      </c>
      <c r="M140" s="18"/>
      <c r="N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</row>
    <row r="141" spans="1:36" ht="15.75" customHeight="1">
      <c r="A141" s="3" t="s">
        <v>526</v>
      </c>
      <c r="B141" s="61" t="s">
        <v>527</v>
      </c>
      <c r="C141" s="3">
        <v>46</v>
      </c>
      <c r="D141" s="3">
        <v>30</v>
      </c>
      <c r="E141" s="16">
        <v>1</v>
      </c>
      <c r="F141" s="3" t="s">
        <v>528</v>
      </c>
      <c r="G141" s="3"/>
      <c r="H141" s="3" t="s">
        <v>163</v>
      </c>
      <c r="I141" s="3"/>
      <c r="J141" s="3" t="s">
        <v>163</v>
      </c>
      <c r="K141" s="3"/>
      <c r="L141" s="3" t="s">
        <v>163</v>
      </c>
      <c r="M141" s="18"/>
      <c r="N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</row>
    <row r="142" spans="1:36" ht="15.75" customHeight="1">
      <c r="A142" s="3" t="s">
        <v>195</v>
      </c>
      <c r="B142" s="61" t="s">
        <v>529</v>
      </c>
      <c r="C142" s="3">
        <v>46</v>
      </c>
      <c r="D142" s="3">
        <v>35</v>
      </c>
      <c r="E142" s="16">
        <v>0</v>
      </c>
      <c r="F142" s="3" t="s">
        <v>410</v>
      </c>
      <c r="G142" s="3" t="s">
        <v>163</v>
      </c>
      <c r="H142" s="3"/>
      <c r="I142" s="3"/>
      <c r="J142" s="3"/>
      <c r="K142" s="3"/>
      <c r="L142" s="3" t="s">
        <v>191</v>
      </c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</row>
    <row r="143" spans="1:36" ht="15.75" customHeight="1">
      <c r="A143" s="3" t="s">
        <v>195</v>
      </c>
      <c r="B143" s="61" t="s">
        <v>530</v>
      </c>
      <c r="C143" s="3">
        <v>46</v>
      </c>
      <c r="D143" s="3">
        <v>35</v>
      </c>
      <c r="E143" s="16">
        <v>0</v>
      </c>
      <c r="F143" s="3" t="s">
        <v>531</v>
      </c>
      <c r="G143" s="3"/>
      <c r="H143" s="3" t="s">
        <v>163</v>
      </c>
      <c r="I143" s="3"/>
      <c r="J143" s="3" t="s">
        <v>163</v>
      </c>
      <c r="K143" s="3"/>
      <c r="L143" s="3" t="s">
        <v>191</v>
      </c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</row>
    <row r="144" spans="1:36" ht="15.75" customHeight="1">
      <c r="A144" s="3" t="s">
        <v>232</v>
      </c>
      <c r="B144" s="61" t="s">
        <v>532</v>
      </c>
      <c r="C144" s="3">
        <v>46</v>
      </c>
      <c r="D144" s="3">
        <v>20</v>
      </c>
      <c r="E144" s="16">
        <v>7</v>
      </c>
      <c r="F144" s="3" t="s">
        <v>410</v>
      </c>
      <c r="G144" s="3"/>
      <c r="H144" s="3"/>
      <c r="I144" s="3"/>
      <c r="J144" s="3"/>
      <c r="K144" s="3"/>
      <c r="L144" s="3" t="s">
        <v>163</v>
      </c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</row>
    <row r="145" spans="1:36" ht="15.75" customHeight="1">
      <c r="A145" s="3" t="s">
        <v>535</v>
      </c>
      <c r="B145" s="61" t="s">
        <v>536</v>
      </c>
      <c r="C145" s="3">
        <v>45</v>
      </c>
      <c r="D145" s="3">
        <v>32</v>
      </c>
      <c r="E145" s="16">
        <v>3</v>
      </c>
      <c r="F145" s="3"/>
      <c r="G145" s="3"/>
      <c r="H145" s="3"/>
      <c r="I145" s="3"/>
      <c r="J145" s="3"/>
      <c r="K145" s="3" t="s">
        <v>163</v>
      </c>
      <c r="L145" s="3" t="s">
        <v>191</v>
      </c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 ht="15.75" customHeight="1">
      <c r="A146" s="3" t="s">
        <v>166</v>
      </c>
      <c r="B146" s="61" t="s">
        <v>537</v>
      </c>
      <c r="C146" s="3">
        <v>45</v>
      </c>
      <c r="D146" s="65">
        <v>35</v>
      </c>
      <c r="E146" s="69">
        <v>22</v>
      </c>
      <c r="F146" s="18"/>
      <c r="G146" s="18"/>
      <c r="H146" s="18"/>
      <c r="I146" s="18"/>
      <c r="J146" s="18"/>
      <c r="K146" s="3" t="s">
        <v>163</v>
      </c>
      <c r="L146" s="3" t="s">
        <v>191</v>
      </c>
      <c r="M146" s="18"/>
      <c r="N146" s="18"/>
      <c r="O146" s="3"/>
      <c r="P146" s="3"/>
      <c r="Q146" s="3"/>
      <c r="R146" s="65"/>
      <c r="S146" s="3"/>
      <c r="T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 ht="15.75" customHeight="1">
      <c r="A147" s="3" t="s">
        <v>232</v>
      </c>
      <c r="B147" s="61" t="s">
        <v>538</v>
      </c>
      <c r="C147" s="3">
        <v>45</v>
      </c>
      <c r="D147" s="3">
        <v>20</v>
      </c>
      <c r="E147" s="16">
        <v>12</v>
      </c>
      <c r="F147" s="3"/>
      <c r="G147" s="3" t="s">
        <v>163</v>
      </c>
      <c r="H147" s="3"/>
      <c r="I147" s="3"/>
      <c r="J147" s="3"/>
      <c r="K147" s="3"/>
      <c r="L147" s="3" t="s">
        <v>163</v>
      </c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 ht="15.75" customHeight="1">
      <c r="A148" s="3" t="s">
        <v>195</v>
      </c>
      <c r="B148" s="61" t="s">
        <v>539</v>
      </c>
      <c r="C148" s="3">
        <v>45</v>
      </c>
      <c r="D148" s="3">
        <v>35</v>
      </c>
      <c r="E148" s="16">
        <v>0</v>
      </c>
      <c r="F148" s="3"/>
      <c r="G148" s="3" t="s">
        <v>163</v>
      </c>
      <c r="H148" s="3"/>
      <c r="I148" s="3"/>
      <c r="J148" s="3"/>
      <c r="K148" s="3"/>
      <c r="L148" s="3" t="s">
        <v>191</v>
      </c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 ht="15.75" customHeight="1">
      <c r="A149" s="3" t="s">
        <v>232</v>
      </c>
      <c r="B149" s="61" t="s">
        <v>540</v>
      </c>
      <c r="C149" s="3">
        <v>45</v>
      </c>
      <c r="D149" s="3">
        <v>20</v>
      </c>
      <c r="E149" s="16">
        <v>28</v>
      </c>
      <c r="F149" s="3"/>
      <c r="G149" s="3" t="s">
        <v>163</v>
      </c>
      <c r="H149" s="3"/>
      <c r="I149" s="3"/>
      <c r="J149" s="3"/>
      <c r="K149" s="3"/>
      <c r="L149" s="3" t="s">
        <v>163</v>
      </c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 ht="15.75" customHeight="1">
      <c r="A150" s="3" t="s">
        <v>541</v>
      </c>
      <c r="B150" s="61" t="s">
        <v>542</v>
      </c>
      <c r="C150" s="3">
        <v>44</v>
      </c>
      <c r="D150" s="65">
        <v>10</v>
      </c>
      <c r="E150" s="69">
        <v>2</v>
      </c>
      <c r="F150" s="3" t="s">
        <v>89</v>
      </c>
      <c r="G150" s="3"/>
      <c r="H150" s="3"/>
      <c r="I150" s="3"/>
      <c r="J150" s="3"/>
      <c r="K150" s="3" t="s">
        <v>163</v>
      </c>
      <c r="L150" s="3" t="s">
        <v>163</v>
      </c>
      <c r="M150" s="18"/>
      <c r="N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 ht="15.75" customHeight="1">
      <c r="A151" s="3" t="s">
        <v>543</v>
      </c>
      <c r="B151" s="61" t="s">
        <v>544</v>
      </c>
      <c r="C151" s="3">
        <v>44</v>
      </c>
      <c r="D151" s="3">
        <v>30</v>
      </c>
      <c r="E151" s="16">
        <v>1</v>
      </c>
      <c r="F151" s="3" t="s">
        <v>545</v>
      </c>
      <c r="G151" s="3"/>
      <c r="H151" s="3"/>
      <c r="I151" s="3"/>
      <c r="J151" s="3" t="s">
        <v>163</v>
      </c>
      <c r="K151" s="3"/>
      <c r="L151" s="3" t="s">
        <v>163</v>
      </c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 ht="15.75" customHeight="1">
      <c r="A152" s="3" t="s">
        <v>546</v>
      </c>
      <c r="B152" s="61" t="s">
        <v>547</v>
      </c>
      <c r="C152" s="3">
        <v>44</v>
      </c>
      <c r="D152" s="3">
        <v>35</v>
      </c>
      <c r="E152" s="16">
        <v>0</v>
      </c>
      <c r="F152" s="3" t="s">
        <v>548</v>
      </c>
      <c r="G152" s="3"/>
      <c r="H152" s="3"/>
      <c r="I152" s="3"/>
      <c r="J152" s="3"/>
      <c r="K152" s="3" t="s">
        <v>163</v>
      </c>
      <c r="L152" s="3" t="s">
        <v>163</v>
      </c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 ht="15.75" customHeight="1">
      <c r="A153" s="3" t="s">
        <v>549</v>
      </c>
      <c r="B153" s="61" t="s">
        <v>550</v>
      </c>
      <c r="C153" s="3">
        <v>44</v>
      </c>
      <c r="D153" s="3">
        <v>60</v>
      </c>
      <c r="E153" s="16">
        <v>4</v>
      </c>
      <c r="F153" s="3" t="s">
        <v>551</v>
      </c>
      <c r="G153" s="3"/>
      <c r="H153" s="3"/>
      <c r="I153" s="3"/>
      <c r="J153" s="3"/>
      <c r="K153" s="3" t="s">
        <v>163</v>
      </c>
      <c r="L153" s="3" t="s">
        <v>191</v>
      </c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 ht="15.75" customHeight="1">
      <c r="A154" s="3" t="s">
        <v>358</v>
      </c>
      <c r="B154" s="61" t="s">
        <v>552</v>
      </c>
      <c r="C154" s="3">
        <v>44</v>
      </c>
      <c r="D154" s="3">
        <v>50</v>
      </c>
      <c r="E154" s="16">
        <v>2</v>
      </c>
      <c r="F154" s="3" t="s">
        <v>553</v>
      </c>
      <c r="G154" s="3"/>
      <c r="H154" s="3"/>
      <c r="I154" s="3"/>
      <c r="J154" s="3" t="s">
        <v>163</v>
      </c>
      <c r="K154" s="3" t="s">
        <v>163</v>
      </c>
      <c r="L154" s="3" t="s">
        <v>191</v>
      </c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 ht="15.75" customHeight="1">
      <c r="A155" s="3" t="s">
        <v>358</v>
      </c>
      <c r="B155" s="61" t="s">
        <v>554</v>
      </c>
      <c r="C155" s="3">
        <v>44</v>
      </c>
      <c r="D155" s="3">
        <v>65</v>
      </c>
      <c r="E155" s="16">
        <v>5</v>
      </c>
      <c r="F155" s="3" t="s">
        <v>555</v>
      </c>
      <c r="G155" s="3"/>
      <c r="H155" s="3"/>
      <c r="I155" s="3"/>
      <c r="J155" s="3"/>
      <c r="K155" s="3" t="s">
        <v>163</v>
      </c>
      <c r="L155" s="3" t="s">
        <v>191</v>
      </c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 ht="15.75" customHeight="1">
      <c r="A156" s="3" t="s">
        <v>261</v>
      </c>
      <c r="B156" s="61" t="s">
        <v>556</v>
      </c>
      <c r="C156" s="3">
        <v>43</v>
      </c>
      <c r="D156" s="3">
        <v>40</v>
      </c>
      <c r="E156" s="16">
        <v>5</v>
      </c>
      <c r="F156" s="3" t="s">
        <v>557</v>
      </c>
      <c r="G156" s="3"/>
      <c r="H156" s="3" t="s">
        <v>163</v>
      </c>
      <c r="I156" s="3" t="s">
        <v>163</v>
      </c>
      <c r="J156" s="3"/>
      <c r="K156" s="3"/>
      <c r="L156" s="3" t="s">
        <v>191</v>
      </c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 ht="15.75" customHeight="1">
      <c r="A157" s="75" t="s">
        <v>243</v>
      </c>
      <c r="B157" s="61" t="s">
        <v>558</v>
      </c>
      <c r="C157" s="3">
        <v>43</v>
      </c>
      <c r="D157" s="3">
        <v>35</v>
      </c>
      <c r="E157" s="16" t="s">
        <v>180</v>
      </c>
      <c r="F157" s="3" t="s">
        <v>559</v>
      </c>
      <c r="G157" s="3"/>
      <c r="H157" s="3"/>
      <c r="I157" s="3"/>
      <c r="J157" s="3" t="s">
        <v>163</v>
      </c>
      <c r="K157" s="3" t="s">
        <v>163</v>
      </c>
      <c r="L157" s="3" t="s">
        <v>163</v>
      </c>
      <c r="M157" s="18"/>
      <c r="N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 ht="15.75" customHeight="1">
      <c r="A158" s="3" t="s">
        <v>560</v>
      </c>
      <c r="B158" s="61" t="s">
        <v>561</v>
      </c>
      <c r="C158" s="3">
        <v>43</v>
      </c>
      <c r="D158" s="90">
        <v>37.5</v>
      </c>
      <c r="E158" s="16">
        <v>5</v>
      </c>
      <c r="F158" s="3" t="s">
        <v>562</v>
      </c>
      <c r="G158" s="3" t="s">
        <v>163</v>
      </c>
      <c r="H158" s="3"/>
      <c r="I158" s="3"/>
      <c r="J158" s="3"/>
      <c r="K158" s="3"/>
      <c r="L158" s="3" t="s">
        <v>191</v>
      </c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 ht="15.75" customHeight="1">
      <c r="A159" s="3" t="s">
        <v>563</v>
      </c>
      <c r="B159" s="61" t="s">
        <v>564</v>
      </c>
      <c r="C159" s="3">
        <v>43</v>
      </c>
      <c r="D159" s="3">
        <v>50</v>
      </c>
      <c r="E159" s="16">
        <v>3</v>
      </c>
      <c r="F159" s="3" t="s">
        <v>410</v>
      </c>
      <c r="G159" s="3" t="s">
        <v>163</v>
      </c>
      <c r="H159" s="3"/>
      <c r="I159" s="3"/>
      <c r="J159" s="3"/>
      <c r="K159" s="3"/>
      <c r="L159" s="3" t="s">
        <v>163</v>
      </c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 ht="15.75" customHeight="1">
      <c r="A160" s="3" t="s">
        <v>565</v>
      </c>
      <c r="B160" s="61" t="s">
        <v>566</v>
      </c>
      <c r="C160" s="3">
        <v>43</v>
      </c>
      <c r="D160" s="3">
        <v>95</v>
      </c>
      <c r="E160" s="16">
        <v>16</v>
      </c>
      <c r="F160" s="3" t="s">
        <v>567</v>
      </c>
      <c r="G160" s="3"/>
      <c r="H160" s="3"/>
      <c r="I160" s="3"/>
      <c r="J160" s="3"/>
      <c r="K160" s="3" t="s">
        <v>163</v>
      </c>
      <c r="L160" s="3" t="s">
        <v>163</v>
      </c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 ht="15.75" customHeight="1">
      <c r="A161" s="72" t="s">
        <v>192</v>
      </c>
      <c r="B161" s="60" t="s">
        <v>568</v>
      </c>
      <c r="C161" s="72">
        <v>42</v>
      </c>
      <c r="D161" s="72">
        <v>20</v>
      </c>
      <c r="E161" s="82">
        <v>4</v>
      </c>
      <c r="F161" s="72" t="s">
        <v>569</v>
      </c>
      <c r="G161" s="72"/>
      <c r="H161" s="72" t="s">
        <v>163</v>
      </c>
      <c r="I161" s="72"/>
      <c r="J161" s="72" t="s">
        <v>163</v>
      </c>
      <c r="K161" s="72"/>
      <c r="L161" s="3" t="s">
        <v>191</v>
      </c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 ht="15.75" customHeight="1">
      <c r="A162" s="3" t="s">
        <v>293</v>
      </c>
      <c r="B162" s="61" t="s">
        <v>570</v>
      </c>
      <c r="C162" s="3">
        <v>42</v>
      </c>
      <c r="D162" s="3">
        <v>40</v>
      </c>
      <c r="E162" s="16">
        <v>0</v>
      </c>
      <c r="F162" s="3" t="s">
        <v>571</v>
      </c>
      <c r="G162" s="3"/>
      <c r="H162" s="3"/>
      <c r="I162" s="3"/>
      <c r="J162" s="3"/>
      <c r="K162" s="3" t="s">
        <v>163</v>
      </c>
      <c r="L162" s="3" t="s">
        <v>163</v>
      </c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 ht="15.75" customHeight="1">
      <c r="A163" s="3" t="s">
        <v>195</v>
      </c>
      <c r="B163" s="61" t="s">
        <v>572</v>
      </c>
      <c r="C163" s="3">
        <v>42</v>
      </c>
      <c r="D163" s="3">
        <v>40</v>
      </c>
      <c r="E163" s="16">
        <v>1</v>
      </c>
      <c r="F163" s="3"/>
      <c r="G163" s="3"/>
      <c r="H163" s="3"/>
      <c r="I163" s="3" t="s">
        <v>163</v>
      </c>
      <c r="J163" s="3"/>
      <c r="K163" s="3" t="s">
        <v>163</v>
      </c>
      <c r="L163" s="3" t="s">
        <v>191</v>
      </c>
      <c r="M163" s="18"/>
      <c r="N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 ht="15.75" customHeight="1">
      <c r="A164" s="3" t="s">
        <v>195</v>
      </c>
      <c r="B164" s="61" t="s">
        <v>573</v>
      </c>
      <c r="C164" s="3">
        <v>42</v>
      </c>
      <c r="D164" s="3">
        <v>35</v>
      </c>
      <c r="E164" s="16">
        <v>0</v>
      </c>
      <c r="F164" s="3"/>
      <c r="G164" s="3" t="s">
        <v>163</v>
      </c>
      <c r="H164" s="3"/>
      <c r="I164" s="3"/>
      <c r="J164" s="3"/>
      <c r="K164" s="3"/>
      <c r="L164" s="3" t="s">
        <v>191</v>
      </c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</row>
    <row r="165" spans="1:36" ht="15.75" customHeight="1">
      <c r="A165" s="3" t="s">
        <v>339</v>
      </c>
      <c r="B165" s="61" t="s">
        <v>574</v>
      </c>
      <c r="C165" s="3">
        <v>41</v>
      </c>
      <c r="D165" s="65">
        <v>45</v>
      </c>
      <c r="E165" s="69">
        <v>1</v>
      </c>
      <c r="F165" s="18"/>
      <c r="G165" s="18"/>
      <c r="H165" s="18"/>
      <c r="I165" s="18"/>
      <c r="J165" s="18"/>
      <c r="K165" s="18"/>
      <c r="L165" s="3" t="s">
        <v>191</v>
      </c>
      <c r="M165" s="18"/>
      <c r="N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</row>
    <row r="166" spans="1:36" ht="15.75" customHeight="1">
      <c r="A166" s="3" t="s">
        <v>195</v>
      </c>
      <c r="B166" s="61" t="s">
        <v>575</v>
      </c>
      <c r="C166" s="3">
        <v>41</v>
      </c>
      <c r="D166" s="3">
        <v>30</v>
      </c>
      <c r="E166" s="72">
        <v>1</v>
      </c>
      <c r="F166" s="3"/>
      <c r="G166" s="3"/>
      <c r="H166" s="3"/>
      <c r="I166" s="3"/>
      <c r="J166" s="3"/>
      <c r="K166" s="3" t="s">
        <v>163</v>
      </c>
      <c r="L166" s="3" t="s">
        <v>191</v>
      </c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</row>
    <row r="167" spans="1:36" ht="15.75" customHeight="1">
      <c r="A167" s="3" t="s">
        <v>195</v>
      </c>
      <c r="B167" s="61" t="s">
        <v>576</v>
      </c>
      <c r="C167" s="3">
        <v>41</v>
      </c>
      <c r="D167" s="3">
        <v>50</v>
      </c>
      <c r="E167" s="3">
        <v>4</v>
      </c>
      <c r="F167" s="3"/>
      <c r="G167" s="3"/>
      <c r="H167" s="3"/>
      <c r="I167" s="3" t="s">
        <v>163</v>
      </c>
      <c r="J167" s="3"/>
      <c r="K167" s="3" t="s">
        <v>163</v>
      </c>
      <c r="L167" s="3" t="s">
        <v>191</v>
      </c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 ht="15.75" customHeight="1">
      <c r="A168" s="3" t="s">
        <v>370</v>
      </c>
      <c r="B168" s="61" t="s">
        <v>577</v>
      </c>
      <c r="C168" s="3">
        <v>40</v>
      </c>
      <c r="D168" s="3">
        <v>100</v>
      </c>
      <c r="E168" s="16">
        <v>0</v>
      </c>
      <c r="F168" s="3"/>
      <c r="G168" s="3"/>
      <c r="H168" s="3"/>
      <c r="I168" s="3"/>
      <c r="J168" s="3" t="s">
        <v>163</v>
      </c>
      <c r="K168" s="3"/>
      <c r="L168" s="3" t="s">
        <v>163</v>
      </c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</row>
    <row r="169" spans="1:36" ht="15.75" customHeight="1">
      <c r="A169" s="3" t="s">
        <v>192</v>
      </c>
      <c r="B169" s="61" t="s">
        <v>578</v>
      </c>
      <c r="C169" s="3">
        <v>40</v>
      </c>
      <c r="D169" s="65">
        <v>22</v>
      </c>
      <c r="E169" s="69">
        <v>8</v>
      </c>
      <c r="F169" s="3"/>
      <c r="G169" s="3"/>
      <c r="H169" s="3"/>
      <c r="I169" s="3"/>
      <c r="J169" s="3" t="s">
        <v>163</v>
      </c>
      <c r="K169" s="3"/>
      <c r="L169" s="3" t="s">
        <v>163</v>
      </c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</row>
    <row r="170" spans="1:36" ht="15.75" customHeight="1">
      <c r="A170" s="72" t="s">
        <v>579</v>
      </c>
      <c r="B170" s="60" t="s">
        <v>580</v>
      </c>
      <c r="C170" s="72">
        <v>40</v>
      </c>
      <c r="D170" s="72">
        <v>40</v>
      </c>
      <c r="E170" s="82" t="s">
        <v>180</v>
      </c>
      <c r="F170" s="72" t="s">
        <v>581</v>
      </c>
      <c r="G170" s="72"/>
      <c r="H170" s="72"/>
      <c r="I170" s="72" t="s">
        <v>163</v>
      </c>
      <c r="J170" s="72" t="s">
        <v>163</v>
      </c>
      <c r="K170" s="72"/>
      <c r="L170" s="3" t="s">
        <v>163</v>
      </c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</row>
    <row r="171" spans="1:36" ht="15.75" customHeight="1">
      <c r="A171" s="3" t="s">
        <v>503</v>
      </c>
      <c r="B171" s="61" t="s">
        <v>582</v>
      </c>
      <c r="C171" s="3">
        <v>40</v>
      </c>
      <c r="D171" s="3">
        <v>30</v>
      </c>
      <c r="E171" s="16">
        <v>2</v>
      </c>
      <c r="F171" s="3" t="s">
        <v>583</v>
      </c>
      <c r="G171" s="3"/>
      <c r="H171" s="3"/>
      <c r="I171" s="3"/>
      <c r="J171" s="3" t="s">
        <v>163</v>
      </c>
      <c r="K171" s="3"/>
      <c r="L171" s="3" t="s">
        <v>163</v>
      </c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 ht="15.75" customHeight="1">
      <c r="A172" s="3" t="s">
        <v>358</v>
      </c>
      <c r="B172" s="61" t="s">
        <v>584</v>
      </c>
      <c r="C172" s="3">
        <v>40</v>
      </c>
      <c r="D172" s="3">
        <v>65</v>
      </c>
      <c r="E172" s="16">
        <v>2</v>
      </c>
      <c r="F172" s="3" t="s">
        <v>585</v>
      </c>
      <c r="G172" s="3"/>
      <c r="H172" s="3" t="s">
        <v>163</v>
      </c>
      <c r="I172" s="3"/>
      <c r="J172" s="3" t="s">
        <v>163</v>
      </c>
      <c r="K172" s="3" t="s">
        <v>163</v>
      </c>
      <c r="L172" s="3" t="s">
        <v>191</v>
      </c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</row>
    <row r="173" spans="1:36" ht="15.75" customHeight="1">
      <c r="A173" s="3" t="s">
        <v>195</v>
      </c>
      <c r="B173" s="61" t="s">
        <v>586</v>
      </c>
      <c r="C173" s="3">
        <v>40</v>
      </c>
      <c r="D173" s="3">
        <v>30</v>
      </c>
      <c r="E173" s="16">
        <v>1</v>
      </c>
      <c r="F173" s="3" t="s">
        <v>528</v>
      </c>
      <c r="G173" s="3"/>
      <c r="H173" s="3" t="s">
        <v>163</v>
      </c>
      <c r="I173" s="3"/>
      <c r="J173" s="3" t="s">
        <v>163</v>
      </c>
      <c r="K173" s="3"/>
      <c r="L173" s="3" t="s">
        <v>191</v>
      </c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</row>
    <row r="174" spans="1:36" ht="15.75" customHeight="1">
      <c r="A174" s="3" t="s">
        <v>587</v>
      </c>
      <c r="B174" s="61" t="s">
        <v>588</v>
      </c>
      <c r="C174" s="3">
        <v>39</v>
      </c>
      <c r="D174" s="3">
        <v>35</v>
      </c>
      <c r="E174" s="16">
        <v>3</v>
      </c>
      <c r="F174" s="3" t="s">
        <v>589</v>
      </c>
      <c r="G174" s="3"/>
      <c r="H174" s="3" t="s">
        <v>163</v>
      </c>
      <c r="I174" s="3" t="s">
        <v>163</v>
      </c>
      <c r="J174" s="3" t="s">
        <v>163</v>
      </c>
      <c r="K174" s="3"/>
      <c r="L174" s="3" t="s">
        <v>191</v>
      </c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</row>
    <row r="175" spans="1:36" ht="15.75" customHeight="1">
      <c r="A175" s="3" t="s">
        <v>587</v>
      </c>
      <c r="B175" s="61" t="s">
        <v>590</v>
      </c>
      <c r="C175" s="3">
        <v>39</v>
      </c>
      <c r="D175" s="3">
        <v>35</v>
      </c>
      <c r="E175" s="16">
        <v>1</v>
      </c>
      <c r="F175" s="3" t="s">
        <v>591</v>
      </c>
      <c r="G175" s="3"/>
      <c r="H175" s="3" t="s">
        <v>163</v>
      </c>
      <c r="I175" s="3" t="s">
        <v>163</v>
      </c>
      <c r="J175" s="3"/>
      <c r="K175" s="3" t="s">
        <v>163</v>
      </c>
      <c r="L175" s="3" t="s">
        <v>163</v>
      </c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 ht="15.75" customHeight="1">
      <c r="A176" s="3" t="s">
        <v>394</v>
      </c>
      <c r="B176" s="61" t="s">
        <v>592</v>
      </c>
      <c r="C176" s="3">
        <v>39</v>
      </c>
      <c r="D176" s="3">
        <v>35</v>
      </c>
      <c r="E176" s="16">
        <v>4</v>
      </c>
      <c r="F176" s="3" t="s">
        <v>593</v>
      </c>
      <c r="G176" s="3"/>
      <c r="H176" s="3" t="s">
        <v>163</v>
      </c>
      <c r="I176" s="3" t="s">
        <v>163</v>
      </c>
      <c r="J176" s="3" t="s">
        <v>163</v>
      </c>
      <c r="K176" s="3"/>
      <c r="L176" s="3" t="s">
        <v>163</v>
      </c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</row>
    <row r="177" spans="1:36" ht="15.75" customHeight="1">
      <c r="A177" s="3" t="s">
        <v>594</v>
      </c>
      <c r="B177" s="61" t="s">
        <v>595</v>
      </c>
      <c r="C177" s="3">
        <v>39</v>
      </c>
      <c r="D177" s="3">
        <v>20</v>
      </c>
      <c r="E177" s="16">
        <v>1</v>
      </c>
      <c r="F177" s="3" t="s">
        <v>596</v>
      </c>
      <c r="G177" s="3" t="s">
        <v>163</v>
      </c>
      <c r="H177" s="3"/>
      <c r="I177" s="3"/>
      <c r="J177" s="3"/>
      <c r="K177" s="3"/>
      <c r="L177" s="3" t="s">
        <v>163</v>
      </c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</row>
    <row r="178" spans="1:36" ht="15.75" customHeight="1">
      <c r="A178" s="3" t="s">
        <v>597</v>
      </c>
      <c r="B178" s="61" t="s">
        <v>598</v>
      </c>
      <c r="C178" s="3">
        <v>39</v>
      </c>
      <c r="D178" s="3">
        <v>25</v>
      </c>
      <c r="E178" s="16">
        <v>1</v>
      </c>
      <c r="F178" s="3" t="s">
        <v>599</v>
      </c>
      <c r="G178" s="3"/>
      <c r="H178" s="3"/>
      <c r="I178" s="3"/>
      <c r="J178" s="3"/>
      <c r="K178" s="3" t="s">
        <v>163</v>
      </c>
      <c r="L178" s="3" t="s">
        <v>191</v>
      </c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</row>
    <row r="179" spans="1:36" ht="15.75" customHeight="1">
      <c r="A179" s="3" t="s">
        <v>195</v>
      </c>
      <c r="B179" s="61" t="s">
        <v>600</v>
      </c>
      <c r="C179" s="3">
        <v>39</v>
      </c>
      <c r="D179" s="3">
        <v>20</v>
      </c>
      <c r="E179" s="72">
        <v>4</v>
      </c>
      <c r="F179" s="3" t="s">
        <v>601</v>
      </c>
      <c r="G179" s="3"/>
      <c r="H179" s="3" t="s">
        <v>163</v>
      </c>
      <c r="I179" s="3" t="s">
        <v>163</v>
      </c>
      <c r="J179" s="3"/>
      <c r="K179" s="3"/>
      <c r="L179" s="3" t="s">
        <v>191</v>
      </c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 ht="15.75" customHeight="1">
      <c r="A180" s="3" t="s">
        <v>175</v>
      </c>
      <c r="B180" s="61" t="s">
        <v>582</v>
      </c>
      <c r="C180" s="3">
        <v>38</v>
      </c>
      <c r="D180" s="65">
        <v>5</v>
      </c>
      <c r="E180" s="69">
        <v>2</v>
      </c>
      <c r="F180" s="3" t="s">
        <v>344</v>
      </c>
      <c r="G180" s="3" t="s">
        <v>163</v>
      </c>
      <c r="H180" s="3"/>
      <c r="I180" s="3"/>
      <c r="J180" s="3"/>
      <c r="K180" s="3"/>
      <c r="L180" s="3" t="s">
        <v>163</v>
      </c>
      <c r="M180" s="18"/>
      <c r="N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</row>
    <row r="181" spans="1:36" ht="15.75" customHeight="1">
      <c r="A181" s="3" t="s">
        <v>192</v>
      </c>
      <c r="B181" s="61" t="s">
        <v>602</v>
      </c>
      <c r="C181" s="3">
        <v>38</v>
      </c>
      <c r="D181" s="65">
        <v>32</v>
      </c>
      <c r="E181" s="69" t="s">
        <v>180</v>
      </c>
      <c r="F181" s="18"/>
      <c r="G181" s="18"/>
      <c r="H181" s="18"/>
      <c r="I181" s="18"/>
      <c r="J181" s="18"/>
      <c r="K181" s="18"/>
      <c r="L181" s="3" t="s">
        <v>191</v>
      </c>
      <c r="M181" s="18"/>
      <c r="N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</row>
    <row r="182" spans="1:36" ht="15.75" customHeight="1">
      <c r="A182" s="3" t="s">
        <v>603</v>
      </c>
      <c r="B182" s="61" t="s">
        <v>604</v>
      </c>
      <c r="C182" s="3">
        <v>38</v>
      </c>
      <c r="D182" s="65">
        <v>22</v>
      </c>
      <c r="E182" s="69">
        <v>48</v>
      </c>
      <c r="F182" s="3" t="s">
        <v>605</v>
      </c>
      <c r="G182" s="3"/>
      <c r="H182" s="3" t="s">
        <v>163</v>
      </c>
      <c r="I182" s="3"/>
      <c r="J182" s="3" t="s">
        <v>163</v>
      </c>
      <c r="K182" s="3" t="s">
        <v>163</v>
      </c>
      <c r="L182" s="3" t="s">
        <v>191</v>
      </c>
      <c r="M182" s="18"/>
      <c r="N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</row>
    <row r="183" spans="1:36" ht="15.75" customHeight="1">
      <c r="A183" s="3" t="s">
        <v>606</v>
      </c>
      <c r="B183" s="61" t="s">
        <v>607</v>
      </c>
      <c r="C183" s="3">
        <v>38</v>
      </c>
      <c r="D183" s="65">
        <v>15</v>
      </c>
      <c r="E183" s="69">
        <v>2</v>
      </c>
      <c r="F183" s="18"/>
      <c r="G183" s="18"/>
      <c r="H183" s="18"/>
      <c r="I183" s="18"/>
      <c r="J183" s="18"/>
      <c r="K183" s="18"/>
      <c r="L183" s="3" t="s">
        <v>163</v>
      </c>
      <c r="M183" s="18"/>
      <c r="N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 ht="15.75" customHeight="1">
      <c r="A184" s="3" t="s">
        <v>166</v>
      </c>
      <c r="B184" s="61" t="s">
        <v>608</v>
      </c>
      <c r="C184" s="3">
        <v>38</v>
      </c>
      <c r="D184" s="65">
        <v>35</v>
      </c>
      <c r="E184" s="69">
        <v>10</v>
      </c>
      <c r="F184" s="3"/>
      <c r="G184" s="3"/>
      <c r="H184" s="3"/>
      <c r="I184" s="3"/>
      <c r="J184" s="3"/>
      <c r="K184" s="3"/>
      <c r="L184" s="3" t="s">
        <v>191</v>
      </c>
      <c r="M184" s="18"/>
      <c r="N184" s="18"/>
      <c r="T184" s="18"/>
      <c r="AB184" s="18"/>
      <c r="AC184" s="18"/>
      <c r="AD184" s="18"/>
      <c r="AE184" s="18"/>
      <c r="AF184" s="18"/>
      <c r="AG184" s="18"/>
      <c r="AH184" s="18"/>
      <c r="AI184" s="18"/>
      <c r="AJ184" s="18"/>
    </row>
    <row r="185" spans="1:36" ht="15.75" customHeight="1">
      <c r="A185" s="3" t="s">
        <v>609</v>
      </c>
      <c r="B185" s="61" t="s">
        <v>610</v>
      </c>
      <c r="C185" s="3">
        <v>38</v>
      </c>
      <c r="D185" s="3">
        <v>45</v>
      </c>
      <c r="E185" s="16">
        <v>3</v>
      </c>
      <c r="F185" s="3" t="s">
        <v>611</v>
      </c>
      <c r="G185" s="3"/>
      <c r="H185" s="3"/>
      <c r="I185" s="3" t="s">
        <v>163</v>
      </c>
      <c r="J185" s="3" t="s">
        <v>163</v>
      </c>
      <c r="K185" s="3" t="s">
        <v>163</v>
      </c>
      <c r="L185" s="3" t="s">
        <v>191</v>
      </c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</row>
    <row r="186" spans="1:36" ht="15.75" customHeight="1">
      <c r="A186" s="3" t="s">
        <v>612</v>
      </c>
      <c r="B186" s="61" t="s">
        <v>613</v>
      </c>
      <c r="C186" s="3">
        <v>38</v>
      </c>
      <c r="D186" s="3">
        <v>60</v>
      </c>
      <c r="E186" s="16">
        <v>22</v>
      </c>
      <c r="F186" s="3"/>
      <c r="G186" s="3"/>
      <c r="H186" s="3"/>
      <c r="I186" s="3" t="s">
        <v>163</v>
      </c>
      <c r="J186" s="3" t="s">
        <v>163</v>
      </c>
      <c r="K186" s="3"/>
      <c r="L186" s="3" t="s">
        <v>163</v>
      </c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</row>
    <row r="187" spans="1:36" ht="15.75" customHeight="1">
      <c r="A187" s="3" t="s">
        <v>339</v>
      </c>
      <c r="B187" s="61" t="s">
        <v>614</v>
      </c>
      <c r="C187" s="3">
        <v>37</v>
      </c>
      <c r="D187" s="65">
        <v>45</v>
      </c>
      <c r="E187" s="69">
        <v>5</v>
      </c>
      <c r="F187" s="3"/>
      <c r="G187" s="3"/>
      <c r="H187" s="3"/>
      <c r="I187" s="3"/>
      <c r="J187" s="3"/>
      <c r="K187" s="3" t="s">
        <v>163</v>
      </c>
      <c r="L187" s="3" t="s">
        <v>191</v>
      </c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 ht="15.75" customHeight="1">
      <c r="A188" s="3" t="s">
        <v>615</v>
      </c>
      <c r="B188" s="61" t="s">
        <v>616</v>
      </c>
      <c r="C188" s="3">
        <v>37</v>
      </c>
      <c r="D188" s="65">
        <v>35</v>
      </c>
      <c r="E188" s="69">
        <v>4</v>
      </c>
      <c r="F188" s="3" t="s">
        <v>617</v>
      </c>
      <c r="G188" s="3"/>
      <c r="H188" s="3"/>
      <c r="I188" s="3" t="s">
        <v>163</v>
      </c>
      <c r="J188" s="3"/>
      <c r="K188" s="3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</row>
    <row r="189" spans="1:36" ht="15.75" customHeight="1">
      <c r="A189" s="3" t="s">
        <v>618</v>
      </c>
      <c r="B189" s="61" t="s">
        <v>619</v>
      </c>
      <c r="C189" s="3">
        <v>37</v>
      </c>
      <c r="D189" s="3" t="s">
        <v>418</v>
      </c>
      <c r="E189" s="16">
        <v>3</v>
      </c>
      <c r="F189" s="3"/>
      <c r="G189" s="3"/>
      <c r="H189" s="3" t="s">
        <v>163</v>
      </c>
      <c r="I189" s="3"/>
      <c r="J189" s="3"/>
      <c r="K189" s="3"/>
      <c r="L189" s="18"/>
      <c r="M189" s="18"/>
      <c r="N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</row>
    <row r="190" spans="1:36" ht="15.75" customHeight="1">
      <c r="A190" s="75" t="s">
        <v>374</v>
      </c>
      <c r="B190" s="61" t="s">
        <v>621</v>
      </c>
      <c r="C190" s="3">
        <v>37</v>
      </c>
      <c r="D190" s="3">
        <v>30</v>
      </c>
      <c r="E190" s="16" t="s">
        <v>180</v>
      </c>
      <c r="F190" s="3"/>
      <c r="G190" s="3"/>
      <c r="H190" s="3"/>
      <c r="I190" s="3" t="s">
        <v>163</v>
      </c>
      <c r="J190" s="3"/>
      <c r="K190" s="3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</row>
    <row r="191" spans="1:36" ht="15.75" customHeight="1">
      <c r="A191" s="80" t="s">
        <v>622</v>
      </c>
      <c r="B191" s="61" t="s">
        <v>623</v>
      </c>
      <c r="C191" s="3">
        <v>37</v>
      </c>
      <c r="D191" s="65">
        <v>5</v>
      </c>
      <c r="E191" s="91">
        <v>19</v>
      </c>
      <c r="F191" s="3"/>
      <c r="G191" s="3"/>
      <c r="H191" s="3" t="s">
        <v>163</v>
      </c>
      <c r="I191" s="3"/>
      <c r="J191" s="3" t="s">
        <v>163</v>
      </c>
      <c r="K191" s="3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 ht="15.75" customHeight="1">
      <c r="A192" s="3" t="s">
        <v>624</v>
      </c>
      <c r="B192" s="61" t="s">
        <v>625</v>
      </c>
      <c r="C192" s="3">
        <v>37</v>
      </c>
      <c r="D192" s="65">
        <v>40</v>
      </c>
      <c r="E192" s="69">
        <v>6</v>
      </c>
      <c r="F192" s="37" t="s">
        <v>626</v>
      </c>
      <c r="G192" s="37"/>
      <c r="H192" s="31" t="s">
        <v>163</v>
      </c>
      <c r="I192" s="37"/>
      <c r="J192" s="31" t="s">
        <v>163</v>
      </c>
      <c r="K192" s="37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</row>
    <row r="193" spans="1:36" ht="15.75" customHeight="1">
      <c r="A193" s="3" t="s">
        <v>627</v>
      </c>
      <c r="B193" s="61" t="s">
        <v>628</v>
      </c>
      <c r="C193" s="3">
        <v>37</v>
      </c>
      <c r="D193" s="3">
        <v>30</v>
      </c>
      <c r="E193" s="16">
        <v>19</v>
      </c>
      <c r="F193" s="3"/>
      <c r="G193" s="3"/>
      <c r="H193" s="3"/>
      <c r="I193" s="3" t="s">
        <v>163</v>
      </c>
      <c r="J193" s="3" t="s">
        <v>163</v>
      </c>
      <c r="K193" s="3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</row>
    <row r="194" spans="1:36" ht="15.75" customHeight="1">
      <c r="A194" s="3" t="s">
        <v>358</v>
      </c>
      <c r="B194" s="61" t="s">
        <v>629</v>
      </c>
      <c r="C194" s="3">
        <v>37</v>
      </c>
      <c r="D194" s="3">
        <v>65</v>
      </c>
      <c r="E194" s="16">
        <v>2</v>
      </c>
      <c r="F194" s="3" t="s">
        <v>630</v>
      </c>
      <c r="G194" s="3"/>
      <c r="H194" s="3"/>
      <c r="I194" s="3"/>
      <c r="J194" s="3"/>
      <c r="K194" s="3" t="s">
        <v>163</v>
      </c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</row>
    <row r="195" spans="1:36" ht="15.75" customHeight="1">
      <c r="A195" s="3" t="s">
        <v>517</v>
      </c>
      <c r="B195" s="89" t="s">
        <v>631</v>
      </c>
      <c r="C195" s="3">
        <v>36</v>
      </c>
      <c r="D195" s="65">
        <v>20</v>
      </c>
      <c r="E195" s="69" t="s">
        <v>180</v>
      </c>
      <c r="F195" s="3"/>
      <c r="G195" s="3"/>
      <c r="H195" s="3" t="s">
        <v>163</v>
      </c>
      <c r="I195" s="3" t="s">
        <v>163</v>
      </c>
      <c r="J195" s="3" t="s">
        <v>163</v>
      </c>
      <c r="K195" s="3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 ht="15.75" customHeight="1">
      <c r="A196" s="84" t="s">
        <v>348</v>
      </c>
      <c r="B196" s="61" t="s">
        <v>632</v>
      </c>
      <c r="C196" s="3">
        <v>36</v>
      </c>
      <c r="D196" s="65">
        <v>85</v>
      </c>
      <c r="E196" s="16">
        <v>13</v>
      </c>
      <c r="F196" s="3" t="s">
        <v>633</v>
      </c>
      <c r="G196" s="3"/>
      <c r="H196" s="3"/>
      <c r="I196" s="3"/>
      <c r="J196" s="3"/>
      <c r="K196" s="3" t="s">
        <v>163</v>
      </c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 ht="15.75" customHeight="1">
      <c r="A197" s="84" t="s">
        <v>348</v>
      </c>
      <c r="B197" s="61" t="s">
        <v>634</v>
      </c>
      <c r="C197" s="3">
        <v>36</v>
      </c>
      <c r="D197" s="65">
        <v>85</v>
      </c>
      <c r="E197" s="16">
        <v>11</v>
      </c>
      <c r="F197" s="3" t="s">
        <v>398</v>
      </c>
      <c r="G197" s="3"/>
      <c r="H197" s="3"/>
      <c r="I197" s="3"/>
      <c r="J197" s="3"/>
      <c r="K197" s="3" t="s">
        <v>163</v>
      </c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 ht="15.75" customHeight="1">
      <c r="A198" s="3" t="s">
        <v>635</v>
      </c>
      <c r="B198" s="61" t="s">
        <v>636</v>
      </c>
      <c r="C198" s="3">
        <v>35</v>
      </c>
      <c r="D198" s="69" t="s">
        <v>637</v>
      </c>
      <c r="E198" s="69">
        <v>6</v>
      </c>
      <c r="F198" s="3" t="s">
        <v>638</v>
      </c>
      <c r="G198" s="3" t="s">
        <v>163</v>
      </c>
      <c r="H198" s="3"/>
      <c r="I198" s="3"/>
      <c r="J198" s="3"/>
      <c r="K198" s="3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 ht="15.75" customHeight="1">
      <c r="A199" s="3" t="s">
        <v>639</v>
      </c>
      <c r="B199" s="61" t="s">
        <v>640</v>
      </c>
      <c r="C199" s="3">
        <v>35</v>
      </c>
      <c r="D199" s="65">
        <v>45</v>
      </c>
      <c r="E199" s="69">
        <v>1</v>
      </c>
      <c r="F199" s="3" t="s">
        <v>641</v>
      </c>
      <c r="G199" s="3"/>
      <c r="H199" s="3"/>
      <c r="I199" s="3"/>
      <c r="J199" s="3"/>
      <c r="K199" s="3" t="s">
        <v>163</v>
      </c>
      <c r="L199" s="18"/>
      <c r="M199" s="18"/>
      <c r="N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 ht="15.75" customHeight="1">
      <c r="A200" s="3" t="s">
        <v>541</v>
      </c>
      <c r="B200" s="61" t="s">
        <v>642</v>
      </c>
      <c r="C200" s="3">
        <v>35</v>
      </c>
      <c r="D200" s="65">
        <v>10</v>
      </c>
      <c r="E200" s="69" t="s">
        <v>180</v>
      </c>
      <c r="F200" s="3" t="s">
        <v>643</v>
      </c>
      <c r="G200" s="3"/>
      <c r="H200" s="3"/>
      <c r="I200" s="3"/>
      <c r="J200" s="3"/>
      <c r="K200" s="3"/>
      <c r="L200" s="18"/>
      <c r="M200" s="18"/>
      <c r="N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 ht="15.75" customHeight="1">
      <c r="A201" s="72" t="s">
        <v>268</v>
      </c>
      <c r="B201" s="60" t="s">
        <v>644</v>
      </c>
      <c r="C201" s="72">
        <v>35</v>
      </c>
      <c r="D201" s="72">
        <v>39</v>
      </c>
      <c r="E201" s="72">
        <v>6</v>
      </c>
      <c r="F201" s="72" t="s">
        <v>645</v>
      </c>
      <c r="G201" s="72"/>
      <c r="H201" s="72"/>
      <c r="I201" s="72" t="s">
        <v>163</v>
      </c>
      <c r="J201" s="72"/>
      <c r="K201" s="72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 ht="15.75" customHeight="1">
      <c r="A202" s="3" t="s">
        <v>646</v>
      </c>
      <c r="B202" s="61" t="s">
        <v>647</v>
      </c>
      <c r="C202" s="3">
        <v>35</v>
      </c>
      <c r="D202" s="3">
        <v>35</v>
      </c>
      <c r="E202" s="16">
        <v>11</v>
      </c>
      <c r="F202" s="3" t="s">
        <v>410</v>
      </c>
      <c r="G202" s="3" t="s">
        <v>163</v>
      </c>
      <c r="H202" s="3"/>
      <c r="I202" s="3"/>
      <c r="J202" s="3"/>
      <c r="K202" s="3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 ht="15.75" customHeight="1">
      <c r="A203" s="3" t="s">
        <v>648</v>
      </c>
      <c r="B203" s="61" t="s">
        <v>649</v>
      </c>
      <c r="C203" s="3">
        <v>34</v>
      </c>
      <c r="D203" s="65">
        <v>35</v>
      </c>
      <c r="E203" s="69">
        <v>6</v>
      </c>
      <c r="F203" s="3" t="s">
        <v>650</v>
      </c>
      <c r="G203" s="3"/>
      <c r="H203" s="3"/>
      <c r="I203" s="3" t="s">
        <v>163</v>
      </c>
      <c r="J203" s="3" t="s">
        <v>163</v>
      </c>
      <c r="K203" s="3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 ht="15.75" customHeight="1">
      <c r="A204" s="72" t="s">
        <v>268</v>
      </c>
      <c r="B204" s="60" t="s">
        <v>651</v>
      </c>
      <c r="C204" s="72">
        <v>34</v>
      </c>
      <c r="D204" s="72">
        <v>29</v>
      </c>
      <c r="E204" s="72">
        <v>11</v>
      </c>
      <c r="F204" s="72" t="s">
        <v>617</v>
      </c>
      <c r="G204" s="72"/>
      <c r="H204" s="72"/>
      <c r="I204" s="72" t="s">
        <v>163</v>
      </c>
      <c r="J204" s="72"/>
      <c r="K204" s="72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 ht="15.75" customHeight="1">
      <c r="A205" s="75" t="s">
        <v>374</v>
      </c>
      <c r="B205" s="61" t="s">
        <v>652</v>
      </c>
      <c r="C205" s="3">
        <v>34</v>
      </c>
      <c r="D205" s="3">
        <v>30</v>
      </c>
      <c r="E205" s="16" t="s">
        <v>180</v>
      </c>
      <c r="F205" s="3" t="s">
        <v>653</v>
      </c>
      <c r="G205" s="3"/>
      <c r="H205" s="3"/>
      <c r="I205" s="3"/>
      <c r="J205" s="3" t="s">
        <v>163</v>
      </c>
      <c r="K205" s="3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 ht="15.75" customHeight="1">
      <c r="A206" s="84" t="s">
        <v>348</v>
      </c>
      <c r="B206" s="61" t="s">
        <v>654</v>
      </c>
      <c r="C206" s="3">
        <v>34</v>
      </c>
      <c r="D206" s="65">
        <v>85</v>
      </c>
      <c r="E206" s="16">
        <v>10</v>
      </c>
      <c r="F206" s="3" t="s">
        <v>633</v>
      </c>
      <c r="G206" s="3"/>
      <c r="H206" s="3"/>
      <c r="I206" s="3"/>
      <c r="J206" s="3"/>
      <c r="K206" s="3" t="s">
        <v>163</v>
      </c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 ht="15.75" customHeight="1">
      <c r="A207" s="3" t="s">
        <v>655</v>
      </c>
      <c r="B207" s="61" t="s">
        <v>656</v>
      </c>
      <c r="C207" s="3">
        <v>34</v>
      </c>
      <c r="D207" s="3">
        <v>70</v>
      </c>
      <c r="E207" s="16">
        <v>0</v>
      </c>
      <c r="F207" s="3" t="s">
        <v>657</v>
      </c>
      <c r="G207" s="3"/>
      <c r="H207" s="3"/>
      <c r="I207" s="3" t="s">
        <v>163</v>
      </c>
      <c r="J207" s="3" t="s">
        <v>163</v>
      </c>
      <c r="K207" s="3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 ht="15.75" customHeight="1">
      <c r="A208" s="3" t="s">
        <v>658</v>
      </c>
      <c r="B208" s="61" t="s">
        <v>659</v>
      </c>
      <c r="C208" s="3">
        <v>34</v>
      </c>
      <c r="D208" s="3">
        <v>37</v>
      </c>
      <c r="E208" s="16">
        <v>1</v>
      </c>
      <c r="F208" s="3" t="s">
        <v>660</v>
      </c>
      <c r="G208" s="3"/>
      <c r="H208" s="3"/>
      <c r="I208" s="3" t="s">
        <v>163</v>
      </c>
      <c r="J208" s="3"/>
      <c r="K208" s="3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 ht="15.75" customHeight="1">
      <c r="A209" s="3" t="s">
        <v>195</v>
      </c>
      <c r="B209" s="61" t="s">
        <v>662</v>
      </c>
      <c r="C209" s="3">
        <v>34</v>
      </c>
      <c r="D209" s="3">
        <v>50</v>
      </c>
      <c r="E209" s="72">
        <v>4</v>
      </c>
      <c r="F209" s="3" t="s">
        <v>663</v>
      </c>
      <c r="G209" s="3"/>
      <c r="H209" s="3"/>
      <c r="I209" s="3"/>
      <c r="J209" s="3"/>
      <c r="K209" s="3" t="s">
        <v>163</v>
      </c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 ht="15.75" customHeight="1">
      <c r="A210" s="3" t="s">
        <v>195</v>
      </c>
      <c r="B210" s="61" t="s">
        <v>664</v>
      </c>
      <c r="C210" s="3">
        <v>34</v>
      </c>
      <c r="D210" s="3">
        <v>50</v>
      </c>
      <c r="E210" s="72">
        <v>1</v>
      </c>
      <c r="F210" s="3" t="s">
        <v>665</v>
      </c>
      <c r="G210" s="3"/>
      <c r="H210" s="3"/>
      <c r="I210" s="3"/>
      <c r="J210" s="3"/>
      <c r="K210" s="3" t="s">
        <v>163</v>
      </c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 ht="15.75" customHeight="1">
      <c r="A211" s="3" t="s">
        <v>541</v>
      </c>
      <c r="B211" s="61" t="s">
        <v>666</v>
      </c>
      <c r="C211" s="3">
        <v>33</v>
      </c>
      <c r="D211" s="65">
        <v>10</v>
      </c>
      <c r="E211" s="69" t="s">
        <v>180</v>
      </c>
      <c r="F211" s="3" t="s">
        <v>94</v>
      </c>
      <c r="G211" s="3"/>
      <c r="H211" s="3"/>
      <c r="I211" s="3" t="s">
        <v>163</v>
      </c>
      <c r="J211" s="3"/>
      <c r="K211" s="3" t="s">
        <v>163</v>
      </c>
      <c r="L211" s="18"/>
      <c r="M211" s="18"/>
      <c r="N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 ht="15.75" customHeight="1">
      <c r="A212" s="3" t="s">
        <v>587</v>
      </c>
      <c r="B212" s="61" t="s">
        <v>667</v>
      </c>
      <c r="C212" s="3">
        <v>33</v>
      </c>
      <c r="D212" s="3">
        <v>35</v>
      </c>
      <c r="E212" s="16">
        <v>1</v>
      </c>
      <c r="F212" s="3" t="s">
        <v>668</v>
      </c>
      <c r="G212" s="3"/>
      <c r="H212" s="3" t="s">
        <v>163</v>
      </c>
      <c r="I212" s="3"/>
      <c r="J212" s="3" t="s">
        <v>163</v>
      </c>
      <c r="K212" s="3" t="s">
        <v>163</v>
      </c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 ht="15.75" customHeight="1">
      <c r="A213" s="3" t="s">
        <v>263</v>
      </c>
      <c r="B213" s="61" t="s">
        <v>669</v>
      </c>
      <c r="C213" s="3">
        <v>33</v>
      </c>
      <c r="D213" s="3">
        <v>40</v>
      </c>
      <c r="E213" s="16">
        <v>3</v>
      </c>
      <c r="F213" s="3" t="s">
        <v>670</v>
      </c>
      <c r="G213" s="3"/>
      <c r="H213" s="3"/>
      <c r="I213" s="3" t="s">
        <v>163</v>
      </c>
      <c r="J213" s="3" t="s">
        <v>163</v>
      </c>
      <c r="K213" s="3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 ht="15.75" customHeight="1">
      <c r="A214" s="75" t="s">
        <v>374</v>
      </c>
      <c r="B214" s="61" t="s">
        <v>671</v>
      </c>
      <c r="C214" s="3">
        <v>33</v>
      </c>
      <c r="D214" s="3">
        <v>30</v>
      </c>
      <c r="E214" s="16">
        <v>28</v>
      </c>
      <c r="F214" s="3" t="s">
        <v>330</v>
      </c>
      <c r="G214" s="3"/>
      <c r="H214" s="3" t="s">
        <v>163</v>
      </c>
      <c r="I214" s="3" t="s">
        <v>163</v>
      </c>
      <c r="J214" s="3"/>
      <c r="K214" s="3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 ht="15.75" customHeight="1">
      <c r="A215" s="84" t="s">
        <v>348</v>
      </c>
      <c r="B215" s="61" t="s">
        <v>672</v>
      </c>
      <c r="C215" s="3">
        <v>33</v>
      </c>
      <c r="D215" s="65">
        <v>85</v>
      </c>
      <c r="E215" s="16">
        <v>13</v>
      </c>
      <c r="F215" s="3" t="s">
        <v>633</v>
      </c>
      <c r="G215" s="3"/>
      <c r="H215" s="3"/>
      <c r="I215" s="3"/>
      <c r="J215" s="3"/>
      <c r="K215" s="3" t="s">
        <v>163</v>
      </c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 ht="15.75" customHeight="1">
      <c r="A216" s="3" t="s">
        <v>195</v>
      </c>
      <c r="B216" s="61" t="s">
        <v>673</v>
      </c>
      <c r="C216" s="3">
        <v>33</v>
      </c>
      <c r="D216" s="3">
        <v>25</v>
      </c>
      <c r="E216" s="16">
        <v>2</v>
      </c>
      <c r="F216" s="3" t="s">
        <v>410</v>
      </c>
      <c r="G216" s="3" t="s">
        <v>163</v>
      </c>
      <c r="H216" s="3"/>
      <c r="I216" s="3"/>
      <c r="J216" s="3"/>
      <c r="K216" s="3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 ht="15.75" customHeight="1">
      <c r="A217" s="3" t="s">
        <v>304</v>
      </c>
      <c r="B217" s="61" t="s">
        <v>674</v>
      </c>
      <c r="C217" s="3">
        <v>32</v>
      </c>
      <c r="D217" s="65">
        <v>22</v>
      </c>
      <c r="E217" s="69">
        <v>2</v>
      </c>
      <c r="F217" s="3" t="s">
        <v>675</v>
      </c>
      <c r="G217" s="3"/>
      <c r="H217" s="3"/>
      <c r="I217" s="3"/>
      <c r="J217" s="3" t="s">
        <v>163</v>
      </c>
      <c r="K217" s="3"/>
      <c r="L217" s="18"/>
      <c r="M217" s="18"/>
      <c r="N217" s="3" t="s">
        <v>163</v>
      </c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 ht="15.75" customHeight="1">
      <c r="A218" s="3" t="s">
        <v>676</v>
      </c>
      <c r="B218" s="61" t="s">
        <v>677</v>
      </c>
      <c r="C218" s="3">
        <v>32</v>
      </c>
      <c r="D218" s="65">
        <v>25</v>
      </c>
      <c r="E218" s="69">
        <v>2</v>
      </c>
      <c r="F218" s="65" t="s">
        <v>230</v>
      </c>
      <c r="G218" s="65"/>
      <c r="H218" s="65"/>
      <c r="I218" s="65"/>
      <c r="J218" s="65"/>
      <c r="K218" s="65" t="s">
        <v>163</v>
      </c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 ht="15.75" customHeight="1">
      <c r="A219" s="3" t="s">
        <v>678</v>
      </c>
      <c r="B219" s="61" t="s">
        <v>679</v>
      </c>
      <c r="C219" s="3">
        <v>32</v>
      </c>
      <c r="D219" s="3" t="s">
        <v>418</v>
      </c>
      <c r="E219" s="16">
        <v>3</v>
      </c>
      <c r="F219" s="3" t="s">
        <v>680</v>
      </c>
      <c r="G219" s="3"/>
      <c r="H219" s="3"/>
      <c r="I219" s="3"/>
      <c r="J219" s="3" t="s">
        <v>163</v>
      </c>
      <c r="K219" s="3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 ht="15.75" customHeight="1">
      <c r="A220" s="80" t="s">
        <v>622</v>
      </c>
      <c r="B220" s="61" t="s">
        <v>681</v>
      </c>
      <c r="C220" s="3">
        <v>32</v>
      </c>
      <c r="D220" s="3">
        <v>5</v>
      </c>
      <c r="E220" s="16">
        <v>0</v>
      </c>
      <c r="F220" s="3" t="s">
        <v>683</v>
      </c>
      <c r="G220" s="3"/>
      <c r="H220" s="3" t="s">
        <v>163</v>
      </c>
      <c r="I220" s="3"/>
      <c r="J220" s="3" t="s">
        <v>163</v>
      </c>
      <c r="K220" s="3" t="s">
        <v>163</v>
      </c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 ht="15.75" customHeight="1">
      <c r="A221" s="3" t="s">
        <v>684</v>
      </c>
      <c r="B221" s="61" t="s">
        <v>685</v>
      </c>
      <c r="C221" s="3">
        <v>32</v>
      </c>
      <c r="D221" s="3">
        <v>12</v>
      </c>
      <c r="E221" s="16">
        <v>1</v>
      </c>
      <c r="F221" s="3" t="s">
        <v>490</v>
      </c>
      <c r="G221" s="3"/>
      <c r="H221" s="3"/>
      <c r="I221" s="3" t="s">
        <v>163</v>
      </c>
      <c r="J221" s="3"/>
      <c r="K221" s="3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 ht="15.75" customHeight="1">
      <c r="A222" s="3" t="s">
        <v>450</v>
      </c>
      <c r="B222" s="61" t="s">
        <v>686</v>
      </c>
      <c r="C222" s="3">
        <v>32</v>
      </c>
      <c r="D222" s="3">
        <v>20</v>
      </c>
      <c r="E222" s="16">
        <v>13</v>
      </c>
      <c r="F222" s="3" t="s">
        <v>585</v>
      </c>
      <c r="G222" s="3"/>
      <c r="H222" s="3" t="s">
        <v>163</v>
      </c>
      <c r="I222" s="3"/>
      <c r="J222" s="3" t="s">
        <v>163</v>
      </c>
      <c r="K222" s="3" t="s">
        <v>163</v>
      </c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 ht="15.75" customHeight="1">
      <c r="A223" s="3" t="s">
        <v>232</v>
      </c>
      <c r="B223" s="61" t="s">
        <v>687</v>
      </c>
      <c r="C223" s="3">
        <v>32</v>
      </c>
      <c r="D223" s="3">
        <v>20</v>
      </c>
      <c r="E223" s="16">
        <v>5</v>
      </c>
      <c r="F223" s="3" t="s">
        <v>688</v>
      </c>
      <c r="G223" s="3"/>
      <c r="H223" s="3"/>
      <c r="I223" s="3"/>
      <c r="J223" s="3"/>
      <c r="K223" s="3" t="s">
        <v>163</v>
      </c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 ht="15.75" customHeight="1">
      <c r="A224" s="83" t="s">
        <v>689</v>
      </c>
      <c r="B224" s="61" t="s">
        <v>690</v>
      </c>
      <c r="C224" s="3">
        <v>31</v>
      </c>
      <c r="D224" s="3">
        <v>60</v>
      </c>
      <c r="E224" s="16">
        <v>1</v>
      </c>
      <c r="F224" s="3" t="s">
        <v>691</v>
      </c>
      <c r="G224" s="3"/>
      <c r="H224" s="3"/>
      <c r="I224" s="3"/>
      <c r="J224" s="3" t="s">
        <v>163</v>
      </c>
      <c r="K224" s="3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 ht="15.75" customHeight="1">
      <c r="A225" s="3" t="s">
        <v>394</v>
      </c>
      <c r="B225" s="61" t="s">
        <v>692</v>
      </c>
      <c r="C225" s="3">
        <v>31</v>
      </c>
      <c r="D225" s="3">
        <v>35</v>
      </c>
      <c r="E225" s="16">
        <v>1</v>
      </c>
      <c r="F225" s="3" t="s">
        <v>693</v>
      </c>
      <c r="G225" s="3"/>
      <c r="H225" s="3" t="s">
        <v>163</v>
      </c>
      <c r="I225" s="3"/>
      <c r="J225" s="3" t="s">
        <v>163</v>
      </c>
      <c r="K225" s="3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 ht="15.75" customHeight="1">
      <c r="A226" s="3" t="s">
        <v>694</v>
      </c>
      <c r="B226" s="61" t="s">
        <v>695</v>
      </c>
      <c r="C226" s="3">
        <v>31</v>
      </c>
      <c r="D226" s="65">
        <v>10</v>
      </c>
      <c r="E226" s="69">
        <v>5</v>
      </c>
      <c r="F226" s="3" t="s">
        <v>522</v>
      </c>
      <c r="G226" s="3"/>
      <c r="H226" s="3"/>
      <c r="I226" s="3"/>
      <c r="J226" s="3"/>
      <c r="K226" s="3" t="s">
        <v>163</v>
      </c>
      <c r="L226" s="18"/>
      <c r="M226" s="18"/>
      <c r="N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 ht="15.75" customHeight="1">
      <c r="A227" s="3" t="s">
        <v>696</v>
      </c>
      <c r="B227" s="61" t="s">
        <v>697</v>
      </c>
      <c r="C227" s="3">
        <v>31</v>
      </c>
      <c r="D227" s="65">
        <v>30</v>
      </c>
      <c r="E227" s="69">
        <v>1</v>
      </c>
      <c r="F227" s="3" t="s">
        <v>638</v>
      </c>
      <c r="G227" s="3"/>
      <c r="H227" s="3" t="s">
        <v>163</v>
      </c>
      <c r="I227" s="3"/>
      <c r="J227" s="3"/>
      <c r="K227" s="3"/>
      <c r="L227" s="18"/>
      <c r="M227" s="18"/>
      <c r="N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 ht="15.75" customHeight="1">
      <c r="A228" s="80" t="s">
        <v>622</v>
      </c>
      <c r="B228" s="61" t="s">
        <v>698</v>
      </c>
      <c r="C228" s="3">
        <v>31</v>
      </c>
      <c r="D228" s="65">
        <v>5</v>
      </c>
      <c r="E228" s="92">
        <v>9</v>
      </c>
      <c r="F228" s="3" t="s">
        <v>699</v>
      </c>
      <c r="G228" s="3"/>
      <c r="H228" s="3" t="s">
        <v>163</v>
      </c>
      <c r="I228" s="3"/>
      <c r="J228" s="3" t="s">
        <v>163</v>
      </c>
      <c r="K228" s="3" t="s">
        <v>163</v>
      </c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 ht="15.75" customHeight="1">
      <c r="A229" s="80" t="s">
        <v>622</v>
      </c>
      <c r="B229" s="61" t="s">
        <v>700</v>
      </c>
      <c r="C229" s="3">
        <v>31</v>
      </c>
      <c r="D229" s="3">
        <v>5</v>
      </c>
      <c r="E229" s="16">
        <v>0</v>
      </c>
      <c r="F229" s="3" t="s">
        <v>701</v>
      </c>
      <c r="G229" s="3"/>
      <c r="H229" s="3" t="s">
        <v>163</v>
      </c>
      <c r="I229" s="3"/>
      <c r="J229" s="3" t="s">
        <v>163</v>
      </c>
      <c r="K229" s="3" t="s">
        <v>163</v>
      </c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 ht="15.75" customHeight="1">
      <c r="A230" s="3" t="s">
        <v>702</v>
      </c>
      <c r="B230" s="61" t="s">
        <v>703</v>
      </c>
      <c r="C230" s="3">
        <v>31</v>
      </c>
      <c r="D230" s="65">
        <v>50</v>
      </c>
      <c r="E230" s="16">
        <v>1</v>
      </c>
      <c r="F230" s="3" t="s">
        <v>398</v>
      </c>
      <c r="G230" s="3"/>
      <c r="H230" s="3"/>
      <c r="I230" s="3"/>
      <c r="J230" s="3"/>
      <c r="K230" s="3" t="s">
        <v>163</v>
      </c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 ht="15.75" customHeight="1">
      <c r="A231" s="3" t="s">
        <v>172</v>
      </c>
      <c r="B231" s="61" t="s">
        <v>704</v>
      </c>
      <c r="C231" s="3">
        <v>31</v>
      </c>
      <c r="D231" s="3">
        <v>10</v>
      </c>
      <c r="E231" s="16">
        <v>6</v>
      </c>
      <c r="F231" s="3" t="s">
        <v>344</v>
      </c>
      <c r="G231" s="3" t="s">
        <v>163</v>
      </c>
      <c r="H231" s="3"/>
      <c r="I231" s="3"/>
      <c r="J231" s="3"/>
      <c r="K231" s="3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ht="15.75" customHeight="1">
      <c r="A232" s="3" t="s">
        <v>172</v>
      </c>
      <c r="B232" s="61" t="s">
        <v>705</v>
      </c>
      <c r="C232" s="3">
        <v>31</v>
      </c>
      <c r="D232" s="3">
        <v>10</v>
      </c>
      <c r="E232" s="16">
        <v>0</v>
      </c>
      <c r="F232" s="3" t="s">
        <v>706</v>
      </c>
      <c r="G232" s="3"/>
      <c r="H232" s="3"/>
      <c r="I232" s="3"/>
      <c r="J232" s="3"/>
      <c r="K232" s="3"/>
      <c r="L232" s="18"/>
      <c r="M232" s="18"/>
      <c r="N232" s="3" t="s">
        <v>163</v>
      </c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 ht="15.75" customHeight="1">
      <c r="A233" s="3" t="s">
        <v>195</v>
      </c>
      <c r="B233" s="61" t="s">
        <v>707</v>
      </c>
      <c r="C233" s="3">
        <v>31</v>
      </c>
      <c r="D233" s="3">
        <v>21</v>
      </c>
      <c r="E233" s="16">
        <v>1</v>
      </c>
      <c r="F233" s="3" t="s">
        <v>410</v>
      </c>
      <c r="G233" s="3" t="s">
        <v>163</v>
      </c>
      <c r="H233" s="3"/>
      <c r="I233" s="3"/>
      <c r="J233" s="3"/>
      <c r="K233" s="3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 ht="15.75" customHeight="1">
      <c r="A234" s="72" t="s">
        <v>192</v>
      </c>
      <c r="B234" s="60" t="s">
        <v>708</v>
      </c>
      <c r="C234" s="72">
        <v>30</v>
      </c>
      <c r="D234" s="72">
        <v>20</v>
      </c>
      <c r="E234" s="82">
        <v>11</v>
      </c>
      <c r="F234" s="72" t="s">
        <v>709</v>
      </c>
      <c r="G234" s="72"/>
      <c r="H234" s="72" t="s">
        <v>163</v>
      </c>
      <c r="I234" s="72"/>
      <c r="J234" s="72" t="s">
        <v>163</v>
      </c>
      <c r="K234" s="72" t="s">
        <v>163</v>
      </c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 ht="15.75" customHeight="1">
      <c r="A235" s="3" t="s">
        <v>710</v>
      </c>
      <c r="B235" s="61" t="s">
        <v>711</v>
      </c>
      <c r="C235" s="3">
        <v>30</v>
      </c>
      <c r="D235" s="65">
        <v>25</v>
      </c>
      <c r="E235" s="69" t="s">
        <v>180</v>
      </c>
      <c r="F235" s="3" t="s">
        <v>713</v>
      </c>
      <c r="G235" s="3"/>
      <c r="H235" s="3"/>
      <c r="I235" s="3"/>
      <c r="J235" s="3"/>
      <c r="K235" s="3" t="s">
        <v>163</v>
      </c>
      <c r="L235" s="18"/>
      <c r="M235" s="18"/>
      <c r="N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 ht="15.75" customHeight="1">
      <c r="A236" s="3" t="s">
        <v>714</v>
      </c>
      <c r="B236" s="61" t="s">
        <v>715</v>
      </c>
      <c r="C236" s="3">
        <v>30</v>
      </c>
      <c r="D236" s="65">
        <v>30</v>
      </c>
      <c r="E236" s="69" t="s">
        <v>180</v>
      </c>
      <c r="F236" s="18"/>
      <c r="G236" s="18"/>
      <c r="H236" s="18"/>
      <c r="I236" s="18"/>
      <c r="J236" s="18"/>
      <c r="K236" s="18"/>
      <c r="L236" s="18"/>
      <c r="M236" s="18"/>
      <c r="N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 ht="15.75" customHeight="1">
      <c r="A237" s="3" t="s">
        <v>366</v>
      </c>
      <c r="B237" s="61" t="s">
        <v>716</v>
      </c>
      <c r="C237" s="3">
        <v>30</v>
      </c>
      <c r="D237" s="65">
        <v>35</v>
      </c>
      <c r="E237" s="3">
        <v>3</v>
      </c>
      <c r="F237" s="3" t="s">
        <v>717</v>
      </c>
      <c r="G237" s="3"/>
      <c r="H237" s="3"/>
      <c r="I237" s="3"/>
      <c r="J237" s="3"/>
      <c r="K237" s="3" t="s">
        <v>163</v>
      </c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 ht="15.75" customHeight="1">
      <c r="A238" s="3" t="s">
        <v>718</v>
      </c>
      <c r="B238" s="61" t="s">
        <v>719</v>
      </c>
      <c r="C238" s="3">
        <v>30</v>
      </c>
      <c r="D238" s="3">
        <v>35</v>
      </c>
      <c r="E238" s="16">
        <v>9</v>
      </c>
      <c r="F238" s="3" t="s">
        <v>723</v>
      </c>
      <c r="G238" s="3"/>
      <c r="H238" s="3"/>
      <c r="I238" s="3"/>
      <c r="J238" s="3"/>
      <c r="K238" s="3" t="s">
        <v>163</v>
      </c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 ht="15.75" customHeight="1">
      <c r="A239" s="3" t="s">
        <v>728</v>
      </c>
      <c r="B239" s="61" t="s">
        <v>731</v>
      </c>
      <c r="C239" s="3">
        <v>30</v>
      </c>
      <c r="D239" s="65">
        <v>10</v>
      </c>
      <c r="E239" s="69">
        <v>7</v>
      </c>
      <c r="F239" s="18"/>
      <c r="G239" s="18"/>
      <c r="H239" s="18"/>
      <c r="I239" s="18"/>
      <c r="J239" s="18"/>
      <c r="K239" s="3"/>
      <c r="L239" s="18"/>
      <c r="M239" s="18"/>
      <c r="N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 ht="15.75" customHeight="1">
      <c r="A240" s="3" t="s">
        <v>732</v>
      </c>
      <c r="B240" s="61" t="s">
        <v>733</v>
      </c>
      <c r="C240" s="3">
        <v>30</v>
      </c>
      <c r="D240" s="65">
        <v>50</v>
      </c>
      <c r="E240" s="69">
        <v>3</v>
      </c>
      <c r="F240" s="18"/>
      <c r="G240" s="18"/>
      <c r="H240" s="18"/>
      <c r="I240" s="18"/>
      <c r="J240" s="18"/>
      <c r="K240" s="18"/>
      <c r="L240" s="18"/>
      <c r="M240" s="18"/>
      <c r="N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 ht="15.75" customHeight="1">
      <c r="A241" s="3" t="s">
        <v>735</v>
      </c>
      <c r="B241" s="61" t="s">
        <v>736</v>
      </c>
      <c r="C241" s="3">
        <v>30</v>
      </c>
      <c r="D241" s="3">
        <v>14</v>
      </c>
      <c r="E241" s="16">
        <v>4</v>
      </c>
      <c r="F241" s="3" t="s">
        <v>741</v>
      </c>
      <c r="G241" s="3"/>
      <c r="H241" s="3"/>
      <c r="I241" s="3"/>
      <c r="J241" s="3" t="s">
        <v>163</v>
      </c>
      <c r="K241" s="3" t="s">
        <v>163</v>
      </c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 ht="15.75" customHeight="1">
      <c r="A242" s="3" t="s">
        <v>609</v>
      </c>
      <c r="B242" s="61" t="s">
        <v>743</v>
      </c>
      <c r="C242" s="3">
        <v>30</v>
      </c>
      <c r="D242" s="3">
        <v>40</v>
      </c>
      <c r="E242" s="16">
        <v>2</v>
      </c>
      <c r="F242" s="3" t="s">
        <v>744</v>
      </c>
      <c r="G242" s="3"/>
      <c r="H242" s="3"/>
      <c r="I242" s="3"/>
      <c r="J242" s="3" t="s">
        <v>163</v>
      </c>
      <c r="K242" s="3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 ht="15.75" customHeight="1">
      <c r="A243" s="80" t="s">
        <v>622</v>
      </c>
      <c r="B243" s="61" t="s">
        <v>746</v>
      </c>
      <c r="C243" s="3">
        <v>30</v>
      </c>
      <c r="D243" s="65">
        <v>5</v>
      </c>
      <c r="E243" s="16">
        <v>0</v>
      </c>
      <c r="F243" s="3" t="s">
        <v>748</v>
      </c>
      <c r="G243" s="3"/>
      <c r="H243" s="3"/>
      <c r="I243" s="3"/>
      <c r="J243" s="3" t="s">
        <v>163</v>
      </c>
      <c r="K243" s="3" t="s">
        <v>163</v>
      </c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 ht="15.75" customHeight="1">
      <c r="A244" s="3" t="s">
        <v>749</v>
      </c>
      <c r="B244" s="61" t="s">
        <v>750</v>
      </c>
      <c r="C244" s="3">
        <v>30</v>
      </c>
      <c r="D244" s="3">
        <v>20</v>
      </c>
      <c r="E244" s="16">
        <v>1</v>
      </c>
      <c r="F244" s="3" t="s">
        <v>410</v>
      </c>
      <c r="G244" s="3" t="s">
        <v>163</v>
      </c>
      <c r="H244" s="3"/>
      <c r="I244" s="3"/>
      <c r="J244" s="3"/>
      <c r="K244" s="3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 ht="15.75" customHeight="1">
      <c r="A245" s="3" t="s">
        <v>752</v>
      </c>
      <c r="B245" s="61" t="s">
        <v>753</v>
      </c>
      <c r="C245" s="3">
        <v>30</v>
      </c>
      <c r="D245" s="3">
        <v>50</v>
      </c>
      <c r="E245" s="16">
        <v>13</v>
      </c>
      <c r="F245" s="3" t="s">
        <v>717</v>
      </c>
      <c r="G245" s="3"/>
      <c r="H245" s="3"/>
      <c r="I245" s="3"/>
      <c r="J245" s="3"/>
      <c r="K245" s="3" t="s">
        <v>163</v>
      </c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 ht="15.75" customHeight="1">
      <c r="A246" s="3" t="s">
        <v>195</v>
      </c>
      <c r="B246" s="61" t="s">
        <v>756</v>
      </c>
      <c r="C246" s="3">
        <v>30</v>
      </c>
      <c r="D246" s="3">
        <v>30</v>
      </c>
      <c r="E246" s="16">
        <v>1</v>
      </c>
      <c r="F246" s="3" t="s">
        <v>601</v>
      </c>
      <c r="G246" s="3"/>
      <c r="H246" s="3" t="s">
        <v>163</v>
      </c>
      <c r="I246" s="3" t="s">
        <v>163</v>
      </c>
      <c r="J246" s="3"/>
      <c r="K246" s="3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 ht="15.75" customHeight="1">
      <c r="A247" s="3" t="s">
        <v>339</v>
      </c>
      <c r="B247" s="61" t="s">
        <v>758</v>
      </c>
      <c r="C247" s="3">
        <v>29</v>
      </c>
      <c r="D247" s="65">
        <v>45</v>
      </c>
      <c r="E247" s="69">
        <v>4</v>
      </c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 ht="15.75" customHeight="1">
      <c r="A248" s="3" t="s">
        <v>268</v>
      </c>
      <c r="B248" s="61" t="s">
        <v>762</v>
      </c>
      <c r="C248" s="3">
        <v>29</v>
      </c>
      <c r="D248" s="3">
        <v>19</v>
      </c>
      <c r="E248" s="16">
        <v>2</v>
      </c>
      <c r="F248" s="3" t="s">
        <v>344</v>
      </c>
      <c r="G248" s="3" t="s">
        <v>163</v>
      </c>
      <c r="H248" s="3"/>
      <c r="I248" s="3"/>
      <c r="J248" s="3"/>
      <c r="K248" s="3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 ht="15.75" customHeight="1">
      <c r="A249" s="3" t="s">
        <v>763</v>
      </c>
      <c r="B249" s="61" t="s">
        <v>765</v>
      </c>
      <c r="C249" s="18">
        <v>29</v>
      </c>
      <c r="D249" s="65">
        <v>5</v>
      </c>
      <c r="E249" s="16">
        <v>7</v>
      </c>
      <c r="F249" s="3" t="s">
        <v>767</v>
      </c>
      <c r="G249" s="3"/>
      <c r="H249" s="3"/>
      <c r="I249" s="3"/>
      <c r="J249" s="3"/>
      <c r="K249" s="3" t="s">
        <v>163</v>
      </c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 ht="15.75" customHeight="1">
      <c r="A250" s="3" t="s">
        <v>768</v>
      </c>
      <c r="B250" s="61" t="s">
        <v>769</v>
      </c>
      <c r="C250" s="3">
        <v>29</v>
      </c>
      <c r="D250" s="65">
        <v>7</v>
      </c>
      <c r="E250" s="69">
        <v>9</v>
      </c>
      <c r="F250" s="18"/>
      <c r="G250" s="18"/>
      <c r="H250" s="18"/>
      <c r="I250" s="18"/>
      <c r="J250" s="18"/>
      <c r="K250" s="18"/>
      <c r="L250" s="18"/>
      <c r="M250" s="18"/>
      <c r="N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 ht="15.75" customHeight="1">
      <c r="A251" s="3" t="s">
        <v>779</v>
      </c>
      <c r="B251" s="61" t="s">
        <v>780</v>
      </c>
      <c r="C251" s="3">
        <v>29</v>
      </c>
      <c r="D251" s="65">
        <v>10</v>
      </c>
      <c r="E251" s="69">
        <v>16</v>
      </c>
      <c r="F251" s="18"/>
      <c r="G251" s="18"/>
      <c r="H251" s="18"/>
      <c r="I251" s="18"/>
      <c r="J251" s="18"/>
      <c r="K251" s="18"/>
      <c r="L251" s="18"/>
      <c r="M251" s="18"/>
      <c r="N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 ht="15.75" customHeight="1">
      <c r="A252" s="3" t="s">
        <v>781</v>
      </c>
      <c r="B252" s="61" t="s">
        <v>782</v>
      </c>
      <c r="C252" s="3">
        <v>29</v>
      </c>
      <c r="D252" s="65">
        <v>10</v>
      </c>
      <c r="E252" s="69">
        <v>13</v>
      </c>
      <c r="F252" s="65" t="s">
        <v>230</v>
      </c>
      <c r="G252" s="65"/>
      <c r="H252" s="65"/>
      <c r="I252" s="65"/>
      <c r="J252" s="65"/>
      <c r="K252" s="65" t="s">
        <v>163</v>
      </c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 ht="15.75" customHeight="1">
      <c r="A253" s="80" t="s">
        <v>622</v>
      </c>
      <c r="B253" s="61" t="s">
        <v>786</v>
      </c>
      <c r="C253" s="3">
        <v>29</v>
      </c>
      <c r="D253" s="65">
        <v>5</v>
      </c>
      <c r="E253" s="16">
        <v>0</v>
      </c>
      <c r="F253" s="3" t="s">
        <v>787</v>
      </c>
      <c r="G253" s="3"/>
      <c r="H253" s="3" t="s">
        <v>163</v>
      </c>
      <c r="I253" s="3"/>
      <c r="J253" s="3" t="s">
        <v>163</v>
      </c>
      <c r="K253" s="3" t="s">
        <v>163</v>
      </c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 ht="15.75" customHeight="1">
      <c r="A254" s="72" t="s">
        <v>788</v>
      </c>
      <c r="B254" s="60" t="s">
        <v>789</v>
      </c>
      <c r="C254" s="72">
        <v>28</v>
      </c>
      <c r="D254" s="72">
        <v>5</v>
      </c>
      <c r="E254" s="82">
        <v>20</v>
      </c>
      <c r="F254" s="72" t="s">
        <v>497</v>
      </c>
      <c r="G254" s="72"/>
      <c r="H254" s="72"/>
      <c r="I254" s="72" t="s">
        <v>163</v>
      </c>
      <c r="J254" s="72"/>
      <c r="K254" s="72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 ht="15.75" customHeight="1">
      <c r="A255" s="84" t="s">
        <v>794</v>
      </c>
      <c r="B255" s="61" t="s">
        <v>795</v>
      </c>
      <c r="C255" s="3">
        <v>28</v>
      </c>
      <c r="D255" s="3">
        <v>15</v>
      </c>
      <c r="E255" s="16">
        <v>7</v>
      </c>
      <c r="F255" s="3" t="s">
        <v>344</v>
      </c>
      <c r="G255" s="3" t="s">
        <v>163</v>
      </c>
      <c r="H255" s="3"/>
      <c r="I255" s="3"/>
      <c r="J255" s="3"/>
      <c r="K255" s="3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 ht="15.75" customHeight="1">
      <c r="A256" s="3" t="s">
        <v>763</v>
      </c>
      <c r="B256" s="61" t="s">
        <v>798</v>
      </c>
      <c r="C256" s="3">
        <v>28</v>
      </c>
      <c r="D256" s="3">
        <v>10</v>
      </c>
      <c r="E256" s="16">
        <v>0</v>
      </c>
      <c r="F256" s="3" t="s">
        <v>803</v>
      </c>
      <c r="G256" s="3"/>
      <c r="H256" s="3"/>
      <c r="I256" s="3"/>
      <c r="J256" s="3" t="s">
        <v>163</v>
      </c>
      <c r="K256" s="3" t="s">
        <v>163</v>
      </c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 ht="15.75" customHeight="1">
      <c r="A257" s="80" t="s">
        <v>622</v>
      </c>
      <c r="B257" s="61" t="s">
        <v>804</v>
      </c>
      <c r="C257" s="3">
        <v>28</v>
      </c>
      <c r="D257" s="3">
        <v>5</v>
      </c>
      <c r="E257" s="16">
        <v>10</v>
      </c>
      <c r="F257" s="3" t="s">
        <v>805</v>
      </c>
      <c r="G257" s="3"/>
      <c r="H257" s="3" t="s">
        <v>163</v>
      </c>
      <c r="I257" s="3"/>
      <c r="J257" s="3"/>
      <c r="K257" s="3" t="s">
        <v>163</v>
      </c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 ht="15.75" customHeight="1">
      <c r="A258" s="80" t="s">
        <v>622</v>
      </c>
      <c r="B258" s="61" t="s">
        <v>806</v>
      </c>
      <c r="C258" s="3">
        <v>28</v>
      </c>
      <c r="D258" s="3">
        <v>5</v>
      </c>
      <c r="E258" s="16">
        <v>10</v>
      </c>
      <c r="F258" s="3" t="s">
        <v>344</v>
      </c>
      <c r="G258" s="3" t="s">
        <v>163</v>
      </c>
      <c r="H258" s="3"/>
      <c r="I258" s="3"/>
      <c r="J258" s="3"/>
      <c r="K258" s="3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 ht="15.75" customHeight="1">
      <c r="A259" s="3" t="s">
        <v>195</v>
      </c>
      <c r="B259" s="61" t="s">
        <v>808</v>
      </c>
      <c r="C259" s="3">
        <v>28</v>
      </c>
      <c r="D259" s="3">
        <v>20</v>
      </c>
      <c r="E259" s="72">
        <v>0</v>
      </c>
      <c r="F259" s="3" t="s">
        <v>528</v>
      </c>
      <c r="G259" s="3"/>
      <c r="H259" s="3" t="s">
        <v>163</v>
      </c>
      <c r="I259" s="3"/>
      <c r="J259" s="3" t="s">
        <v>163</v>
      </c>
      <c r="K259" s="3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 ht="15.75" customHeight="1">
      <c r="A260" s="3" t="s">
        <v>195</v>
      </c>
      <c r="B260" s="61" t="s">
        <v>810</v>
      </c>
      <c r="C260" s="3">
        <v>28</v>
      </c>
      <c r="D260" s="3">
        <v>30</v>
      </c>
      <c r="E260" s="3">
        <v>1</v>
      </c>
      <c r="F260" s="3" t="s">
        <v>344</v>
      </c>
      <c r="G260" s="3" t="s">
        <v>163</v>
      </c>
      <c r="H260" s="3"/>
      <c r="I260" s="3"/>
      <c r="J260" s="3"/>
      <c r="K260" s="3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 ht="15.75" customHeight="1">
      <c r="A261" s="84" t="s">
        <v>615</v>
      </c>
      <c r="B261" s="61" t="s">
        <v>814</v>
      </c>
      <c r="C261" s="3">
        <v>27</v>
      </c>
      <c r="D261" s="65">
        <v>35</v>
      </c>
      <c r="E261" s="69" t="s">
        <v>180</v>
      </c>
      <c r="F261" s="3" t="s">
        <v>815</v>
      </c>
      <c r="G261" s="3"/>
      <c r="H261" s="3" t="s">
        <v>163</v>
      </c>
      <c r="I261" s="3" t="s">
        <v>163</v>
      </c>
      <c r="J261" s="3" t="s">
        <v>163</v>
      </c>
      <c r="K261" s="3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 ht="15.75" customHeight="1">
      <c r="A262" s="72" t="s">
        <v>694</v>
      </c>
      <c r="B262" s="60" t="s">
        <v>816</v>
      </c>
      <c r="C262" s="72">
        <v>27</v>
      </c>
      <c r="D262" s="78">
        <v>5</v>
      </c>
      <c r="E262" s="79">
        <v>18</v>
      </c>
      <c r="F262" s="72" t="s">
        <v>818</v>
      </c>
      <c r="G262" s="72"/>
      <c r="H262" s="72" t="s">
        <v>163</v>
      </c>
      <c r="I262" s="72"/>
      <c r="J262" s="72" t="s">
        <v>163</v>
      </c>
      <c r="K262" s="72" t="s">
        <v>163</v>
      </c>
      <c r="L262" s="18"/>
      <c r="M262" s="18"/>
      <c r="N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 ht="15.75" customHeight="1">
      <c r="A263" s="80" t="s">
        <v>622</v>
      </c>
      <c r="B263" s="61" t="s">
        <v>819</v>
      </c>
      <c r="C263" s="3">
        <v>27</v>
      </c>
      <c r="D263" s="65">
        <v>5</v>
      </c>
      <c r="E263" s="101" t="s">
        <v>821</v>
      </c>
      <c r="F263" s="3" t="s">
        <v>822</v>
      </c>
      <c r="G263" s="3"/>
      <c r="H263" s="3" t="s">
        <v>163</v>
      </c>
      <c r="I263" s="3"/>
      <c r="J263" s="3" t="s">
        <v>163</v>
      </c>
      <c r="K263" s="3" t="s">
        <v>163</v>
      </c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 ht="15.75" customHeight="1">
      <c r="A264" s="80" t="s">
        <v>622</v>
      </c>
      <c r="B264" s="61" t="s">
        <v>823</v>
      </c>
      <c r="C264" s="3">
        <v>27</v>
      </c>
      <c r="D264" s="3">
        <v>5</v>
      </c>
      <c r="E264" s="16">
        <v>10</v>
      </c>
      <c r="F264" s="3" t="s">
        <v>824</v>
      </c>
      <c r="G264" s="3"/>
      <c r="H264" s="3" t="s">
        <v>163</v>
      </c>
      <c r="I264" s="3"/>
      <c r="J264" s="3" t="s">
        <v>163</v>
      </c>
      <c r="K264" s="3" t="s">
        <v>163</v>
      </c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 ht="15.75" customHeight="1">
      <c r="A265" s="80" t="s">
        <v>622</v>
      </c>
      <c r="B265" s="61" t="s">
        <v>826</v>
      </c>
      <c r="C265" s="3">
        <v>27</v>
      </c>
      <c r="D265" s="3">
        <v>5</v>
      </c>
      <c r="E265" s="16">
        <v>13</v>
      </c>
      <c r="F265" s="3" t="s">
        <v>829</v>
      </c>
      <c r="G265" s="3"/>
      <c r="H265" s="3"/>
      <c r="I265" s="3"/>
      <c r="J265" s="3"/>
      <c r="K265" s="3" t="s">
        <v>163</v>
      </c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 ht="15.75" customHeight="1">
      <c r="A266" s="3" t="s">
        <v>509</v>
      </c>
      <c r="B266" s="61" t="s">
        <v>830</v>
      </c>
      <c r="C266" s="3">
        <v>27</v>
      </c>
      <c r="D266" s="3">
        <v>15</v>
      </c>
      <c r="E266" s="16">
        <v>7</v>
      </c>
      <c r="F266" s="3" t="s">
        <v>833</v>
      </c>
      <c r="G266" s="3"/>
      <c r="H266" s="3" t="s">
        <v>163</v>
      </c>
      <c r="I266" s="3"/>
      <c r="J266" s="3"/>
      <c r="K266" s="3" t="s">
        <v>163</v>
      </c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 ht="15.75" customHeight="1">
      <c r="A267" s="3" t="s">
        <v>606</v>
      </c>
      <c r="B267" s="61" t="s">
        <v>834</v>
      </c>
      <c r="C267" s="3">
        <v>26</v>
      </c>
      <c r="D267" s="65">
        <v>15</v>
      </c>
      <c r="E267" s="69">
        <v>11</v>
      </c>
      <c r="F267" s="18"/>
      <c r="G267" s="18"/>
      <c r="H267" s="18"/>
      <c r="I267" s="18"/>
      <c r="J267" s="18"/>
      <c r="K267" s="18"/>
      <c r="L267" s="18"/>
      <c r="M267" s="18"/>
      <c r="N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 ht="15.75" customHeight="1">
      <c r="A268" s="72" t="s">
        <v>694</v>
      </c>
      <c r="B268" s="60" t="s">
        <v>835</v>
      </c>
      <c r="C268" s="72">
        <v>26</v>
      </c>
      <c r="D268" s="78">
        <v>5</v>
      </c>
      <c r="E268" s="79" t="s">
        <v>180</v>
      </c>
      <c r="F268" s="72" t="s">
        <v>839</v>
      </c>
      <c r="G268" s="72"/>
      <c r="H268" s="72" t="s">
        <v>163</v>
      </c>
      <c r="I268" s="72"/>
      <c r="J268" s="72"/>
      <c r="K268" s="72" t="s">
        <v>163</v>
      </c>
      <c r="L268" s="18"/>
      <c r="M268" s="18"/>
      <c r="N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 ht="15.75" customHeight="1">
      <c r="A269" s="80" t="s">
        <v>622</v>
      </c>
      <c r="B269" s="61" t="s">
        <v>840</v>
      </c>
      <c r="C269" s="3">
        <v>26</v>
      </c>
      <c r="D269" s="3">
        <v>5</v>
      </c>
      <c r="E269" s="16">
        <v>2</v>
      </c>
      <c r="F269" s="3" t="s">
        <v>344</v>
      </c>
      <c r="G269" s="3" t="s">
        <v>163</v>
      </c>
      <c r="H269" s="3"/>
      <c r="I269" s="3"/>
      <c r="J269" s="3"/>
      <c r="K269" s="3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 ht="15.75" customHeight="1">
      <c r="A270" s="3" t="s">
        <v>172</v>
      </c>
      <c r="B270" s="61" t="s">
        <v>845</v>
      </c>
      <c r="C270" s="16">
        <v>26</v>
      </c>
      <c r="D270" s="3">
        <v>20</v>
      </c>
      <c r="E270" s="16">
        <v>0</v>
      </c>
      <c r="F270" s="3" t="s">
        <v>344</v>
      </c>
      <c r="G270" s="3" t="s">
        <v>163</v>
      </c>
      <c r="H270" s="3"/>
      <c r="I270" s="3"/>
      <c r="J270" s="3"/>
      <c r="K270" s="3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 ht="15.75" customHeight="1">
      <c r="A271" s="3" t="s">
        <v>172</v>
      </c>
      <c r="B271" s="61" t="s">
        <v>846</v>
      </c>
      <c r="C271" s="3">
        <v>26</v>
      </c>
      <c r="D271" s="3">
        <v>20</v>
      </c>
      <c r="E271" s="16">
        <v>0</v>
      </c>
      <c r="F271" s="3" t="s">
        <v>344</v>
      </c>
      <c r="G271" s="3" t="s">
        <v>163</v>
      </c>
      <c r="H271" s="3"/>
      <c r="I271" s="3"/>
      <c r="J271" s="3"/>
      <c r="K271" s="3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 ht="15.75" customHeight="1">
      <c r="A272" s="3" t="s">
        <v>849</v>
      </c>
      <c r="B272" s="61" t="s">
        <v>850</v>
      </c>
      <c r="C272" s="3">
        <v>26</v>
      </c>
      <c r="D272" s="3">
        <v>30</v>
      </c>
      <c r="E272" s="16">
        <v>5</v>
      </c>
      <c r="F272" s="3" t="s">
        <v>851</v>
      </c>
      <c r="G272" s="3"/>
      <c r="H272" s="3"/>
      <c r="I272" s="3"/>
      <c r="J272" s="3"/>
      <c r="K272" s="3" t="s">
        <v>163</v>
      </c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 ht="15.75" customHeight="1">
      <c r="A273" s="3" t="s">
        <v>450</v>
      </c>
      <c r="B273" s="61" t="s">
        <v>852</v>
      </c>
      <c r="C273" s="3">
        <v>26</v>
      </c>
      <c r="D273" s="3">
        <v>20</v>
      </c>
      <c r="E273" s="16">
        <v>5</v>
      </c>
      <c r="F273" s="3" t="s">
        <v>410</v>
      </c>
      <c r="G273" s="3" t="s">
        <v>163</v>
      </c>
      <c r="H273" s="3"/>
      <c r="I273" s="3"/>
      <c r="J273" s="3"/>
      <c r="K273" s="3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 ht="15.75" customHeight="1">
      <c r="A274" s="3" t="s">
        <v>728</v>
      </c>
      <c r="B274" s="61" t="s">
        <v>857</v>
      </c>
      <c r="C274" s="3">
        <v>25</v>
      </c>
      <c r="D274" s="65">
        <v>10</v>
      </c>
      <c r="E274" s="69">
        <v>28</v>
      </c>
      <c r="F274" s="18"/>
      <c r="G274" s="18"/>
      <c r="H274" s="18"/>
      <c r="I274" s="18"/>
      <c r="J274" s="18"/>
      <c r="K274" s="18"/>
      <c r="L274" s="18"/>
      <c r="M274" s="18"/>
      <c r="N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 ht="15.75" customHeight="1">
      <c r="A275" s="3" t="s">
        <v>728</v>
      </c>
      <c r="B275" s="61" t="s">
        <v>858</v>
      </c>
      <c r="C275" s="3">
        <v>25</v>
      </c>
      <c r="D275" s="65">
        <v>10</v>
      </c>
      <c r="E275" s="69">
        <v>14</v>
      </c>
      <c r="F275" s="18"/>
      <c r="G275" s="18"/>
      <c r="H275" s="18"/>
      <c r="I275" s="18"/>
      <c r="J275" s="18"/>
      <c r="K275" s="18"/>
      <c r="L275" s="18"/>
      <c r="M275" s="18"/>
      <c r="N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15.75" customHeight="1">
      <c r="A276" s="3" t="s">
        <v>861</v>
      </c>
      <c r="B276" s="61" t="s">
        <v>862</v>
      </c>
      <c r="C276" s="3">
        <v>25</v>
      </c>
      <c r="D276" s="65">
        <v>30</v>
      </c>
      <c r="E276" s="69">
        <v>3</v>
      </c>
      <c r="F276" s="3" t="s">
        <v>863</v>
      </c>
      <c r="G276" s="3"/>
      <c r="H276" s="3"/>
      <c r="I276" s="3"/>
      <c r="J276" s="3"/>
      <c r="K276" s="3" t="s">
        <v>163</v>
      </c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15.75" customHeight="1">
      <c r="A277" s="72" t="s">
        <v>864</v>
      </c>
      <c r="B277" s="60" t="s">
        <v>866</v>
      </c>
      <c r="C277" s="72">
        <v>25</v>
      </c>
      <c r="D277" s="72">
        <v>5</v>
      </c>
      <c r="E277" s="82" t="s">
        <v>180</v>
      </c>
      <c r="F277" s="72" t="s">
        <v>870</v>
      </c>
      <c r="G277" s="72"/>
      <c r="H277" s="72" t="s">
        <v>163</v>
      </c>
      <c r="I277" s="72"/>
      <c r="J277" s="72"/>
      <c r="K277" s="72" t="s">
        <v>163</v>
      </c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15.75" customHeight="1">
      <c r="A278" s="3" t="s">
        <v>526</v>
      </c>
      <c r="B278" s="61" t="s">
        <v>871</v>
      </c>
      <c r="C278" s="3">
        <v>25</v>
      </c>
      <c r="D278" s="3">
        <v>30</v>
      </c>
      <c r="E278" s="16">
        <v>1</v>
      </c>
      <c r="F278" s="3" t="s">
        <v>872</v>
      </c>
      <c r="G278" s="3"/>
      <c r="H278" s="3"/>
      <c r="I278" s="3"/>
      <c r="J278" s="3" t="s">
        <v>163</v>
      </c>
      <c r="K278" s="3" t="s">
        <v>163</v>
      </c>
      <c r="L278" s="18"/>
      <c r="M278" s="18"/>
      <c r="N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15.75" customHeight="1">
      <c r="A279" s="3" t="s">
        <v>874</v>
      </c>
      <c r="B279" s="61" t="s">
        <v>875</v>
      </c>
      <c r="C279" s="3">
        <v>25</v>
      </c>
      <c r="D279" s="3">
        <v>20</v>
      </c>
      <c r="E279" s="16">
        <v>8</v>
      </c>
      <c r="F279" s="3" t="s">
        <v>879</v>
      </c>
      <c r="G279" s="3"/>
      <c r="H279" s="3" t="s">
        <v>163</v>
      </c>
      <c r="I279" s="3"/>
      <c r="J279" s="3"/>
      <c r="K279" s="3" t="s">
        <v>163</v>
      </c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15.75" customHeight="1">
      <c r="A280" s="3" t="s">
        <v>195</v>
      </c>
      <c r="B280" s="61" t="s">
        <v>880</v>
      </c>
      <c r="C280" s="3">
        <v>25</v>
      </c>
      <c r="D280" s="3">
        <v>30</v>
      </c>
      <c r="E280" s="72">
        <v>6</v>
      </c>
      <c r="F280" s="3" t="s">
        <v>881</v>
      </c>
      <c r="G280" s="3"/>
      <c r="H280" s="3"/>
      <c r="I280" s="3"/>
      <c r="J280" s="3" t="s">
        <v>163</v>
      </c>
      <c r="K280" s="3" t="s">
        <v>163</v>
      </c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15.75" customHeight="1">
      <c r="A281" s="72" t="s">
        <v>882</v>
      </c>
      <c r="B281" s="60" t="s">
        <v>883</v>
      </c>
      <c r="C281" s="72">
        <v>24</v>
      </c>
      <c r="D281" s="72">
        <v>5</v>
      </c>
      <c r="E281" s="82" t="s">
        <v>180</v>
      </c>
      <c r="F281" s="72" t="s">
        <v>884</v>
      </c>
      <c r="G281" s="72"/>
      <c r="H281" s="72" t="s">
        <v>163</v>
      </c>
      <c r="I281" s="72" t="s">
        <v>163</v>
      </c>
      <c r="J281" s="72" t="s">
        <v>163</v>
      </c>
      <c r="K281" s="72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15.75" customHeight="1">
      <c r="A282" s="3" t="s">
        <v>886</v>
      </c>
      <c r="B282" s="89" t="s">
        <v>887</v>
      </c>
      <c r="C282" s="80">
        <v>24</v>
      </c>
      <c r="D282" s="3">
        <v>10</v>
      </c>
      <c r="E282" s="16">
        <v>5</v>
      </c>
      <c r="F282" s="3" t="s">
        <v>490</v>
      </c>
      <c r="G282" s="3"/>
      <c r="H282" s="3"/>
      <c r="I282" s="3" t="s">
        <v>163</v>
      </c>
      <c r="J282" s="3"/>
      <c r="K282" s="3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15.75" customHeight="1">
      <c r="A283" s="102" t="s">
        <v>886</v>
      </c>
      <c r="B283" s="103" t="s">
        <v>889</v>
      </c>
      <c r="C283" s="104">
        <v>24</v>
      </c>
      <c r="D283" s="104">
        <v>10</v>
      </c>
      <c r="E283" s="105">
        <v>0</v>
      </c>
      <c r="F283" s="3" t="s">
        <v>890</v>
      </c>
      <c r="G283" s="3"/>
      <c r="H283" s="3" t="s">
        <v>163</v>
      </c>
      <c r="I283" s="3" t="s">
        <v>163</v>
      </c>
      <c r="J283" s="3"/>
      <c r="K283" s="3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15.75" customHeight="1">
      <c r="A284" s="80" t="s">
        <v>622</v>
      </c>
      <c r="B284" s="61" t="s">
        <v>891</v>
      </c>
      <c r="C284" s="3">
        <v>24</v>
      </c>
      <c r="D284" s="3">
        <v>5</v>
      </c>
      <c r="E284" s="16">
        <v>14</v>
      </c>
      <c r="F284" s="3" t="s">
        <v>893</v>
      </c>
      <c r="G284" s="3"/>
      <c r="H284" s="3"/>
      <c r="I284" s="3"/>
      <c r="J284" s="3"/>
      <c r="K284" s="3" t="s">
        <v>163</v>
      </c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15.75" customHeight="1">
      <c r="A285" s="3" t="s">
        <v>507</v>
      </c>
      <c r="B285" s="61" t="s">
        <v>894</v>
      </c>
      <c r="C285" s="3">
        <v>23</v>
      </c>
      <c r="D285" s="65">
        <v>25</v>
      </c>
      <c r="E285" s="16">
        <v>1</v>
      </c>
      <c r="F285" s="3" t="s">
        <v>897</v>
      </c>
      <c r="G285" s="3"/>
      <c r="H285" s="3" t="s">
        <v>163</v>
      </c>
      <c r="I285" s="3"/>
      <c r="J285" s="3" t="s">
        <v>163</v>
      </c>
      <c r="K285" s="3" t="s">
        <v>163</v>
      </c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15.75" customHeight="1">
      <c r="A286" s="72" t="s">
        <v>898</v>
      </c>
      <c r="B286" s="60" t="s">
        <v>899</v>
      </c>
      <c r="C286" s="72">
        <v>23</v>
      </c>
      <c r="D286" s="72">
        <v>5</v>
      </c>
      <c r="E286" s="82" t="s">
        <v>180</v>
      </c>
      <c r="F286" s="72" t="s">
        <v>901</v>
      </c>
      <c r="G286" s="72"/>
      <c r="H286" s="72"/>
      <c r="I286" s="72"/>
      <c r="J286" s="72"/>
      <c r="K286" s="72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15.75" customHeight="1">
      <c r="A287" s="80" t="s">
        <v>622</v>
      </c>
      <c r="B287" s="61" t="s">
        <v>903</v>
      </c>
      <c r="C287" s="3">
        <v>23</v>
      </c>
      <c r="D287" s="65">
        <v>5</v>
      </c>
      <c r="E287" s="16">
        <v>0</v>
      </c>
      <c r="F287" s="3" t="s">
        <v>904</v>
      </c>
      <c r="G287" s="3"/>
      <c r="H287" s="3"/>
      <c r="I287" s="3"/>
      <c r="J287" s="3" t="s">
        <v>163</v>
      </c>
      <c r="K287" s="3" t="s">
        <v>163</v>
      </c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15.75" customHeight="1">
      <c r="A288" s="3" t="s">
        <v>507</v>
      </c>
      <c r="B288" s="61" t="s">
        <v>905</v>
      </c>
      <c r="C288" s="3">
        <v>22</v>
      </c>
      <c r="D288" s="65">
        <v>25</v>
      </c>
      <c r="E288" s="16">
        <v>0</v>
      </c>
      <c r="F288" s="3" t="s">
        <v>908</v>
      </c>
      <c r="G288" s="3"/>
      <c r="H288" s="3" t="s">
        <v>163</v>
      </c>
      <c r="I288" s="3"/>
      <c r="J288" s="3"/>
      <c r="K288" s="3" t="s">
        <v>163</v>
      </c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 ht="15.75" customHeight="1">
      <c r="A289" s="3" t="s">
        <v>909</v>
      </c>
      <c r="B289" s="61" t="s">
        <v>910</v>
      </c>
      <c r="C289" s="3">
        <v>22</v>
      </c>
      <c r="D289" s="65">
        <v>50</v>
      </c>
      <c r="E289" s="16">
        <v>28</v>
      </c>
      <c r="F289" s="3" t="s">
        <v>911</v>
      </c>
      <c r="G289" s="3"/>
      <c r="H289" s="3"/>
      <c r="I289" s="3"/>
      <c r="J289" s="3" t="s">
        <v>163</v>
      </c>
      <c r="K289" s="3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 ht="15.75" customHeight="1">
      <c r="A290" s="80" t="s">
        <v>622</v>
      </c>
      <c r="B290" s="61" t="s">
        <v>912</v>
      </c>
      <c r="C290" s="3">
        <v>22</v>
      </c>
      <c r="D290" s="3">
        <v>5</v>
      </c>
      <c r="E290" s="16">
        <v>0</v>
      </c>
      <c r="F290" s="3" t="s">
        <v>913</v>
      </c>
      <c r="G290" s="3"/>
      <c r="H290" s="3" t="s">
        <v>163</v>
      </c>
      <c r="I290" s="3"/>
      <c r="J290" s="3"/>
      <c r="K290" s="3" t="s">
        <v>163</v>
      </c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 ht="15.75" customHeight="1">
      <c r="A291" s="80" t="s">
        <v>914</v>
      </c>
      <c r="B291" s="61" t="s">
        <v>915</v>
      </c>
      <c r="C291" s="3">
        <v>21</v>
      </c>
      <c r="D291" s="65">
        <v>5</v>
      </c>
      <c r="E291" s="16">
        <v>0</v>
      </c>
      <c r="F291" s="3" t="s">
        <v>918</v>
      </c>
      <c r="G291" s="3"/>
      <c r="H291" s="3" t="s">
        <v>163</v>
      </c>
      <c r="I291" s="3" t="s">
        <v>163</v>
      </c>
      <c r="J291" s="3"/>
      <c r="K291" s="3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 ht="15.75" customHeight="1">
      <c r="A292" s="72" t="s">
        <v>919</v>
      </c>
      <c r="B292" s="60" t="s">
        <v>920</v>
      </c>
      <c r="C292" s="72">
        <v>20</v>
      </c>
      <c r="D292" s="72">
        <v>5</v>
      </c>
      <c r="E292" s="82">
        <v>18</v>
      </c>
      <c r="F292" s="72" t="s">
        <v>921</v>
      </c>
      <c r="G292" s="72"/>
      <c r="H292" s="72" t="s">
        <v>163</v>
      </c>
      <c r="I292" s="72"/>
      <c r="J292" s="72"/>
      <c r="K292" s="72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 ht="15.75" customHeight="1">
      <c r="A293" s="80" t="s">
        <v>622</v>
      </c>
      <c r="B293" s="61" t="s">
        <v>923</v>
      </c>
      <c r="C293" s="3">
        <v>20</v>
      </c>
      <c r="D293" s="3">
        <v>5</v>
      </c>
      <c r="E293" s="16">
        <v>0</v>
      </c>
      <c r="F293" s="3" t="s">
        <v>927</v>
      </c>
      <c r="G293" s="3"/>
      <c r="H293" s="3"/>
      <c r="I293" s="3" t="s">
        <v>163</v>
      </c>
      <c r="J293" s="3" t="s">
        <v>163</v>
      </c>
      <c r="K293" s="3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 ht="15.75" customHeight="1">
      <c r="A294" s="80" t="s">
        <v>622</v>
      </c>
      <c r="B294" s="61" t="s">
        <v>928</v>
      </c>
      <c r="C294" s="3">
        <v>20</v>
      </c>
      <c r="D294" s="3">
        <v>5</v>
      </c>
      <c r="E294" s="16">
        <v>8</v>
      </c>
      <c r="F294" s="3" t="s">
        <v>932</v>
      </c>
      <c r="G294" s="3"/>
      <c r="H294" s="3" t="s">
        <v>163</v>
      </c>
      <c r="I294" s="3"/>
      <c r="J294" s="3" t="s">
        <v>163</v>
      </c>
      <c r="K294" s="3" t="s">
        <v>163</v>
      </c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 ht="15.75" customHeight="1">
      <c r="A295" s="80" t="s">
        <v>622</v>
      </c>
      <c r="B295" s="61" t="s">
        <v>933</v>
      </c>
      <c r="C295" s="3">
        <v>14</v>
      </c>
      <c r="D295" s="65">
        <v>5</v>
      </c>
      <c r="E295" s="16">
        <v>0</v>
      </c>
      <c r="F295" s="3" t="s">
        <v>934</v>
      </c>
      <c r="G295" s="3"/>
      <c r="H295" s="3" t="s">
        <v>163</v>
      </c>
      <c r="I295" s="3" t="s">
        <v>163</v>
      </c>
      <c r="J295" s="3"/>
      <c r="K295" s="3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 ht="15.75" customHeight="1">
      <c r="A296" s="3" t="s">
        <v>304</v>
      </c>
      <c r="B296" s="61" t="s">
        <v>935</v>
      </c>
      <c r="C296" s="3">
        <v>10</v>
      </c>
      <c r="D296" s="3">
        <v>8</v>
      </c>
      <c r="E296" s="16">
        <v>8</v>
      </c>
      <c r="F296" s="3" t="s">
        <v>938</v>
      </c>
      <c r="G296" s="3"/>
      <c r="H296" s="3" t="s">
        <v>163</v>
      </c>
      <c r="I296" s="3" t="s">
        <v>163</v>
      </c>
      <c r="J296" s="3"/>
      <c r="K296" s="3" t="s">
        <v>163</v>
      </c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 ht="15.75" customHeight="1">
      <c r="A297" s="3" t="s">
        <v>940</v>
      </c>
      <c r="B297" s="61" t="s">
        <v>941</v>
      </c>
      <c r="C297" s="3">
        <v>48</v>
      </c>
      <c r="D297" s="3">
        <v>80</v>
      </c>
      <c r="E297" s="16">
        <v>0</v>
      </c>
      <c r="F297" s="3" t="s">
        <v>942</v>
      </c>
      <c r="G297" s="3"/>
      <c r="H297" s="3" t="s">
        <v>163</v>
      </c>
      <c r="I297" s="3" t="s">
        <v>163</v>
      </c>
      <c r="J297" s="3" t="s">
        <v>163</v>
      </c>
      <c r="K297" s="3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 ht="15.75" customHeight="1">
      <c r="A298" s="18"/>
      <c r="B298" s="18"/>
      <c r="C298" s="18"/>
      <c r="D298" s="18"/>
      <c r="E298" s="106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 ht="15.75" customHeight="1">
      <c r="A299" s="18"/>
      <c r="B299" s="18"/>
      <c r="C299" s="18"/>
      <c r="D299" s="18"/>
      <c r="E299" s="106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 ht="15.75" customHeight="1">
      <c r="A300" s="18"/>
      <c r="B300" s="18"/>
      <c r="C300" s="18"/>
      <c r="D300" s="18"/>
      <c r="E300" s="106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 ht="15.75" customHeight="1">
      <c r="A301" s="18"/>
      <c r="B301" s="18"/>
      <c r="C301" s="18"/>
      <c r="D301" s="18"/>
      <c r="E301" s="106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 ht="15.75" customHeight="1">
      <c r="A302" s="18"/>
      <c r="B302" s="18"/>
      <c r="C302" s="18"/>
      <c r="D302" s="18"/>
      <c r="E302" s="106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 ht="15.75" customHeight="1">
      <c r="A303" s="18"/>
      <c r="B303" s="18"/>
      <c r="C303" s="18"/>
      <c r="D303" s="18"/>
      <c r="E303" s="106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 ht="15.75" customHeight="1">
      <c r="A304" s="18"/>
      <c r="B304" s="18"/>
      <c r="C304" s="18"/>
      <c r="D304" s="18"/>
      <c r="E304" s="106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 ht="15.75" customHeight="1">
      <c r="A305" s="18"/>
      <c r="B305" s="18"/>
      <c r="C305" s="18"/>
      <c r="D305" s="18"/>
      <c r="E305" s="106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 ht="15.75" customHeight="1">
      <c r="A306" s="18"/>
      <c r="B306" s="18"/>
      <c r="C306" s="18"/>
      <c r="D306" s="18"/>
      <c r="E306" s="106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 ht="15.75" customHeight="1">
      <c r="A307" s="18"/>
      <c r="B307" s="18"/>
      <c r="C307" s="18"/>
      <c r="D307" s="18"/>
      <c r="E307" s="106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 ht="15.75" customHeight="1">
      <c r="A308" s="18"/>
      <c r="B308" s="18"/>
      <c r="C308" s="18"/>
      <c r="D308" s="18"/>
      <c r="E308" s="106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 ht="15.75" customHeight="1">
      <c r="A309" s="18"/>
      <c r="B309" s="18"/>
      <c r="C309" s="18"/>
      <c r="D309" s="18"/>
      <c r="E309" s="106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 ht="15.75" customHeight="1">
      <c r="A310" s="18"/>
      <c r="B310" s="18"/>
      <c r="C310" s="18"/>
      <c r="D310" s="18"/>
      <c r="E310" s="106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 ht="15.75" customHeight="1">
      <c r="A311" s="18"/>
      <c r="B311" s="18"/>
      <c r="C311" s="18"/>
      <c r="D311" s="18"/>
      <c r="E311" s="106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 ht="15.75" customHeight="1">
      <c r="A312" s="18"/>
      <c r="B312" s="18"/>
      <c r="C312" s="18"/>
      <c r="D312" s="18"/>
      <c r="E312" s="106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 ht="15.75" customHeight="1">
      <c r="A313" s="18"/>
      <c r="B313" s="18"/>
      <c r="C313" s="18"/>
      <c r="D313" s="18"/>
      <c r="E313" s="106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 ht="15.75" customHeight="1">
      <c r="A314" s="18"/>
      <c r="B314" s="18"/>
      <c r="C314" s="18"/>
      <c r="D314" s="18"/>
      <c r="E314" s="106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 ht="15.75" customHeight="1">
      <c r="A315" s="18"/>
      <c r="B315" s="18"/>
      <c r="C315" s="18"/>
      <c r="D315" s="18"/>
      <c r="E315" s="106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 ht="15.75" customHeight="1">
      <c r="A316" s="18"/>
      <c r="B316" s="18"/>
      <c r="C316" s="18"/>
      <c r="D316" s="18"/>
      <c r="E316" s="106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 ht="15.75" customHeight="1">
      <c r="A317" s="18"/>
      <c r="B317" s="18"/>
      <c r="C317" s="18"/>
      <c r="D317" s="18"/>
      <c r="E317" s="106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 ht="15.75" customHeight="1">
      <c r="A318" s="18"/>
      <c r="B318" s="18"/>
      <c r="C318" s="18"/>
      <c r="D318" s="18"/>
      <c r="E318" s="106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 ht="15.75" customHeight="1">
      <c r="A319" s="18"/>
      <c r="B319" s="18"/>
      <c r="C319" s="18"/>
      <c r="D319" s="18"/>
      <c r="E319" s="106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 ht="15.75" customHeight="1">
      <c r="A320" s="18"/>
      <c r="B320" s="18"/>
      <c r="C320" s="18"/>
      <c r="D320" s="18"/>
      <c r="E320" s="106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 ht="15.75" customHeight="1">
      <c r="A321" s="18"/>
      <c r="B321" s="18"/>
      <c r="C321" s="18"/>
      <c r="D321" s="18"/>
      <c r="E321" s="106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 ht="15.75" customHeight="1">
      <c r="A322" s="18"/>
      <c r="B322" s="18"/>
      <c r="C322" s="18"/>
      <c r="D322" s="18"/>
      <c r="E322" s="106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 ht="15.75" customHeight="1">
      <c r="A323" s="18"/>
      <c r="B323" s="18"/>
      <c r="C323" s="18"/>
      <c r="D323" s="18"/>
      <c r="E323" s="106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 ht="15.75" customHeight="1">
      <c r="A324" s="18"/>
      <c r="B324" s="18"/>
      <c r="C324" s="18"/>
      <c r="D324" s="18"/>
      <c r="E324" s="106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 ht="15.75" customHeight="1">
      <c r="A325" s="18"/>
      <c r="B325" s="18"/>
      <c r="C325" s="18"/>
      <c r="D325" s="18"/>
      <c r="E325" s="106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 ht="15.75" customHeight="1">
      <c r="A326" s="18"/>
      <c r="B326" s="18"/>
      <c r="C326" s="18"/>
      <c r="D326" s="18"/>
      <c r="E326" s="106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 ht="15.75" customHeight="1">
      <c r="A327" s="18"/>
      <c r="B327" s="18"/>
      <c r="C327" s="18"/>
      <c r="D327" s="18"/>
      <c r="E327" s="106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 ht="15.75" customHeight="1">
      <c r="A328" s="18"/>
      <c r="B328" s="18"/>
      <c r="C328" s="18"/>
      <c r="D328" s="18"/>
      <c r="E328" s="106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 ht="15.75" customHeight="1">
      <c r="A329" s="18"/>
      <c r="B329" s="18"/>
      <c r="C329" s="18"/>
      <c r="D329" s="18"/>
      <c r="E329" s="106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 ht="15.75" customHeight="1">
      <c r="A330" s="18"/>
      <c r="B330" s="18"/>
      <c r="C330" s="18"/>
      <c r="D330" s="18"/>
      <c r="E330" s="106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 ht="15.75" customHeight="1">
      <c r="A331" s="18"/>
      <c r="B331" s="18"/>
      <c r="C331" s="18"/>
      <c r="D331" s="18"/>
      <c r="E331" s="106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 ht="15.75" customHeight="1">
      <c r="A332" s="18"/>
      <c r="B332" s="18"/>
      <c r="C332" s="18"/>
      <c r="D332" s="18"/>
      <c r="E332" s="106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 ht="15.75" customHeight="1">
      <c r="A333" s="18"/>
      <c r="B333" s="18"/>
      <c r="C333" s="18"/>
      <c r="D333" s="18"/>
      <c r="E333" s="106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 ht="15.75" customHeight="1">
      <c r="A334" s="18"/>
      <c r="B334" s="18"/>
      <c r="C334" s="18"/>
      <c r="D334" s="18"/>
      <c r="E334" s="106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 ht="15.75" customHeight="1">
      <c r="A335" s="18"/>
      <c r="B335" s="18"/>
      <c r="C335" s="18"/>
      <c r="D335" s="18"/>
      <c r="E335" s="106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 ht="15.75" customHeight="1">
      <c r="A336" s="18"/>
      <c r="B336" s="18"/>
      <c r="C336" s="18"/>
      <c r="D336" s="18"/>
      <c r="E336" s="106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 ht="15.75" customHeight="1">
      <c r="A337" s="18"/>
      <c r="B337" s="18"/>
      <c r="C337" s="18"/>
      <c r="D337" s="18"/>
      <c r="E337" s="106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 ht="15.75" customHeight="1">
      <c r="A338" s="18"/>
      <c r="B338" s="18"/>
      <c r="C338" s="18"/>
      <c r="D338" s="18"/>
      <c r="E338" s="106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 ht="15.75" customHeight="1">
      <c r="A339" s="18"/>
      <c r="B339" s="18"/>
      <c r="C339" s="18"/>
      <c r="D339" s="18"/>
      <c r="E339" s="106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 ht="15.75" customHeight="1">
      <c r="A340" s="18"/>
      <c r="B340" s="18"/>
      <c r="C340" s="18"/>
      <c r="D340" s="18"/>
      <c r="E340" s="106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 ht="15.75" customHeight="1">
      <c r="A341" s="18"/>
      <c r="B341" s="18"/>
      <c r="C341" s="18"/>
      <c r="D341" s="18"/>
      <c r="E341" s="106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 ht="15.75" customHeight="1">
      <c r="A342" s="18"/>
      <c r="B342" s="18"/>
      <c r="C342" s="18"/>
      <c r="D342" s="18"/>
      <c r="E342" s="106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 ht="15.75" customHeight="1">
      <c r="A343" s="18"/>
      <c r="B343" s="18"/>
      <c r="C343" s="18"/>
      <c r="D343" s="18"/>
      <c r="E343" s="106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 ht="15.75" customHeight="1">
      <c r="A344" s="18"/>
      <c r="B344" s="18"/>
      <c r="C344" s="18"/>
      <c r="D344" s="18"/>
      <c r="E344" s="106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 ht="15.75" customHeight="1">
      <c r="A345" s="18"/>
      <c r="B345" s="18"/>
      <c r="C345" s="18"/>
      <c r="D345" s="18"/>
      <c r="E345" s="106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 ht="15.75" customHeight="1">
      <c r="A346" s="18"/>
      <c r="B346" s="18"/>
      <c r="C346" s="18"/>
      <c r="D346" s="18"/>
      <c r="E346" s="106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 ht="15.75" customHeight="1">
      <c r="A347" s="18"/>
      <c r="B347" s="18"/>
      <c r="C347" s="18"/>
      <c r="D347" s="18"/>
      <c r="E347" s="106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 ht="15.75" customHeight="1">
      <c r="A348" s="18"/>
      <c r="B348" s="18"/>
      <c r="C348" s="18"/>
      <c r="D348" s="18"/>
      <c r="E348" s="106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 ht="15.75" customHeight="1">
      <c r="A349" s="18"/>
      <c r="B349" s="18"/>
      <c r="C349" s="18"/>
      <c r="D349" s="18"/>
      <c r="E349" s="106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 ht="15.75" customHeight="1">
      <c r="A350" s="18"/>
      <c r="B350" s="18"/>
      <c r="C350" s="18"/>
      <c r="D350" s="18"/>
      <c r="E350" s="106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 ht="15.75" customHeight="1">
      <c r="A351" s="18"/>
      <c r="B351" s="18"/>
      <c r="C351" s="18"/>
      <c r="D351" s="18"/>
      <c r="E351" s="106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 ht="15.75" customHeight="1">
      <c r="A352" s="18"/>
      <c r="B352" s="18"/>
      <c r="C352" s="18"/>
      <c r="D352" s="18"/>
      <c r="E352" s="106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 ht="15.75" customHeight="1">
      <c r="A353" s="18"/>
      <c r="B353" s="18"/>
      <c r="C353" s="18"/>
      <c r="D353" s="18"/>
      <c r="E353" s="106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 ht="15.75" customHeight="1">
      <c r="A354" s="18"/>
      <c r="B354" s="18"/>
      <c r="C354" s="18"/>
      <c r="D354" s="18"/>
      <c r="E354" s="106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 ht="15.75" customHeight="1">
      <c r="A355" s="18"/>
      <c r="B355" s="18"/>
      <c r="C355" s="18"/>
      <c r="D355" s="18"/>
      <c r="E355" s="106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 ht="15.75" customHeight="1">
      <c r="A356" s="18"/>
      <c r="B356" s="18"/>
      <c r="C356" s="18"/>
      <c r="D356" s="18"/>
      <c r="E356" s="106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 ht="15.75" customHeight="1">
      <c r="A357" s="18"/>
      <c r="B357" s="18"/>
      <c r="C357" s="18"/>
      <c r="D357" s="18"/>
      <c r="E357" s="106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 ht="15.75" customHeight="1">
      <c r="A358" s="18"/>
      <c r="B358" s="18"/>
      <c r="C358" s="18"/>
      <c r="D358" s="18"/>
      <c r="E358" s="106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 ht="15.75" customHeight="1">
      <c r="A359" s="18"/>
      <c r="B359" s="18"/>
      <c r="C359" s="18"/>
      <c r="D359" s="18"/>
      <c r="E359" s="106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 ht="15.75" customHeight="1">
      <c r="A360" s="18"/>
      <c r="B360" s="18"/>
      <c r="C360" s="18"/>
      <c r="D360" s="18"/>
      <c r="E360" s="106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 ht="15.75" customHeight="1">
      <c r="A361" s="18"/>
      <c r="B361" s="18"/>
      <c r="C361" s="18"/>
      <c r="D361" s="18"/>
      <c r="E361" s="106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ht="15.75" customHeight="1">
      <c r="A362" s="18"/>
      <c r="B362" s="18"/>
      <c r="C362" s="18"/>
      <c r="D362" s="18"/>
      <c r="E362" s="106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 ht="15.75" customHeight="1">
      <c r="A363" s="18"/>
      <c r="B363" s="18"/>
      <c r="C363" s="18"/>
      <c r="D363" s="18"/>
      <c r="E363" s="106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 ht="15.75" customHeight="1">
      <c r="A364" s="18"/>
      <c r="B364" s="18"/>
      <c r="C364" s="18"/>
      <c r="D364" s="18"/>
      <c r="E364" s="106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 ht="15.75" customHeight="1">
      <c r="A365" s="18"/>
      <c r="B365" s="18"/>
      <c r="C365" s="18"/>
      <c r="D365" s="18"/>
      <c r="E365" s="106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 ht="15.75" customHeight="1">
      <c r="A366" s="18"/>
      <c r="B366" s="18"/>
      <c r="C366" s="18"/>
      <c r="D366" s="18"/>
      <c r="E366" s="106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 ht="15.75" customHeight="1">
      <c r="A367" s="18"/>
      <c r="B367" s="18"/>
      <c r="C367" s="18"/>
      <c r="D367" s="18"/>
      <c r="E367" s="106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 ht="15.75" customHeight="1">
      <c r="A368" s="18"/>
      <c r="B368" s="18"/>
      <c r="C368" s="18"/>
      <c r="D368" s="18"/>
      <c r="E368" s="106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 ht="15.75" customHeight="1">
      <c r="A369" s="18"/>
      <c r="B369" s="18"/>
      <c r="C369" s="18"/>
      <c r="D369" s="18"/>
      <c r="E369" s="106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 ht="15.75" customHeight="1">
      <c r="A370" s="18"/>
      <c r="B370" s="18"/>
      <c r="C370" s="18"/>
      <c r="D370" s="18"/>
      <c r="E370" s="106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 ht="15.75" customHeight="1">
      <c r="A371" s="18"/>
      <c r="B371" s="18"/>
      <c r="C371" s="18"/>
      <c r="D371" s="18"/>
      <c r="E371" s="106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 ht="15.75" customHeight="1">
      <c r="A372" s="18"/>
      <c r="B372" s="18"/>
      <c r="C372" s="18"/>
      <c r="D372" s="18"/>
      <c r="E372" s="106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 ht="15.75" customHeight="1">
      <c r="A373" s="18"/>
      <c r="B373" s="18"/>
      <c r="C373" s="18"/>
      <c r="D373" s="18"/>
      <c r="E373" s="106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 ht="15.75" customHeight="1">
      <c r="A374" s="18"/>
      <c r="B374" s="18"/>
      <c r="C374" s="18"/>
      <c r="D374" s="18"/>
      <c r="E374" s="106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 ht="15.75" customHeight="1">
      <c r="A375" s="18"/>
      <c r="B375" s="18"/>
      <c r="C375" s="18"/>
      <c r="D375" s="18"/>
      <c r="E375" s="106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ht="15.75" customHeight="1">
      <c r="A376" s="18"/>
      <c r="B376" s="18"/>
      <c r="C376" s="18"/>
      <c r="D376" s="18"/>
      <c r="E376" s="106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 ht="15.75" customHeight="1">
      <c r="A377" s="18"/>
      <c r="B377" s="18"/>
      <c r="C377" s="18"/>
      <c r="D377" s="18"/>
      <c r="E377" s="106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 ht="15.75" customHeight="1">
      <c r="A378" s="18"/>
      <c r="B378" s="18"/>
      <c r="C378" s="18"/>
      <c r="D378" s="18"/>
      <c r="E378" s="106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 ht="15.75" customHeight="1">
      <c r="A379" s="18"/>
      <c r="B379" s="18"/>
      <c r="C379" s="18"/>
      <c r="D379" s="18"/>
      <c r="E379" s="106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 ht="15.75" customHeight="1">
      <c r="A380" s="18"/>
      <c r="B380" s="18"/>
      <c r="C380" s="18"/>
      <c r="D380" s="18"/>
      <c r="E380" s="106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 ht="15.75" customHeight="1">
      <c r="A381" s="18"/>
      <c r="B381" s="18"/>
      <c r="C381" s="18"/>
      <c r="D381" s="18"/>
      <c r="E381" s="106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 ht="15.75" customHeight="1">
      <c r="A382" s="18"/>
      <c r="B382" s="18"/>
      <c r="C382" s="18"/>
      <c r="D382" s="18"/>
      <c r="E382" s="106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 ht="15.75" customHeight="1">
      <c r="A383" s="18"/>
      <c r="B383" s="18"/>
      <c r="C383" s="18"/>
      <c r="D383" s="18"/>
      <c r="E383" s="106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 ht="15.75" customHeight="1">
      <c r="A384" s="18"/>
      <c r="B384" s="18"/>
      <c r="C384" s="18"/>
      <c r="D384" s="18"/>
      <c r="E384" s="106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 ht="15.75" customHeight="1">
      <c r="A385" s="18"/>
      <c r="B385" s="18"/>
      <c r="C385" s="18"/>
      <c r="D385" s="18"/>
      <c r="E385" s="106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 ht="15.75" customHeight="1">
      <c r="A386" s="18"/>
      <c r="B386" s="18"/>
      <c r="C386" s="18"/>
      <c r="D386" s="18"/>
      <c r="E386" s="106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 ht="15.75" customHeight="1">
      <c r="A387" s="18"/>
      <c r="B387" s="18"/>
      <c r="C387" s="18"/>
      <c r="D387" s="18"/>
      <c r="E387" s="106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 ht="15.75" customHeight="1">
      <c r="A388" s="18"/>
      <c r="B388" s="18"/>
      <c r="C388" s="18"/>
      <c r="D388" s="18"/>
      <c r="E388" s="106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 ht="15.75" customHeight="1">
      <c r="A389" s="18"/>
      <c r="B389" s="18"/>
      <c r="C389" s="18"/>
      <c r="D389" s="18"/>
      <c r="E389" s="106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 ht="15.75" customHeight="1">
      <c r="A390" s="18"/>
      <c r="B390" s="18"/>
      <c r="C390" s="18"/>
      <c r="D390" s="18"/>
      <c r="E390" s="106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 ht="15.75" customHeight="1">
      <c r="A391" s="18"/>
      <c r="B391" s="18"/>
      <c r="C391" s="18"/>
      <c r="D391" s="18"/>
      <c r="E391" s="106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 ht="15.75" customHeight="1">
      <c r="A392" s="18"/>
      <c r="B392" s="18"/>
      <c r="C392" s="18"/>
      <c r="D392" s="18"/>
      <c r="E392" s="106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 ht="15.75" customHeight="1">
      <c r="A393" s="18"/>
      <c r="B393" s="18"/>
      <c r="C393" s="18"/>
      <c r="D393" s="18"/>
      <c r="E393" s="106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 ht="15.75" customHeight="1">
      <c r="A394" s="18"/>
      <c r="B394" s="18"/>
      <c r="C394" s="18"/>
      <c r="D394" s="18"/>
      <c r="E394" s="106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 ht="15.75" customHeight="1">
      <c r="A395" s="18"/>
      <c r="B395" s="18"/>
      <c r="C395" s="18"/>
      <c r="D395" s="18"/>
      <c r="E395" s="106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 ht="15.75" customHeight="1">
      <c r="A396" s="18"/>
      <c r="B396" s="18"/>
      <c r="C396" s="18"/>
      <c r="D396" s="18"/>
      <c r="E396" s="106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 ht="15.75" customHeight="1">
      <c r="A397" s="18"/>
      <c r="B397" s="18"/>
      <c r="C397" s="18"/>
      <c r="D397" s="18"/>
      <c r="E397" s="106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 ht="15.75" customHeight="1">
      <c r="A398" s="18"/>
      <c r="B398" s="18"/>
      <c r="C398" s="18"/>
      <c r="D398" s="18"/>
      <c r="E398" s="106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 ht="15.75" customHeight="1">
      <c r="A399" s="18"/>
      <c r="B399" s="18"/>
      <c r="C399" s="18"/>
      <c r="D399" s="18"/>
      <c r="E399" s="106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 ht="15.75" customHeight="1">
      <c r="A400" s="18"/>
      <c r="B400" s="18"/>
      <c r="C400" s="18"/>
      <c r="D400" s="18"/>
      <c r="E400" s="106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 ht="15.75" customHeight="1">
      <c r="A401" s="18"/>
      <c r="B401" s="18"/>
      <c r="C401" s="18"/>
      <c r="D401" s="18"/>
      <c r="E401" s="106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 ht="15.75" customHeight="1">
      <c r="A402" s="18"/>
      <c r="B402" s="18"/>
      <c r="C402" s="18"/>
      <c r="D402" s="18"/>
      <c r="E402" s="106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 ht="15.75" customHeight="1">
      <c r="A403" s="18"/>
      <c r="B403" s="18"/>
      <c r="C403" s="18"/>
      <c r="D403" s="18"/>
      <c r="E403" s="106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 ht="15.75" customHeight="1">
      <c r="A404" s="18"/>
      <c r="B404" s="18"/>
      <c r="C404" s="18"/>
      <c r="D404" s="18"/>
      <c r="E404" s="106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 ht="15.75" customHeight="1">
      <c r="A405" s="18"/>
      <c r="B405" s="18"/>
      <c r="C405" s="18"/>
      <c r="D405" s="18"/>
      <c r="E405" s="106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 ht="15.75" customHeight="1">
      <c r="A406" s="18"/>
      <c r="B406" s="18"/>
      <c r="C406" s="18"/>
      <c r="D406" s="18"/>
      <c r="E406" s="106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 ht="15.75" customHeight="1">
      <c r="A407" s="18"/>
      <c r="B407" s="18"/>
      <c r="C407" s="18"/>
      <c r="D407" s="18"/>
      <c r="E407" s="106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 ht="15.75" customHeight="1">
      <c r="A408" s="18"/>
      <c r="B408" s="18"/>
      <c r="C408" s="18"/>
      <c r="D408" s="18"/>
      <c r="E408" s="106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 ht="15.75" customHeight="1">
      <c r="A409" s="18"/>
      <c r="B409" s="18"/>
      <c r="C409" s="18"/>
      <c r="D409" s="18"/>
      <c r="E409" s="106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 ht="15.75" customHeight="1">
      <c r="A410" s="18"/>
      <c r="B410" s="18"/>
      <c r="C410" s="18"/>
      <c r="D410" s="18"/>
      <c r="E410" s="106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 ht="15.75" customHeight="1">
      <c r="A411" s="18"/>
      <c r="B411" s="18"/>
      <c r="C411" s="18"/>
      <c r="D411" s="18"/>
      <c r="E411" s="106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 ht="15.75" customHeight="1">
      <c r="A412" s="18"/>
      <c r="B412" s="18"/>
      <c r="C412" s="18"/>
      <c r="D412" s="18"/>
      <c r="E412" s="106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 ht="15.75" customHeight="1">
      <c r="A413" s="18"/>
      <c r="B413" s="18"/>
      <c r="C413" s="18"/>
      <c r="D413" s="18"/>
      <c r="E413" s="106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 ht="15.75" customHeight="1">
      <c r="A414" s="18"/>
      <c r="B414" s="18"/>
      <c r="C414" s="18"/>
      <c r="D414" s="18"/>
      <c r="E414" s="106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 ht="15.75" customHeight="1">
      <c r="A415" s="18"/>
      <c r="B415" s="18"/>
      <c r="C415" s="18"/>
      <c r="D415" s="18"/>
      <c r="E415" s="106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 ht="15.75" customHeight="1">
      <c r="A416" s="18"/>
      <c r="B416" s="18"/>
      <c r="C416" s="18"/>
      <c r="D416" s="18"/>
      <c r="E416" s="106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 ht="15.75" customHeight="1">
      <c r="A417" s="18"/>
      <c r="B417" s="18"/>
      <c r="C417" s="18"/>
      <c r="D417" s="18"/>
      <c r="E417" s="106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 ht="15.75" customHeight="1">
      <c r="A418" s="18"/>
      <c r="B418" s="18"/>
      <c r="C418" s="18"/>
      <c r="D418" s="18"/>
      <c r="E418" s="106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 ht="15.75" customHeight="1">
      <c r="A419" s="18"/>
      <c r="B419" s="18"/>
      <c r="C419" s="18"/>
      <c r="D419" s="18"/>
      <c r="E419" s="106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 ht="15.75" customHeight="1">
      <c r="A420" s="18"/>
      <c r="B420" s="18"/>
      <c r="C420" s="18"/>
      <c r="D420" s="18"/>
      <c r="E420" s="106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 ht="15.75" customHeight="1">
      <c r="A421" s="18"/>
      <c r="B421" s="18"/>
      <c r="C421" s="18"/>
      <c r="D421" s="18"/>
      <c r="E421" s="106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 ht="15.75" customHeight="1">
      <c r="A422" s="18"/>
      <c r="B422" s="18"/>
      <c r="C422" s="18"/>
      <c r="D422" s="18"/>
      <c r="E422" s="106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 ht="15.75" customHeight="1">
      <c r="A423" s="18"/>
      <c r="B423" s="18"/>
      <c r="C423" s="18"/>
      <c r="D423" s="18"/>
      <c r="E423" s="106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15.75" customHeight="1">
      <c r="A424" s="18"/>
      <c r="B424" s="18"/>
      <c r="C424" s="18"/>
      <c r="D424" s="18"/>
      <c r="E424" s="106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 ht="15.75" customHeight="1">
      <c r="A425" s="18"/>
      <c r="B425" s="18"/>
      <c r="C425" s="18"/>
      <c r="D425" s="18"/>
      <c r="E425" s="106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 ht="15.75" customHeight="1">
      <c r="A426" s="18"/>
      <c r="B426" s="18"/>
      <c r="C426" s="18"/>
      <c r="D426" s="18"/>
      <c r="E426" s="106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 ht="15.75" customHeight="1">
      <c r="A427" s="18"/>
      <c r="B427" s="18"/>
      <c r="C427" s="18"/>
      <c r="D427" s="18"/>
      <c r="E427" s="106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 ht="15.75" customHeight="1">
      <c r="A428" s="18"/>
      <c r="B428" s="18"/>
      <c r="C428" s="18"/>
      <c r="D428" s="18"/>
      <c r="E428" s="106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 ht="15.75" customHeight="1">
      <c r="A429" s="18"/>
      <c r="B429" s="18"/>
      <c r="C429" s="18"/>
      <c r="D429" s="18"/>
      <c r="E429" s="106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 ht="15.75" customHeight="1">
      <c r="A430" s="18"/>
      <c r="B430" s="18"/>
      <c r="C430" s="18"/>
      <c r="D430" s="18"/>
      <c r="E430" s="106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 ht="15.75" customHeight="1">
      <c r="A431" s="18"/>
      <c r="B431" s="18"/>
      <c r="C431" s="18"/>
      <c r="D431" s="18"/>
      <c r="E431" s="106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 ht="15.75" customHeight="1">
      <c r="A432" s="18"/>
      <c r="B432" s="18"/>
      <c r="C432" s="18"/>
      <c r="D432" s="18"/>
      <c r="E432" s="106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 ht="15.75" customHeight="1">
      <c r="A433" s="18"/>
      <c r="B433" s="18"/>
      <c r="C433" s="18"/>
      <c r="D433" s="18"/>
      <c r="E433" s="106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 ht="15.75" customHeight="1">
      <c r="A434" s="18"/>
      <c r="B434" s="18"/>
      <c r="C434" s="18"/>
      <c r="D434" s="18"/>
      <c r="E434" s="106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 ht="15.75" customHeight="1">
      <c r="A435" s="18"/>
      <c r="B435" s="18"/>
      <c r="C435" s="18"/>
      <c r="D435" s="18"/>
      <c r="E435" s="106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 ht="15.75" customHeight="1">
      <c r="A436" s="18"/>
      <c r="B436" s="18"/>
      <c r="C436" s="18"/>
      <c r="D436" s="18"/>
      <c r="E436" s="106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 ht="15.75" customHeight="1">
      <c r="A437" s="18"/>
      <c r="B437" s="18"/>
      <c r="C437" s="18"/>
      <c r="D437" s="18"/>
      <c r="E437" s="106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 ht="15.75" customHeight="1">
      <c r="A438" s="18"/>
      <c r="B438" s="18"/>
      <c r="C438" s="18"/>
      <c r="D438" s="18"/>
      <c r="E438" s="106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 ht="15.75" customHeight="1">
      <c r="A439" s="18"/>
      <c r="B439" s="18"/>
      <c r="C439" s="18"/>
      <c r="D439" s="18"/>
      <c r="E439" s="106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 ht="15.75" customHeight="1">
      <c r="A440" s="18"/>
      <c r="B440" s="18"/>
      <c r="C440" s="18"/>
      <c r="D440" s="18"/>
      <c r="E440" s="106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 ht="15.75" customHeight="1">
      <c r="A441" s="18"/>
      <c r="B441" s="18"/>
      <c r="C441" s="18"/>
      <c r="D441" s="18"/>
      <c r="E441" s="106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 ht="15.75" customHeight="1">
      <c r="A442" s="18"/>
      <c r="B442" s="18"/>
      <c r="C442" s="18"/>
      <c r="D442" s="18"/>
      <c r="E442" s="106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 ht="15.75" customHeight="1">
      <c r="A443" s="18"/>
      <c r="B443" s="18"/>
      <c r="C443" s="18"/>
      <c r="D443" s="18"/>
      <c r="E443" s="106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 ht="15.75" customHeight="1">
      <c r="A444" s="18"/>
      <c r="B444" s="18"/>
      <c r="C444" s="18"/>
      <c r="D444" s="18"/>
      <c r="E444" s="106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 ht="15.75" customHeight="1">
      <c r="A445" s="18"/>
      <c r="B445" s="18"/>
      <c r="C445" s="18"/>
      <c r="D445" s="18"/>
      <c r="E445" s="106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 ht="15.75" customHeight="1">
      <c r="A446" s="18"/>
      <c r="B446" s="18"/>
      <c r="C446" s="18"/>
      <c r="D446" s="18"/>
      <c r="E446" s="106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 ht="15.75" customHeight="1">
      <c r="A447" s="18"/>
      <c r="B447" s="18"/>
      <c r="C447" s="18"/>
      <c r="D447" s="18"/>
      <c r="E447" s="106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 ht="15.75" customHeight="1">
      <c r="A448" s="18"/>
      <c r="B448" s="18"/>
      <c r="C448" s="18"/>
      <c r="D448" s="18"/>
      <c r="E448" s="106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 ht="15.75" customHeight="1">
      <c r="A449" s="18"/>
      <c r="B449" s="18"/>
      <c r="C449" s="18"/>
      <c r="D449" s="18"/>
      <c r="E449" s="106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 ht="15.75" customHeight="1">
      <c r="A450" s="18"/>
      <c r="B450" s="18"/>
      <c r="C450" s="18"/>
      <c r="D450" s="18"/>
      <c r="E450" s="106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 ht="15.75" customHeight="1">
      <c r="A451" s="18"/>
      <c r="B451" s="18"/>
      <c r="C451" s="18"/>
      <c r="D451" s="18"/>
      <c r="E451" s="106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 ht="15.75" customHeight="1">
      <c r="A452" s="18"/>
      <c r="B452" s="18"/>
      <c r="C452" s="18"/>
      <c r="D452" s="18"/>
      <c r="E452" s="106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 ht="15.75" customHeight="1">
      <c r="A453" s="18"/>
      <c r="B453" s="18"/>
      <c r="C453" s="18"/>
      <c r="D453" s="18"/>
      <c r="E453" s="106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 ht="15.75" customHeight="1">
      <c r="A454" s="18"/>
      <c r="B454" s="18"/>
      <c r="C454" s="18"/>
      <c r="D454" s="18"/>
      <c r="E454" s="106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 ht="15.75" customHeight="1">
      <c r="A455" s="18"/>
      <c r="B455" s="18"/>
      <c r="C455" s="18"/>
      <c r="D455" s="18"/>
      <c r="E455" s="106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 ht="15.75" customHeight="1">
      <c r="A456" s="18"/>
      <c r="B456" s="18"/>
      <c r="C456" s="18"/>
      <c r="D456" s="18"/>
      <c r="E456" s="106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 ht="15.75" customHeight="1">
      <c r="A457" s="18"/>
      <c r="B457" s="18"/>
      <c r="C457" s="18"/>
      <c r="D457" s="18"/>
      <c r="E457" s="106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 ht="15.75" customHeight="1">
      <c r="A458" s="18"/>
      <c r="B458" s="18"/>
      <c r="C458" s="18"/>
      <c r="D458" s="18"/>
      <c r="E458" s="106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 ht="15.75" customHeight="1">
      <c r="A459" s="18"/>
      <c r="B459" s="18"/>
      <c r="C459" s="18"/>
      <c r="D459" s="18"/>
      <c r="E459" s="106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 ht="15.75" customHeight="1">
      <c r="A460" s="18"/>
      <c r="B460" s="18"/>
      <c r="C460" s="18"/>
      <c r="D460" s="18"/>
      <c r="E460" s="106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 ht="15.75" customHeight="1">
      <c r="A461" s="18"/>
      <c r="B461" s="18"/>
      <c r="C461" s="18"/>
      <c r="D461" s="18"/>
      <c r="E461" s="106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 ht="15.75" customHeight="1">
      <c r="A462" s="18"/>
      <c r="B462" s="18"/>
      <c r="C462" s="18"/>
      <c r="D462" s="18"/>
      <c r="E462" s="106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 ht="15.75" customHeight="1">
      <c r="A463" s="18"/>
      <c r="B463" s="18"/>
      <c r="C463" s="18"/>
      <c r="D463" s="18"/>
      <c r="E463" s="106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 ht="15.75" customHeight="1">
      <c r="A464" s="18"/>
      <c r="B464" s="18"/>
      <c r="C464" s="18"/>
      <c r="D464" s="18"/>
      <c r="E464" s="106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 ht="15.75" customHeight="1">
      <c r="A465" s="18"/>
      <c r="B465" s="18"/>
      <c r="C465" s="18"/>
      <c r="D465" s="18"/>
      <c r="E465" s="106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 ht="15.75" customHeight="1">
      <c r="A466" s="18"/>
      <c r="B466" s="18"/>
      <c r="C466" s="18"/>
      <c r="D466" s="18"/>
      <c r="E466" s="106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 ht="15.75" customHeight="1">
      <c r="A467" s="18"/>
      <c r="B467" s="18"/>
      <c r="C467" s="18"/>
      <c r="D467" s="18"/>
      <c r="E467" s="106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 ht="15.75" customHeight="1">
      <c r="A468" s="18"/>
      <c r="B468" s="18"/>
      <c r="C468" s="18"/>
      <c r="D468" s="18"/>
      <c r="E468" s="106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 ht="15.75" customHeight="1">
      <c r="A469" s="18"/>
      <c r="B469" s="18"/>
      <c r="C469" s="18"/>
      <c r="D469" s="18"/>
      <c r="E469" s="106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 ht="15.75" customHeight="1">
      <c r="A470" s="18"/>
      <c r="B470" s="18"/>
      <c r="C470" s="18"/>
      <c r="D470" s="18"/>
      <c r="E470" s="106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 ht="15.75" customHeight="1">
      <c r="A471" s="18"/>
      <c r="B471" s="18"/>
      <c r="C471" s="18"/>
      <c r="D471" s="18"/>
      <c r="E471" s="106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 ht="15.75" customHeight="1">
      <c r="A472" s="18"/>
      <c r="B472" s="18"/>
      <c r="C472" s="18"/>
      <c r="D472" s="18"/>
      <c r="E472" s="106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 ht="15.75" customHeight="1">
      <c r="A473" s="18"/>
      <c r="B473" s="18"/>
      <c r="C473" s="18"/>
      <c r="D473" s="18"/>
      <c r="E473" s="106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 ht="15.75" customHeight="1">
      <c r="A474" s="18"/>
      <c r="B474" s="18"/>
      <c r="C474" s="18"/>
      <c r="D474" s="18"/>
      <c r="E474" s="106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 ht="15.75" customHeight="1">
      <c r="A475" s="18"/>
      <c r="B475" s="18"/>
      <c r="C475" s="18"/>
      <c r="D475" s="18"/>
      <c r="E475" s="106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 ht="15.75" customHeight="1">
      <c r="A476" s="18"/>
      <c r="B476" s="18"/>
      <c r="C476" s="18"/>
      <c r="D476" s="18"/>
      <c r="E476" s="106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 ht="15.75" customHeight="1">
      <c r="A477" s="18"/>
      <c r="B477" s="18"/>
      <c r="C477" s="18"/>
      <c r="D477" s="18"/>
      <c r="E477" s="106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 ht="15.75" customHeight="1">
      <c r="A478" s="18"/>
      <c r="B478" s="18"/>
      <c r="C478" s="18"/>
      <c r="D478" s="18"/>
      <c r="E478" s="106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 ht="15.75" customHeight="1">
      <c r="A479" s="18"/>
      <c r="B479" s="18"/>
      <c r="C479" s="18"/>
      <c r="D479" s="18"/>
      <c r="E479" s="106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 ht="15.75" customHeight="1">
      <c r="A480" s="18"/>
      <c r="B480" s="18"/>
      <c r="C480" s="18"/>
      <c r="D480" s="18"/>
      <c r="E480" s="106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 ht="15.75" customHeight="1">
      <c r="A481" s="18"/>
      <c r="B481" s="18"/>
      <c r="C481" s="18"/>
      <c r="D481" s="18"/>
      <c r="E481" s="106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 ht="15.75" customHeight="1">
      <c r="A482" s="18"/>
      <c r="B482" s="18"/>
      <c r="C482" s="18"/>
      <c r="D482" s="18"/>
      <c r="E482" s="106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 ht="15.75" customHeight="1">
      <c r="A483" s="18"/>
      <c r="B483" s="18"/>
      <c r="C483" s="18"/>
      <c r="D483" s="18"/>
      <c r="E483" s="106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 ht="15.75" customHeight="1">
      <c r="A484" s="18"/>
      <c r="B484" s="18"/>
      <c r="C484" s="18"/>
      <c r="D484" s="18"/>
      <c r="E484" s="106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 ht="15.75" customHeight="1">
      <c r="A485" s="18"/>
      <c r="B485" s="18"/>
      <c r="C485" s="18"/>
      <c r="D485" s="18"/>
      <c r="E485" s="106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 ht="15.75" customHeight="1">
      <c r="A486" s="18"/>
      <c r="B486" s="18"/>
      <c r="C486" s="18"/>
      <c r="D486" s="18"/>
      <c r="E486" s="106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 ht="15.75" customHeight="1">
      <c r="A487" s="18"/>
      <c r="B487" s="18"/>
      <c r="C487" s="18"/>
      <c r="D487" s="18"/>
      <c r="E487" s="106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 ht="15.75" customHeight="1">
      <c r="A488" s="18"/>
      <c r="B488" s="18"/>
      <c r="C488" s="18"/>
      <c r="D488" s="18"/>
      <c r="E488" s="106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 ht="15.75" customHeight="1">
      <c r="A489" s="18"/>
      <c r="B489" s="18"/>
      <c r="C489" s="18"/>
      <c r="D489" s="18"/>
      <c r="E489" s="106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 ht="15.75" customHeight="1">
      <c r="A490" s="18"/>
      <c r="B490" s="18"/>
      <c r="C490" s="18"/>
      <c r="D490" s="18"/>
      <c r="E490" s="106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 ht="15.75" customHeight="1">
      <c r="A491" s="18"/>
      <c r="B491" s="18"/>
      <c r="C491" s="18"/>
      <c r="D491" s="18"/>
      <c r="E491" s="106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 ht="15.75" customHeight="1">
      <c r="A492" s="18"/>
      <c r="B492" s="18"/>
      <c r="C492" s="18"/>
      <c r="D492" s="18"/>
      <c r="E492" s="106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 ht="15.75" customHeight="1">
      <c r="A493" s="18"/>
      <c r="B493" s="18"/>
      <c r="C493" s="18"/>
      <c r="D493" s="18"/>
      <c r="E493" s="106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 ht="15.75" customHeight="1">
      <c r="A494" s="18"/>
      <c r="B494" s="18"/>
      <c r="C494" s="18"/>
      <c r="D494" s="18"/>
      <c r="E494" s="106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 ht="15.75" customHeight="1">
      <c r="A495" s="18"/>
      <c r="B495" s="18"/>
      <c r="C495" s="18"/>
      <c r="D495" s="18"/>
      <c r="E495" s="106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 ht="15.75" customHeight="1">
      <c r="A496" s="18"/>
      <c r="B496" s="18"/>
      <c r="C496" s="18"/>
      <c r="D496" s="18"/>
      <c r="E496" s="106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 ht="15.75" customHeight="1">
      <c r="A497" s="18"/>
      <c r="B497" s="18"/>
      <c r="C497" s="18"/>
      <c r="D497" s="18"/>
      <c r="E497" s="106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 ht="15.75" customHeight="1">
      <c r="A498" s="18"/>
      <c r="B498" s="18"/>
      <c r="C498" s="18"/>
      <c r="D498" s="18"/>
      <c r="E498" s="106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 ht="15.75" customHeight="1">
      <c r="A499" s="18"/>
      <c r="B499" s="18"/>
      <c r="C499" s="18"/>
      <c r="D499" s="18"/>
      <c r="E499" s="106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 ht="15.75" customHeight="1">
      <c r="A500" s="18"/>
      <c r="B500" s="18"/>
      <c r="C500" s="18"/>
      <c r="D500" s="18"/>
      <c r="E500" s="106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 ht="15.75" customHeight="1">
      <c r="A501" s="18"/>
      <c r="B501" s="18"/>
      <c r="C501" s="18"/>
      <c r="D501" s="18"/>
      <c r="E501" s="106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 ht="15.75" customHeight="1">
      <c r="A502" s="18"/>
      <c r="B502" s="18"/>
      <c r="C502" s="18"/>
      <c r="D502" s="18"/>
      <c r="E502" s="106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 ht="15.75" customHeight="1">
      <c r="A503" s="18"/>
      <c r="B503" s="18"/>
      <c r="C503" s="18"/>
      <c r="D503" s="18"/>
      <c r="E503" s="106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 ht="15.75" customHeight="1">
      <c r="A504" s="18"/>
      <c r="B504" s="18"/>
      <c r="C504" s="18"/>
      <c r="D504" s="18"/>
      <c r="E504" s="106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 ht="15.75" customHeight="1">
      <c r="A505" s="18"/>
      <c r="B505" s="18"/>
      <c r="C505" s="18"/>
      <c r="D505" s="18"/>
      <c r="E505" s="106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 ht="15.75" customHeight="1">
      <c r="A506" s="18"/>
      <c r="B506" s="18"/>
      <c r="C506" s="18"/>
      <c r="D506" s="18"/>
      <c r="E506" s="106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 ht="15.75" customHeight="1">
      <c r="A507" s="18"/>
      <c r="B507" s="18"/>
      <c r="C507" s="18"/>
      <c r="D507" s="18"/>
      <c r="E507" s="106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 ht="15.75" customHeight="1">
      <c r="A508" s="18"/>
      <c r="B508" s="18"/>
      <c r="C508" s="18"/>
      <c r="D508" s="18"/>
      <c r="E508" s="106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 ht="15.75" customHeight="1">
      <c r="A509" s="18"/>
      <c r="B509" s="18"/>
      <c r="C509" s="18"/>
      <c r="D509" s="18"/>
      <c r="E509" s="106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 ht="15.75" customHeight="1">
      <c r="A510" s="18"/>
      <c r="B510" s="18"/>
      <c r="C510" s="18"/>
      <c r="D510" s="18"/>
      <c r="E510" s="106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 ht="15.75" customHeight="1">
      <c r="A511" s="18"/>
      <c r="B511" s="18"/>
      <c r="C511" s="18"/>
      <c r="D511" s="18"/>
      <c r="E511" s="106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 ht="15.75" customHeight="1">
      <c r="A512" s="18"/>
      <c r="B512" s="18"/>
      <c r="C512" s="18"/>
      <c r="D512" s="18"/>
      <c r="E512" s="106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 ht="15.75" customHeight="1">
      <c r="A513" s="18"/>
      <c r="B513" s="18"/>
      <c r="C513" s="18"/>
      <c r="D513" s="18"/>
      <c r="E513" s="106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 ht="15.75" customHeight="1">
      <c r="A514" s="18"/>
      <c r="B514" s="18"/>
      <c r="C514" s="18"/>
      <c r="D514" s="18"/>
      <c r="E514" s="106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 ht="15.75" customHeight="1">
      <c r="A515" s="18"/>
      <c r="B515" s="18"/>
      <c r="C515" s="18"/>
      <c r="D515" s="18"/>
      <c r="E515" s="106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 ht="15.75" customHeight="1">
      <c r="A516" s="18"/>
      <c r="B516" s="18"/>
      <c r="C516" s="18"/>
      <c r="D516" s="18"/>
      <c r="E516" s="106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 ht="15.75" customHeight="1">
      <c r="A517" s="18"/>
      <c r="B517" s="18"/>
      <c r="C517" s="18"/>
      <c r="D517" s="18"/>
      <c r="E517" s="106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 ht="15.75" customHeight="1">
      <c r="A518" s="18"/>
      <c r="B518" s="18"/>
      <c r="C518" s="18"/>
      <c r="D518" s="18"/>
      <c r="E518" s="106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 ht="15.75" customHeight="1">
      <c r="A519" s="18"/>
      <c r="B519" s="18"/>
      <c r="C519" s="18"/>
      <c r="D519" s="18"/>
      <c r="E519" s="106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 ht="15.75" customHeight="1">
      <c r="A520" s="18"/>
      <c r="B520" s="18"/>
      <c r="C520" s="18"/>
      <c r="D520" s="18"/>
      <c r="E520" s="106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 ht="15.75" customHeight="1">
      <c r="A521" s="18"/>
      <c r="B521" s="18"/>
      <c r="C521" s="18"/>
      <c r="D521" s="18"/>
      <c r="E521" s="106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 ht="15.75" customHeight="1">
      <c r="A522" s="18"/>
      <c r="B522" s="18"/>
      <c r="C522" s="18"/>
      <c r="D522" s="18"/>
      <c r="E522" s="106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 ht="15.75" customHeight="1">
      <c r="A523" s="18"/>
      <c r="B523" s="18"/>
      <c r="C523" s="18"/>
      <c r="D523" s="18"/>
      <c r="E523" s="106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 ht="15.75" customHeight="1">
      <c r="A524" s="18"/>
      <c r="B524" s="18"/>
      <c r="C524" s="18"/>
      <c r="D524" s="18"/>
      <c r="E524" s="106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 ht="15.75" customHeight="1">
      <c r="A525" s="18"/>
      <c r="B525" s="18"/>
      <c r="C525" s="18"/>
      <c r="D525" s="18"/>
      <c r="E525" s="106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 ht="15.75" customHeight="1">
      <c r="A526" s="18"/>
      <c r="B526" s="18"/>
      <c r="C526" s="18"/>
      <c r="D526" s="18"/>
      <c r="E526" s="106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 ht="15.75" customHeight="1">
      <c r="A527" s="18"/>
      <c r="B527" s="18"/>
      <c r="C527" s="18"/>
      <c r="D527" s="18"/>
      <c r="E527" s="106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 ht="15.75" customHeight="1">
      <c r="A528" s="18"/>
      <c r="B528" s="18"/>
      <c r="C528" s="18"/>
      <c r="D528" s="18"/>
      <c r="E528" s="106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 ht="15.75" customHeight="1">
      <c r="A529" s="18"/>
      <c r="B529" s="18"/>
      <c r="C529" s="18"/>
      <c r="D529" s="18"/>
      <c r="E529" s="106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 ht="15.75" customHeight="1">
      <c r="A530" s="18"/>
      <c r="B530" s="18"/>
      <c r="C530" s="18"/>
      <c r="D530" s="18"/>
      <c r="E530" s="106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 ht="15.75" customHeight="1">
      <c r="A531" s="18"/>
      <c r="B531" s="18"/>
      <c r="C531" s="18"/>
      <c r="D531" s="18"/>
      <c r="E531" s="106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 ht="15.75" customHeight="1">
      <c r="A532" s="18"/>
      <c r="B532" s="18"/>
      <c r="C532" s="18"/>
      <c r="D532" s="18"/>
      <c r="E532" s="106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 ht="15.75" customHeight="1">
      <c r="A533" s="18"/>
      <c r="B533" s="18"/>
      <c r="C533" s="18"/>
      <c r="D533" s="18"/>
      <c r="E533" s="106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 ht="15.75" customHeight="1">
      <c r="A534" s="18"/>
      <c r="B534" s="18"/>
      <c r="C534" s="18"/>
      <c r="D534" s="18"/>
      <c r="E534" s="106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 ht="15.75" customHeight="1">
      <c r="A535" s="18"/>
      <c r="B535" s="18"/>
      <c r="C535" s="18"/>
      <c r="D535" s="18"/>
      <c r="E535" s="106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 ht="15.75" customHeight="1">
      <c r="A536" s="18"/>
      <c r="B536" s="18"/>
      <c r="C536" s="18"/>
      <c r="D536" s="18"/>
      <c r="E536" s="106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 ht="15.75" customHeight="1">
      <c r="A537" s="18"/>
      <c r="B537" s="18"/>
      <c r="C537" s="18"/>
      <c r="D537" s="18"/>
      <c r="E537" s="106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 ht="15.75" customHeight="1">
      <c r="A538" s="18"/>
      <c r="B538" s="18"/>
      <c r="C538" s="18"/>
      <c r="D538" s="18"/>
      <c r="E538" s="106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 ht="15.75" customHeight="1">
      <c r="A539" s="18"/>
      <c r="B539" s="18"/>
      <c r="C539" s="18"/>
      <c r="D539" s="18"/>
      <c r="E539" s="106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 ht="15.75" customHeight="1">
      <c r="A540" s="18"/>
      <c r="B540" s="18"/>
      <c r="C540" s="18"/>
      <c r="D540" s="18"/>
      <c r="E540" s="106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 ht="15.75" customHeight="1">
      <c r="A541" s="18"/>
      <c r="B541" s="18"/>
      <c r="C541" s="18"/>
      <c r="D541" s="18"/>
      <c r="E541" s="106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 ht="15.75" customHeight="1">
      <c r="A542" s="18"/>
      <c r="B542" s="18"/>
      <c r="C542" s="18"/>
      <c r="D542" s="18"/>
      <c r="E542" s="106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 ht="15.75" customHeight="1">
      <c r="A543" s="18"/>
      <c r="B543" s="18"/>
      <c r="C543" s="18"/>
      <c r="D543" s="18"/>
      <c r="E543" s="106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 ht="15.75" customHeight="1">
      <c r="A544" s="18"/>
      <c r="B544" s="18"/>
      <c r="C544" s="18"/>
      <c r="D544" s="18"/>
      <c r="E544" s="106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 ht="15.75" customHeight="1">
      <c r="A545" s="18"/>
      <c r="B545" s="18"/>
      <c r="C545" s="18"/>
      <c r="D545" s="18"/>
      <c r="E545" s="106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 ht="15.75" customHeight="1">
      <c r="A546" s="18"/>
      <c r="B546" s="18"/>
      <c r="C546" s="18"/>
      <c r="D546" s="18"/>
      <c r="E546" s="106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 ht="15.75" customHeight="1">
      <c r="A547" s="18"/>
      <c r="B547" s="18"/>
      <c r="C547" s="18"/>
      <c r="D547" s="18"/>
      <c r="E547" s="106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 ht="15.75" customHeight="1">
      <c r="A548" s="18"/>
      <c r="B548" s="18"/>
      <c r="C548" s="18"/>
      <c r="D548" s="18"/>
      <c r="E548" s="106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 ht="15.75" customHeight="1">
      <c r="A549" s="18"/>
      <c r="B549" s="18"/>
      <c r="C549" s="18"/>
      <c r="D549" s="18"/>
      <c r="E549" s="106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 ht="15.75" customHeight="1">
      <c r="A550" s="18"/>
      <c r="B550" s="18"/>
      <c r="C550" s="18"/>
      <c r="D550" s="18"/>
      <c r="E550" s="106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 ht="15.75" customHeight="1">
      <c r="A551" s="18"/>
      <c r="B551" s="18"/>
      <c r="C551" s="18"/>
      <c r="D551" s="18"/>
      <c r="E551" s="106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 ht="15.75" customHeight="1">
      <c r="A552" s="18"/>
      <c r="B552" s="18"/>
      <c r="C552" s="18"/>
      <c r="D552" s="18"/>
      <c r="E552" s="106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 ht="15.75" customHeight="1">
      <c r="A553" s="18"/>
      <c r="B553" s="18"/>
      <c r="C553" s="18"/>
      <c r="D553" s="18"/>
      <c r="E553" s="106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 ht="15.75" customHeight="1">
      <c r="A554" s="18"/>
      <c r="B554" s="18"/>
      <c r="C554" s="18"/>
      <c r="D554" s="18"/>
      <c r="E554" s="106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 ht="15.75" customHeight="1">
      <c r="A555" s="18"/>
      <c r="B555" s="18"/>
      <c r="C555" s="18"/>
      <c r="D555" s="18"/>
      <c r="E555" s="106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 ht="15.75" customHeight="1">
      <c r="A556" s="18"/>
      <c r="B556" s="18"/>
      <c r="C556" s="18"/>
      <c r="D556" s="18"/>
      <c r="E556" s="106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 ht="15.75" customHeight="1">
      <c r="A557" s="18"/>
      <c r="B557" s="18"/>
      <c r="C557" s="18"/>
      <c r="D557" s="18"/>
      <c r="E557" s="106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 ht="15.75" customHeight="1">
      <c r="A558" s="18"/>
      <c r="B558" s="18"/>
      <c r="C558" s="18"/>
      <c r="D558" s="18"/>
      <c r="E558" s="106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 ht="15.75" customHeight="1">
      <c r="A559" s="18"/>
      <c r="B559" s="18"/>
      <c r="C559" s="18"/>
      <c r="D559" s="18"/>
      <c r="E559" s="106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 ht="15.75" customHeight="1">
      <c r="A560" s="18"/>
      <c r="B560" s="18"/>
      <c r="C560" s="18"/>
      <c r="D560" s="18"/>
      <c r="E560" s="106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 ht="15.75" customHeight="1">
      <c r="A561" s="18"/>
      <c r="B561" s="18"/>
      <c r="C561" s="18"/>
      <c r="D561" s="18"/>
      <c r="E561" s="106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 ht="15.75" customHeight="1">
      <c r="A562" s="18"/>
      <c r="B562" s="18"/>
      <c r="C562" s="18"/>
      <c r="D562" s="18"/>
      <c r="E562" s="106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 ht="15.75" customHeight="1">
      <c r="A563" s="18"/>
      <c r="B563" s="18"/>
      <c r="C563" s="18"/>
      <c r="D563" s="18"/>
      <c r="E563" s="106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 ht="15.75" customHeight="1">
      <c r="A564" s="18"/>
      <c r="B564" s="18"/>
      <c r="C564" s="18"/>
      <c r="D564" s="18"/>
      <c r="E564" s="106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 ht="15.75" customHeight="1">
      <c r="A565" s="18"/>
      <c r="B565" s="18"/>
      <c r="C565" s="18"/>
      <c r="D565" s="18"/>
      <c r="E565" s="106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 ht="15.75" customHeight="1">
      <c r="A566" s="18"/>
      <c r="B566" s="18"/>
      <c r="C566" s="18"/>
      <c r="D566" s="18"/>
      <c r="E566" s="106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 ht="15.75" customHeight="1">
      <c r="A567" s="18"/>
      <c r="B567" s="18"/>
      <c r="C567" s="18"/>
      <c r="D567" s="18"/>
      <c r="E567" s="106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 ht="15.75" customHeight="1">
      <c r="A568" s="18"/>
      <c r="B568" s="18"/>
      <c r="C568" s="18"/>
      <c r="D568" s="18"/>
      <c r="E568" s="106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 ht="15.75" customHeight="1">
      <c r="A569" s="18"/>
      <c r="B569" s="18"/>
      <c r="C569" s="18"/>
      <c r="D569" s="18"/>
      <c r="E569" s="106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 ht="15.75" customHeight="1">
      <c r="A570" s="18"/>
      <c r="B570" s="18"/>
      <c r="C570" s="18"/>
      <c r="D570" s="18"/>
      <c r="E570" s="106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 ht="15.75" customHeight="1">
      <c r="A571" s="18"/>
      <c r="B571" s="18"/>
      <c r="C571" s="18"/>
      <c r="D571" s="18"/>
      <c r="E571" s="106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 ht="15.75" customHeight="1">
      <c r="A572" s="18"/>
      <c r="B572" s="18"/>
      <c r="C572" s="18"/>
      <c r="D572" s="18"/>
      <c r="E572" s="106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 ht="15.75" customHeight="1">
      <c r="A573" s="18"/>
      <c r="B573" s="18"/>
      <c r="C573" s="18"/>
      <c r="D573" s="18"/>
      <c r="E573" s="106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 ht="15.75" customHeight="1">
      <c r="A574" s="18"/>
      <c r="B574" s="18"/>
      <c r="C574" s="18"/>
      <c r="D574" s="18"/>
      <c r="E574" s="106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 ht="15.75" customHeight="1">
      <c r="A575" s="18"/>
      <c r="B575" s="18"/>
      <c r="C575" s="18"/>
      <c r="D575" s="18"/>
      <c r="E575" s="106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 ht="15.75" customHeight="1">
      <c r="A576" s="18"/>
      <c r="B576" s="18"/>
      <c r="C576" s="18"/>
      <c r="D576" s="18"/>
      <c r="E576" s="106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 ht="15.75" customHeight="1">
      <c r="A577" s="18"/>
      <c r="B577" s="18"/>
      <c r="C577" s="18"/>
      <c r="D577" s="18"/>
      <c r="E577" s="106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 ht="15.75" customHeight="1">
      <c r="A578" s="18"/>
      <c r="B578" s="18"/>
      <c r="C578" s="18"/>
      <c r="D578" s="18"/>
      <c r="E578" s="106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 ht="15.75" customHeight="1">
      <c r="A579" s="18"/>
      <c r="B579" s="18"/>
      <c r="C579" s="18"/>
      <c r="D579" s="18"/>
      <c r="E579" s="106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 ht="15.75" customHeight="1">
      <c r="A580" s="18"/>
      <c r="B580" s="18"/>
      <c r="C580" s="18"/>
      <c r="D580" s="18"/>
      <c r="E580" s="106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 ht="15.75" customHeight="1">
      <c r="A581" s="18"/>
      <c r="B581" s="18"/>
      <c r="C581" s="18"/>
      <c r="D581" s="18"/>
      <c r="E581" s="106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 ht="15.75" customHeight="1">
      <c r="A582" s="18"/>
      <c r="B582" s="18"/>
      <c r="C582" s="18"/>
      <c r="D582" s="18"/>
      <c r="E582" s="106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 ht="15.75" customHeight="1">
      <c r="A583" s="18"/>
      <c r="B583" s="18"/>
      <c r="C583" s="18"/>
      <c r="D583" s="18"/>
      <c r="E583" s="106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 ht="15.75" customHeight="1">
      <c r="A584" s="18"/>
      <c r="B584" s="18"/>
      <c r="C584" s="18"/>
      <c r="D584" s="18"/>
      <c r="E584" s="106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 ht="15.75" customHeight="1">
      <c r="A585" s="18"/>
      <c r="B585" s="18"/>
      <c r="C585" s="18"/>
      <c r="D585" s="18"/>
      <c r="E585" s="106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 ht="15.75" customHeight="1">
      <c r="A586" s="18"/>
      <c r="B586" s="18"/>
      <c r="C586" s="18"/>
      <c r="D586" s="18"/>
      <c r="E586" s="106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 ht="15.75" customHeight="1">
      <c r="A587" s="18"/>
      <c r="B587" s="18"/>
      <c r="C587" s="18"/>
      <c r="D587" s="18"/>
      <c r="E587" s="106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 ht="15.75" customHeight="1">
      <c r="A588" s="18"/>
      <c r="B588" s="18"/>
      <c r="C588" s="18"/>
      <c r="D588" s="18"/>
      <c r="E588" s="106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 ht="15.75" customHeight="1">
      <c r="A589" s="18"/>
      <c r="B589" s="18"/>
      <c r="C589" s="18"/>
      <c r="D589" s="18"/>
      <c r="E589" s="106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 ht="15.75" customHeight="1">
      <c r="A590" s="18"/>
      <c r="B590" s="18"/>
      <c r="C590" s="18"/>
      <c r="D590" s="18"/>
      <c r="E590" s="106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 ht="15.75" customHeight="1">
      <c r="A591" s="18"/>
      <c r="B591" s="18"/>
      <c r="C591" s="18"/>
      <c r="D591" s="18"/>
      <c r="E591" s="106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 ht="15.75" customHeight="1">
      <c r="A592" s="18"/>
      <c r="B592" s="18"/>
      <c r="C592" s="18"/>
      <c r="D592" s="18"/>
      <c r="E592" s="106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 ht="15.75" customHeight="1">
      <c r="A593" s="18"/>
      <c r="B593" s="18"/>
      <c r="C593" s="18"/>
      <c r="D593" s="18"/>
      <c r="E593" s="106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 ht="15.75" customHeight="1">
      <c r="A594" s="18"/>
      <c r="B594" s="18"/>
      <c r="C594" s="18"/>
      <c r="D594" s="18"/>
      <c r="E594" s="106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 ht="15.75" customHeight="1">
      <c r="A595" s="18"/>
      <c r="B595" s="18"/>
      <c r="C595" s="18"/>
      <c r="D595" s="18"/>
      <c r="E595" s="106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 ht="15.75" customHeight="1">
      <c r="A596" s="18"/>
      <c r="B596" s="18"/>
      <c r="C596" s="18"/>
      <c r="D596" s="18"/>
      <c r="E596" s="106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 ht="15.75" customHeight="1">
      <c r="A597" s="18"/>
      <c r="B597" s="18"/>
      <c r="C597" s="18"/>
      <c r="D597" s="18"/>
      <c r="E597" s="106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 ht="15.75" customHeight="1">
      <c r="A598" s="18"/>
      <c r="B598" s="18"/>
      <c r="C598" s="18"/>
      <c r="D598" s="18"/>
      <c r="E598" s="106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 ht="15.75" customHeight="1">
      <c r="A599" s="18"/>
      <c r="B599" s="18"/>
      <c r="C599" s="18"/>
      <c r="D599" s="18"/>
      <c r="E599" s="106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 ht="15.75" customHeight="1">
      <c r="A600" s="18"/>
      <c r="B600" s="18"/>
      <c r="C600" s="18"/>
      <c r="D600" s="18"/>
      <c r="E600" s="106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 ht="15.75" customHeight="1">
      <c r="A601" s="18"/>
      <c r="B601" s="18"/>
      <c r="C601" s="18"/>
      <c r="D601" s="18"/>
      <c r="E601" s="106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 ht="15.75" customHeight="1">
      <c r="A602" s="18"/>
      <c r="B602" s="18"/>
      <c r="C602" s="18"/>
      <c r="D602" s="18"/>
      <c r="E602" s="106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 ht="15.75" customHeight="1">
      <c r="A603" s="18"/>
      <c r="B603" s="18"/>
      <c r="C603" s="18"/>
      <c r="D603" s="18"/>
      <c r="E603" s="106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 ht="15.75" customHeight="1">
      <c r="A604" s="18"/>
      <c r="B604" s="18"/>
      <c r="C604" s="18"/>
      <c r="D604" s="18"/>
      <c r="E604" s="106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 ht="15.75" customHeight="1">
      <c r="A605" s="18"/>
      <c r="B605" s="18"/>
      <c r="C605" s="18"/>
      <c r="D605" s="18"/>
      <c r="E605" s="106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 ht="15.75" customHeight="1">
      <c r="A606" s="18"/>
      <c r="B606" s="18"/>
      <c r="C606" s="18"/>
      <c r="D606" s="18"/>
      <c r="E606" s="106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 ht="15.75" customHeight="1">
      <c r="A607" s="18"/>
      <c r="B607" s="18"/>
      <c r="C607" s="18"/>
      <c r="D607" s="18"/>
      <c r="E607" s="106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 ht="15.75" customHeight="1">
      <c r="A608" s="18"/>
      <c r="B608" s="18"/>
      <c r="C608" s="18"/>
      <c r="D608" s="18"/>
      <c r="E608" s="106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 ht="15.75" customHeight="1">
      <c r="A609" s="18"/>
      <c r="B609" s="18"/>
      <c r="C609" s="18"/>
      <c r="D609" s="18"/>
      <c r="E609" s="106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 ht="15.75" customHeight="1">
      <c r="A610" s="18"/>
      <c r="B610" s="18"/>
      <c r="C610" s="18"/>
      <c r="D610" s="18"/>
      <c r="E610" s="106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 ht="15.75" customHeight="1">
      <c r="A611" s="18"/>
      <c r="B611" s="18"/>
      <c r="C611" s="18"/>
      <c r="D611" s="18"/>
      <c r="E611" s="106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 ht="15.75" customHeight="1">
      <c r="A612" s="18"/>
      <c r="B612" s="18"/>
      <c r="C612" s="18"/>
      <c r="D612" s="18"/>
      <c r="E612" s="106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 ht="15.75" customHeight="1">
      <c r="A613" s="18"/>
      <c r="B613" s="18"/>
      <c r="C613" s="18"/>
      <c r="D613" s="18"/>
      <c r="E613" s="106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 ht="15.75" customHeight="1">
      <c r="A614" s="18"/>
      <c r="B614" s="18"/>
      <c r="C614" s="18"/>
      <c r="D614" s="18"/>
      <c r="E614" s="106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 ht="15.75" customHeight="1">
      <c r="A615" s="18"/>
      <c r="B615" s="18"/>
      <c r="C615" s="18"/>
      <c r="D615" s="18"/>
      <c r="E615" s="106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 ht="15.75" customHeight="1">
      <c r="A616" s="18"/>
      <c r="B616" s="18"/>
      <c r="C616" s="18"/>
      <c r="D616" s="18"/>
      <c r="E616" s="106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 ht="15.75" customHeight="1">
      <c r="A617" s="18"/>
      <c r="B617" s="18"/>
      <c r="C617" s="18"/>
      <c r="D617" s="18"/>
      <c r="E617" s="106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 ht="15.75" customHeight="1">
      <c r="A618" s="18"/>
      <c r="B618" s="18"/>
      <c r="C618" s="18"/>
      <c r="D618" s="18"/>
      <c r="E618" s="106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 ht="15.75" customHeight="1">
      <c r="A619" s="18"/>
      <c r="B619" s="18"/>
      <c r="C619" s="18"/>
      <c r="D619" s="18"/>
      <c r="E619" s="106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 ht="15.75" customHeight="1">
      <c r="A620" s="18"/>
      <c r="B620" s="18"/>
      <c r="C620" s="18"/>
      <c r="D620" s="18"/>
      <c r="E620" s="106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 ht="15.75" customHeight="1">
      <c r="A621" s="18"/>
      <c r="B621" s="18"/>
      <c r="C621" s="18"/>
      <c r="D621" s="18"/>
      <c r="E621" s="106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 ht="15.75" customHeight="1">
      <c r="A622" s="18"/>
      <c r="B622" s="18"/>
      <c r="C622" s="18"/>
      <c r="D622" s="18"/>
      <c r="E622" s="106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 ht="15.75" customHeight="1">
      <c r="A623" s="18"/>
      <c r="B623" s="18"/>
      <c r="C623" s="18"/>
      <c r="D623" s="18"/>
      <c r="E623" s="106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 ht="15.75" customHeight="1">
      <c r="A624" s="18"/>
      <c r="B624" s="18"/>
      <c r="C624" s="18"/>
      <c r="D624" s="18"/>
      <c r="E624" s="106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 ht="15.75" customHeight="1">
      <c r="A625" s="18"/>
      <c r="B625" s="18"/>
      <c r="C625" s="18"/>
      <c r="D625" s="18"/>
      <c r="E625" s="106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 ht="15.75" customHeight="1">
      <c r="A626" s="18"/>
      <c r="B626" s="18"/>
      <c r="C626" s="18"/>
      <c r="D626" s="18"/>
      <c r="E626" s="106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 ht="15.75" customHeight="1">
      <c r="A627" s="18"/>
      <c r="B627" s="18"/>
      <c r="C627" s="18"/>
      <c r="D627" s="18"/>
      <c r="E627" s="106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 ht="15.75" customHeight="1">
      <c r="A628" s="18"/>
      <c r="B628" s="18"/>
      <c r="C628" s="18"/>
      <c r="D628" s="18"/>
      <c r="E628" s="106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 ht="15.75" customHeight="1">
      <c r="A629" s="18"/>
      <c r="B629" s="18"/>
      <c r="C629" s="18"/>
      <c r="D629" s="18"/>
      <c r="E629" s="106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 ht="15.75" customHeight="1">
      <c r="A630" s="18"/>
      <c r="B630" s="18"/>
      <c r="C630" s="18"/>
      <c r="D630" s="18"/>
      <c r="E630" s="106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 ht="15.75" customHeight="1">
      <c r="A631" s="18"/>
      <c r="B631" s="18"/>
      <c r="C631" s="18"/>
      <c r="D631" s="18"/>
      <c r="E631" s="106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 ht="15.75" customHeight="1">
      <c r="A632" s="18"/>
      <c r="B632" s="18"/>
      <c r="C632" s="18"/>
      <c r="D632" s="18"/>
      <c r="E632" s="106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 ht="15.75" customHeight="1">
      <c r="A633" s="18"/>
      <c r="B633" s="18"/>
      <c r="C633" s="18"/>
      <c r="D633" s="18"/>
      <c r="E633" s="106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 ht="15.75" customHeight="1">
      <c r="A634" s="18"/>
      <c r="B634" s="18"/>
      <c r="C634" s="18"/>
      <c r="D634" s="18"/>
      <c r="E634" s="106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 ht="15.75" customHeight="1">
      <c r="A635" s="18"/>
      <c r="B635" s="18"/>
      <c r="C635" s="18"/>
      <c r="D635" s="18"/>
      <c r="E635" s="106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 ht="15.75" customHeight="1">
      <c r="A636" s="18"/>
      <c r="B636" s="18"/>
      <c r="C636" s="18"/>
      <c r="D636" s="18"/>
      <c r="E636" s="106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 ht="15.75" customHeight="1">
      <c r="A637" s="18"/>
      <c r="B637" s="18"/>
      <c r="C637" s="18"/>
      <c r="D637" s="18"/>
      <c r="E637" s="106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 ht="15.75" customHeight="1">
      <c r="A638" s="18"/>
      <c r="B638" s="18"/>
      <c r="C638" s="18"/>
      <c r="D638" s="18"/>
      <c r="E638" s="106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 ht="15.75" customHeight="1">
      <c r="A639" s="18"/>
      <c r="B639" s="18"/>
      <c r="C639" s="18"/>
      <c r="D639" s="18"/>
      <c r="E639" s="106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 ht="15.75" customHeight="1">
      <c r="A640" s="18"/>
      <c r="B640" s="18"/>
      <c r="C640" s="18"/>
      <c r="D640" s="18"/>
      <c r="E640" s="106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 ht="15.75" customHeight="1">
      <c r="A641" s="18"/>
      <c r="B641" s="18"/>
      <c r="C641" s="18"/>
      <c r="D641" s="18"/>
      <c r="E641" s="106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 ht="15.75" customHeight="1">
      <c r="A642" s="18"/>
      <c r="B642" s="18"/>
      <c r="C642" s="18"/>
      <c r="D642" s="18"/>
      <c r="E642" s="106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 ht="15.75" customHeight="1">
      <c r="A643" s="18"/>
      <c r="B643" s="18"/>
      <c r="C643" s="18"/>
      <c r="D643" s="18"/>
      <c r="E643" s="106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 ht="15.75" customHeight="1">
      <c r="A644" s="18"/>
      <c r="B644" s="18"/>
      <c r="C644" s="18"/>
      <c r="D644" s="18"/>
      <c r="E644" s="106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 ht="15.75" customHeight="1">
      <c r="A645" s="18"/>
      <c r="B645" s="18"/>
      <c r="C645" s="18"/>
      <c r="D645" s="18"/>
      <c r="E645" s="106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 ht="15.75" customHeight="1">
      <c r="A646" s="18"/>
      <c r="B646" s="18"/>
      <c r="C646" s="18"/>
      <c r="D646" s="18"/>
      <c r="E646" s="106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 ht="15.75" customHeight="1">
      <c r="A647" s="18"/>
      <c r="B647" s="18"/>
      <c r="C647" s="18"/>
      <c r="D647" s="18"/>
      <c r="E647" s="106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 ht="15.75" customHeight="1">
      <c r="A648" s="18"/>
      <c r="B648" s="18"/>
      <c r="C648" s="18"/>
      <c r="D648" s="18"/>
      <c r="E648" s="106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 ht="15.75" customHeight="1">
      <c r="A649" s="18"/>
      <c r="B649" s="18"/>
      <c r="C649" s="18"/>
      <c r="D649" s="18"/>
      <c r="E649" s="106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 ht="15.75" customHeight="1">
      <c r="A650" s="18"/>
      <c r="B650" s="18"/>
      <c r="C650" s="18"/>
      <c r="D650" s="18"/>
      <c r="E650" s="106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 ht="15.75" customHeight="1">
      <c r="A651" s="18"/>
      <c r="B651" s="18"/>
      <c r="C651" s="18"/>
      <c r="D651" s="18"/>
      <c r="E651" s="106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 ht="15.75" customHeight="1">
      <c r="A652" s="18"/>
      <c r="B652" s="18"/>
      <c r="C652" s="18"/>
      <c r="D652" s="18"/>
      <c r="E652" s="106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 ht="15.75" customHeight="1">
      <c r="A653" s="18"/>
      <c r="B653" s="18"/>
      <c r="C653" s="18"/>
      <c r="D653" s="18"/>
      <c r="E653" s="106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 ht="15.75" customHeight="1">
      <c r="A654" s="18"/>
      <c r="B654" s="18"/>
      <c r="C654" s="18"/>
      <c r="D654" s="18"/>
      <c r="E654" s="106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 ht="15.75" customHeight="1">
      <c r="A655" s="18"/>
      <c r="B655" s="18"/>
      <c r="C655" s="18"/>
      <c r="D655" s="18"/>
      <c r="E655" s="106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 ht="15.75" customHeight="1">
      <c r="A656" s="18"/>
      <c r="B656" s="18"/>
      <c r="C656" s="18"/>
      <c r="D656" s="18"/>
      <c r="E656" s="106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 ht="15.75" customHeight="1">
      <c r="A657" s="18"/>
      <c r="B657" s="18"/>
      <c r="C657" s="18"/>
      <c r="D657" s="18"/>
      <c r="E657" s="106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 ht="15.75" customHeight="1">
      <c r="A658" s="18"/>
      <c r="B658" s="18"/>
      <c r="C658" s="18"/>
      <c r="D658" s="18"/>
      <c r="E658" s="106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 ht="15.75" customHeight="1">
      <c r="A659" s="18"/>
      <c r="B659" s="18"/>
      <c r="C659" s="18"/>
      <c r="D659" s="18"/>
      <c r="E659" s="106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 ht="15.75" customHeight="1">
      <c r="A660" s="18"/>
      <c r="B660" s="18"/>
      <c r="C660" s="18"/>
      <c r="D660" s="18"/>
      <c r="E660" s="106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 ht="15.75" customHeight="1">
      <c r="A661" s="18"/>
      <c r="B661" s="18"/>
      <c r="C661" s="18"/>
      <c r="D661" s="18"/>
      <c r="E661" s="106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 ht="15.75" customHeight="1">
      <c r="A662" s="18"/>
      <c r="B662" s="18"/>
      <c r="C662" s="18"/>
      <c r="D662" s="18"/>
      <c r="E662" s="106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 ht="15.75" customHeight="1">
      <c r="A663" s="18"/>
      <c r="B663" s="18"/>
      <c r="C663" s="18"/>
      <c r="D663" s="18"/>
      <c r="E663" s="106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 ht="15.75" customHeight="1">
      <c r="A664" s="18"/>
      <c r="B664" s="18"/>
      <c r="C664" s="18"/>
      <c r="D664" s="18"/>
      <c r="E664" s="106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 ht="15.75" customHeight="1">
      <c r="A665" s="18"/>
      <c r="B665" s="18"/>
      <c r="C665" s="18"/>
      <c r="D665" s="18"/>
      <c r="E665" s="106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 ht="15.75" customHeight="1">
      <c r="A666" s="18"/>
      <c r="B666" s="18"/>
      <c r="C666" s="18"/>
      <c r="D666" s="18"/>
      <c r="E666" s="106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 ht="15.75" customHeight="1">
      <c r="A667" s="18"/>
      <c r="B667" s="18"/>
      <c r="C667" s="18"/>
      <c r="D667" s="18"/>
      <c r="E667" s="106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 ht="15.75" customHeight="1">
      <c r="A668" s="18"/>
      <c r="B668" s="18"/>
      <c r="C668" s="18"/>
      <c r="D668" s="18"/>
      <c r="E668" s="106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 ht="15.75" customHeight="1">
      <c r="A669" s="18"/>
      <c r="B669" s="18"/>
      <c r="C669" s="18"/>
      <c r="D669" s="18"/>
      <c r="E669" s="106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 ht="15.75" customHeight="1">
      <c r="A670" s="18"/>
      <c r="B670" s="18"/>
      <c r="C670" s="18"/>
      <c r="D670" s="18"/>
      <c r="E670" s="106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 ht="15.75" customHeight="1">
      <c r="A671" s="18"/>
      <c r="B671" s="18"/>
      <c r="C671" s="18"/>
      <c r="D671" s="18"/>
      <c r="E671" s="106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 ht="15.75" customHeight="1">
      <c r="A672" s="18"/>
      <c r="B672" s="18"/>
      <c r="C672" s="18"/>
      <c r="D672" s="18"/>
      <c r="E672" s="106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 ht="15.75" customHeight="1">
      <c r="A673" s="18"/>
      <c r="B673" s="18"/>
      <c r="C673" s="18"/>
      <c r="D673" s="18"/>
      <c r="E673" s="106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 ht="15.75" customHeight="1">
      <c r="A674" s="18"/>
      <c r="B674" s="18"/>
      <c r="C674" s="18"/>
      <c r="D674" s="18"/>
      <c r="E674" s="106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 ht="15.75" customHeight="1">
      <c r="A675" s="18"/>
      <c r="B675" s="18"/>
      <c r="C675" s="18"/>
      <c r="D675" s="18"/>
      <c r="E675" s="106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 ht="15.75" customHeight="1">
      <c r="A676" s="18"/>
      <c r="B676" s="18"/>
      <c r="C676" s="18"/>
      <c r="D676" s="18"/>
      <c r="E676" s="106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 ht="15.75" customHeight="1">
      <c r="A677" s="18"/>
      <c r="B677" s="18"/>
      <c r="C677" s="18"/>
      <c r="D677" s="18"/>
      <c r="E677" s="106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 ht="15.75" customHeight="1">
      <c r="A678" s="18"/>
      <c r="B678" s="18"/>
      <c r="C678" s="18"/>
      <c r="D678" s="18"/>
      <c r="E678" s="106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 ht="15.75" customHeight="1">
      <c r="A679" s="18"/>
      <c r="B679" s="18"/>
      <c r="C679" s="18"/>
      <c r="D679" s="18"/>
      <c r="E679" s="106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 ht="15.75" customHeight="1">
      <c r="A680" s="18"/>
      <c r="B680" s="18"/>
      <c r="C680" s="18"/>
      <c r="D680" s="18"/>
      <c r="E680" s="106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 ht="15.75" customHeight="1">
      <c r="A681" s="18"/>
      <c r="B681" s="18"/>
      <c r="C681" s="18"/>
      <c r="D681" s="18"/>
      <c r="E681" s="106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 ht="15.75" customHeight="1">
      <c r="A682" s="18"/>
      <c r="B682" s="18"/>
      <c r="C682" s="18"/>
      <c r="D682" s="18"/>
      <c r="E682" s="106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 ht="15.75" customHeight="1">
      <c r="A683" s="18"/>
      <c r="B683" s="18"/>
      <c r="C683" s="18"/>
      <c r="D683" s="18"/>
      <c r="E683" s="106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 ht="15.75" customHeight="1">
      <c r="A684" s="18"/>
      <c r="B684" s="18"/>
      <c r="C684" s="18"/>
      <c r="D684" s="18"/>
      <c r="E684" s="106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 ht="15.75" customHeight="1">
      <c r="A685" s="18"/>
      <c r="B685" s="18"/>
      <c r="C685" s="18"/>
      <c r="D685" s="18"/>
      <c r="E685" s="106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 ht="15.75" customHeight="1">
      <c r="A686" s="18"/>
      <c r="B686" s="18"/>
      <c r="C686" s="18"/>
      <c r="D686" s="18"/>
      <c r="E686" s="106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 ht="15.75" customHeight="1">
      <c r="A687" s="18"/>
      <c r="B687" s="18"/>
      <c r="C687" s="18"/>
      <c r="D687" s="18"/>
      <c r="E687" s="106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 ht="15.75" customHeight="1">
      <c r="A688" s="18"/>
      <c r="B688" s="18"/>
      <c r="C688" s="18"/>
      <c r="D688" s="18"/>
      <c r="E688" s="106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 ht="15.75" customHeight="1">
      <c r="A689" s="18"/>
      <c r="B689" s="18"/>
      <c r="C689" s="18"/>
      <c r="D689" s="18"/>
      <c r="E689" s="106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 ht="15.75" customHeight="1">
      <c r="A690" s="18"/>
      <c r="B690" s="18"/>
      <c r="C690" s="18"/>
      <c r="D690" s="18"/>
      <c r="E690" s="106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 ht="15.75" customHeight="1">
      <c r="A691" s="18"/>
      <c r="B691" s="18"/>
      <c r="C691" s="18"/>
      <c r="D691" s="18"/>
      <c r="E691" s="106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 ht="15.75" customHeight="1">
      <c r="A692" s="18"/>
      <c r="B692" s="18"/>
      <c r="C692" s="18"/>
      <c r="D692" s="18"/>
      <c r="E692" s="106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 ht="15.75" customHeight="1">
      <c r="A693" s="18"/>
      <c r="B693" s="18"/>
      <c r="C693" s="18"/>
      <c r="D693" s="18"/>
      <c r="E693" s="106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 ht="15.75" customHeight="1">
      <c r="A694" s="18"/>
      <c r="B694" s="18"/>
      <c r="C694" s="18"/>
      <c r="D694" s="18"/>
      <c r="E694" s="106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 ht="15.75" customHeight="1">
      <c r="A695" s="18"/>
      <c r="B695" s="18"/>
      <c r="C695" s="18"/>
      <c r="D695" s="18"/>
      <c r="E695" s="106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 ht="15.75" customHeight="1">
      <c r="A696" s="18"/>
      <c r="B696" s="18"/>
      <c r="C696" s="18"/>
      <c r="D696" s="18"/>
      <c r="E696" s="106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 ht="15.75" customHeight="1">
      <c r="A697" s="18"/>
      <c r="B697" s="18"/>
      <c r="C697" s="18"/>
      <c r="D697" s="18"/>
      <c r="E697" s="106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 ht="15.75" customHeight="1">
      <c r="A698" s="18"/>
      <c r="B698" s="18"/>
      <c r="C698" s="18"/>
      <c r="D698" s="18"/>
      <c r="E698" s="106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 ht="15.75" customHeight="1">
      <c r="A699" s="18"/>
      <c r="B699" s="18"/>
      <c r="C699" s="18"/>
      <c r="D699" s="18"/>
      <c r="E699" s="106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 ht="15.75" customHeight="1">
      <c r="A700" s="18"/>
      <c r="B700" s="18"/>
      <c r="C700" s="18"/>
      <c r="D700" s="18"/>
      <c r="E700" s="106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 ht="15.75" customHeight="1">
      <c r="A701" s="18"/>
      <c r="B701" s="18"/>
      <c r="C701" s="18"/>
      <c r="D701" s="18"/>
      <c r="E701" s="106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 ht="15.75" customHeight="1">
      <c r="A702" s="18"/>
      <c r="B702" s="18"/>
      <c r="C702" s="18"/>
      <c r="D702" s="18"/>
      <c r="E702" s="106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 ht="15.75" customHeight="1">
      <c r="A703" s="18"/>
      <c r="B703" s="18"/>
      <c r="C703" s="18"/>
      <c r="D703" s="18"/>
      <c r="E703" s="106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 ht="15.75" customHeight="1">
      <c r="A704" s="18"/>
      <c r="B704" s="18"/>
      <c r="C704" s="18"/>
      <c r="D704" s="18"/>
      <c r="E704" s="106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 ht="15.75" customHeight="1">
      <c r="A705" s="18"/>
      <c r="B705" s="18"/>
      <c r="C705" s="18"/>
      <c r="D705" s="18"/>
      <c r="E705" s="106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 ht="15.75" customHeight="1">
      <c r="A706" s="18"/>
      <c r="B706" s="18"/>
      <c r="C706" s="18"/>
      <c r="D706" s="18"/>
      <c r="E706" s="106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 ht="15.75" customHeight="1">
      <c r="A707" s="18"/>
      <c r="B707" s="18"/>
      <c r="C707" s="18"/>
      <c r="D707" s="18"/>
      <c r="E707" s="106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 ht="15.75" customHeight="1">
      <c r="A708" s="18"/>
      <c r="B708" s="18"/>
      <c r="C708" s="18"/>
      <c r="D708" s="18"/>
      <c r="E708" s="106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 ht="15.75" customHeight="1">
      <c r="A709" s="18"/>
      <c r="B709" s="18"/>
      <c r="C709" s="18"/>
      <c r="D709" s="18"/>
      <c r="E709" s="106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 ht="15.75" customHeight="1">
      <c r="A710" s="18"/>
      <c r="B710" s="18"/>
      <c r="C710" s="18"/>
      <c r="D710" s="18"/>
      <c r="E710" s="106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 ht="15.75" customHeight="1">
      <c r="A711" s="18"/>
      <c r="B711" s="18"/>
      <c r="C711" s="18"/>
      <c r="D711" s="18"/>
      <c r="E711" s="106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 ht="15.75" customHeight="1">
      <c r="A712" s="18"/>
      <c r="B712" s="18"/>
      <c r="C712" s="18"/>
      <c r="D712" s="18"/>
      <c r="E712" s="106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 ht="15.75" customHeight="1">
      <c r="A713" s="18"/>
      <c r="B713" s="18"/>
      <c r="C713" s="18"/>
      <c r="D713" s="18"/>
      <c r="E713" s="106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 ht="15.75" customHeight="1">
      <c r="A714" s="18"/>
      <c r="B714" s="18"/>
      <c r="C714" s="18"/>
      <c r="D714" s="18"/>
      <c r="E714" s="106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 ht="15.75" customHeight="1">
      <c r="A715" s="18"/>
      <c r="B715" s="18"/>
      <c r="C715" s="18"/>
      <c r="D715" s="18"/>
      <c r="E715" s="106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 ht="15.75" customHeight="1">
      <c r="A716" s="18"/>
      <c r="B716" s="18"/>
      <c r="C716" s="18"/>
      <c r="D716" s="18"/>
      <c r="E716" s="106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 ht="15.75" customHeight="1">
      <c r="A717" s="18"/>
      <c r="B717" s="18"/>
      <c r="C717" s="18"/>
      <c r="D717" s="18"/>
      <c r="E717" s="106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 ht="15.75" customHeight="1">
      <c r="A718" s="18"/>
      <c r="B718" s="18"/>
      <c r="C718" s="18"/>
      <c r="D718" s="18"/>
      <c r="E718" s="106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 ht="15.75" customHeight="1">
      <c r="A719" s="18"/>
      <c r="B719" s="18"/>
      <c r="C719" s="18"/>
      <c r="D719" s="18"/>
      <c r="E719" s="106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 ht="15.75" customHeight="1">
      <c r="A720" s="18"/>
      <c r="B720" s="18"/>
      <c r="C720" s="18"/>
      <c r="D720" s="18"/>
      <c r="E720" s="106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 ht="15.75" customHeight="1">
      <c r="A721" s="18"/>
      <c r="B721" s="18"/>
      <c r="C721" s="18"/>
      <c r="D721" s="18"/>
      <c r="E721" s="106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 ht="15.75" customHeight="1">
      <c r="A722" s="18"/>
      <c r="B722" s="18"/>
      <c r="C722" s="18"/>
      <c r="D722" s="18"/>
      <c r="E722" s="106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 ht="15.75" customHeight="1">
      <c r="A723" s="18"/>
      <c r="B723" s="18"/>
      <c r="C723" s="18"/>
      <c r="D723" s="18"/>
      <c r="E723" s="106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 ht="15.75" customHeight="1">
      <c r="A724" s="18"/>
      <c r="B724" s="18"/>
      <c r="C724" s="18"/>
      <c r="D724" s="18"/>
      <c r="E724" s="106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 ht="15.75" customHeight="1">
      <c r="A725" s="18"/>
      <c r="B725" s="18"/>
      <c r="C725" s="18"/>
      <c r="D725" s="18"/>
      <c r="E725" s="106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 ht="15.75" customHeight="1">
      <c r="A726" s="18"/>
      <c r="B726" s="18"/>
      <c r="C726" s="18"/>
      <c r="D726" s="18"/>
      <c r="E726" s="106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 ht="15.75" customHeight="1">
      <c r="A727" s="18"/>
      <c r="B727" s="18"/>
      <c r="C727" s="18"/>
      <c r="D727" s="18"/>
      <c r="E727" s="106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 ht="15.75" customHeight="1">
      <c r="A728" s="18"/>
      <c r="B728" s="18"/>
      <c r="C728" s="18"/>
      <c r="D728" s="18"/>
      <c r="E728" s="106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 ht="15.75" customHeight="1">
      <c r="A729" s="18"/>
      <c r="B729" s="18"/>
      <c r="C729" s="18"/>
      <c r="D729" s="18"/>
      <c r="E729" s="106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 ht="15.75" customHeight="1">
      <c r="A730" s="18"/>
      <c r="B730" s="18"/>
      <c r="C730" s="18"/>
      <c r="D730" s="18"/>
      <c r="E730" s="106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 ht="15.75" customHeight="1">
      <c r="A731" s="18"/>
      <c r="B731" s="18"/>
      <c r="C731" s="18"/>
      <c r="D731" s="18"/>
      <c r="E731" s="106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 ht="15.75" customHeight="1">
      <c r="A732" s="18"/>
      <c r="B732" s="18"/>
      <c r="C732" s="18"/>
      <c r="D732" s="18"/>
      <c r="E732" s="106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 ht="15.75" customHeight="1">
      <c r="A733" s="18"/>
      <c r="B733" s="18"/>
      <c r="C733" s="18"/>
      <c r="D733" s="18"/>
      <c r="E733" s="106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 ht="15.75" customHeight="1">
      <c r="A734" s="18"/>
      <c r="B734" s="18"/>
      <c r="C734" s="18"/>
      <c r="D734" s="18"/>
      <c r="E734" s="106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ht="15.75" customHeight="1">
      <c r="A735" s="18"/>
      <c r="B735" s="18"/>
      <c r="C735" s="18"/>
      <c r="D735" s="18"/>
      <c r="E735" s="106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 ht="15.75" customHeight="1">
      <c r="A736" s="18"/>
      <c r="B736" s="18"/>
      <c r="C736" s="18"/>
      <c r="D736" s="18"/>
      <c r="E736" s="106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 ht="15.75" customHeight="1">
      <c r="A737" s="18"/>
      <c r="B737" s="18"/>
      <c r="C737" s="18"/>
      <c r="D737" s="18"/>
      <c r="E737" s="106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 ht="15.75" customHeight="1">
      <c r="A738" s="18"/>
      <c r="B738" s="18"/>
      <c r="C738" s="18"/>
      <c r="D738" s="18"/>
      <c r="E738" s="106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 ht="15.75" customHeight="1">
      <c r="A739" s="18"/>
      <c r="B739" s="18"/>
      <c r="C739" s="18"/>
      <c r="D739" s="18"/>
      <c r="E739" s="106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 ht="15.75" customHeight="1">
      <c r="A740" s="18"/>
      <c r="B740" s="18"/>
      <c r="C740" s="18"/>
      <c r="D740" s="18"/>
      <c r="E740" s="106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 ht="15.75" customHeight="1">
      <c r="A741" s="18"/>
      <c r="B741" s="18"/>
      <c r="C741" s="18"/>
      <c r="D741" s="18"/>
      <c r="E741" s="106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ht="15.75" customHeight="1">
      <c r="A742" s="18"/>
      <c r="B742" s="18"/>
      <c r="C742" s="18"/>
      <c r="D742" s="18"/>
      <c r="E742" s="106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 ht="15.75" customHeight="1">
      <c r="A743" s="18"/>
      <c r="B743" s="18"/>
      <c r="C743" s="18"/>
      <c r="D743" s="18"/>
      <c r="E743" s="106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 ht="15.75" customHeight="1">
      <c r="A744" s="18"/>
      <c r="B744" s="18"/>
      <c r="C744" s="18"/>
      <c r="D744" s="18"/>
      <c r="E744" s="106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 ht="15.75" customHeight="1">
      <c r="A745" s="18"/>
      <c r="B745" s="18"/>
      <c r="C745" s="18"/>
      <c r="D745" s="18"/>
      <c r="E745" s="106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 ht="15.75" customHeight="1">
      <c r="A746" s="18"/>
      <c r="B746" s="18"/>
      <c r="C746" s="18"/>
      <c r="D746" s="18"/>
      <c r="E746" s="106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 ht="15.75" customHeight="1">
      <c r="A747" s="18"/>
      <c r="B747" s="18"/>
      <c r="C747" s="18"/>
      <c r="D747" s="18"/>
      <c r="E747" s="106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 ht="15.75" customHeight="1">
      <c r="A748" s="18"/>
      <c r="B748" s="18"/>
      <c r="C748" s="18"/>
      <c r="D748" s="18"/>
      <c r="E748" s="106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 ht="15.75" customHeight="1">
      <c r="A749" s="18"/>
      <c r="B749" s="18"/>
      <c r="C749" s="18"/>
      <c r="D749" s="18"/>
      <c r="E749" s="106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 ht="15.75" customHeight="1">
      <c r="A750" s="18"/>
      <c r="B750" s="18"/>
      <c r="C750" s="18"/>
      <c r="D750" s="18"/>
      <c r="E750" s="106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 ht="15.75" customHeight="1">
      <c r="A751" s="18"/>
      <c r="B751" s="18"/>
      <c r="C751" s="18"/>
      <c r="D751" s="18"/>
      <c r="E751" s="106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 ht="15.75" customHeight="1">
      <c r="A752" s="18"/>
      <c r="B752" s="18"/>
      <c r="C752" s="18"/>
      <c r="D752" s="18"/>
      <c r="E752" s="106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 ht="15.75" customHeight="1">
      <c r="A753" s="18"/>
      <c r="B753" s="18"/>
      <c r="C753" s="18"/>
      <c r="D753" s="18"/>
      <c r="E753" s="106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 ht="15.75" customHeight="1">
      <c r="A754" s="18"/>
      <c r="B754" s="18"/>
      <c r="C754" s="18"/>
      <c r="D754" s="18"/>
      <c r="E754" s="106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 ht="15.75" customHeight="1">
      <c r="A755" s="18"/>
      <c r="B755" s="18"/>
      <c r="C755" s="18"/>
      <c r="D755" s="18"/>
      <c r="E755" s="106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 ht="15.75" customHeight="1">
      <c r="A756" s="18"/>
      <c r="B756" s="18"/>
      <c r="C756" s="18"/>
      <c r="D756" s="18"/>
      <c r="E756" s="106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 ht="15.75" customHeight="1">
      <c r="A757" s="18"/>
      <c r="B757" s="18"/>
      <c r="C757" s="18"/>
      <c r="D757" s="18"/>
      <c r="E757" s="106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 ht="15.75" customHeight="1">
      <c r="A758" s="18"/>
      <c r="B758" s="18"/>
      <c r="C758" s="18"/>
      <c r="D758" s="18"/>
      <c r="E758" s="106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 ht="15.75" customHeight="1">
      <c r="A759" s="18"/>
      <c r="B759" s="18"/>
      <c r="C759" s="18"/>
      <c r="D759" s="18"/>
      <c r="E759" s="106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 ht="15.75" customHeight="1">
      <c r="A760" s="18"/>
      <c r="B760" s="18"/>
      <c r="C760" s="18"/>
      <c r="D760" s="18"/>
      <c r="E760" s="106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 ht="15.75" customHeight="1">
      <c r="A761" s="18"/>
      <c r="B761" s="18"/>
      <c r="C761" s="18"/>
      <c r="D761" s="18"/>
      <c r="E761" s="106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 ht="15.75" customHeight="1">
      <c r="A762" s="18"/>
      <c r="B762" s="18"/>
      <c r="C762" s="18"/>
      <c r="D762" s="18"/>
      <c r="E762" s="106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 ht="15.75" customHeight="1">
      <c r="A763" s="18"/>
      <c r="B763" s="18"/>
      <c r="C763" s="18"/>
      <c r="D763" s="18"/>
      <c r="E763" s="106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 ht="15.75" customHeight="1">
      <c r="A764" s="18"/>
      <c r="B764" s="18"/>
      <c r="C764" s="18"/>
      <c r="D764" s="18"/>
      <c r="E764" s="106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 ht="15.75" customHeight="1">
      <c r="A765" s="18"/>
      <c r="B765" s="18"/>
      <c r="C765" s="18"/>
      <c r="D765" s="18"/>
      <c r="E765" s="106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 ht="15.75" customHeight="1">
      <c r="A766" s="18"/>
      <c r="B766" s="18"/>
      <c r="C766" s="18"/>
      <c r="D766" s="18"/>
      <c r="E766" s="106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 ht="15.75" customHeight="1">
      <c r="A767" s="18"/>
      <c r="B767" s="18"/>
      <c r="C767" s="18"/>
      <c r="D767" s="18"/>
      <c r="E767" s="106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 ht="15.75" customHeight="1">
      <c r="A768" s="18"/>
      <c r="B768" s="18"/>
      <c r="C768" s="18"/>
      <c r="D768" s="18"/>
      <c r="E768" s="106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ht="15.75" customHeight="1">
      <c r="A769" s="18"/>
      <c r="B769" s="18"/>
      <c r="C769" s="18"/>
      <c r="D769" s="18"/>
      <c r="E769" s="106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 ht="15.75" customHeight="1">
      <c r="A770" s="18"/>
      <c r="B770" s="18"/>
      <c r="C770" s="18"/>
      <c r="D770" s="18"/>
      <c r="E770" s="106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 ht="15.75" customHeight="1">
      <c r="A771" s="18"/>
      <c r="B771" s="18"/>
      <c r="C771" s="18"/>
      <c r="D771" s="18"/>
      <c r="E771" s="106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 ht="15.75" customHeight="1">
      <c r="A772" s="18"/>
      <c r="B772" s="18"/>
      <c r="C772" s="18"/>
      <c r="D772" s="18"/>
      <c r="E772" s="106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 ht="15.75" customHeight="1">
      <c r="A773" s="18"/>
      <c r="B773" s="18"/>
      <c r="C773" s="18"/>
      <c r="D773" s="18"/>
      <c r="E773" s="106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 ht="15.75" customHeight="1">
      <c r="A774" s="18"/>
      <c r="B774" s="18"/>
      <c r="C774" s="18"/>
      <c r="D774" s="18"/>
      <c r="E774" s="106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 ht="15.75" customHeight="1">
      <c r="A775" s="18"/>
      <c r="B775" s="18"/>
      <c r="C775" s="18"/>
      <c r="D775" s="18"/>
      <c r="E775" s="106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 ht="15.75" customHeight="1">
      <c r="A776" s="18"/>
      <c r="B776" s="18"/>
      <c r="C776" s="18"/>
      <c r="D776" s="18"/>
      <c r="E776" s="106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 ht="15.75" customHeight="1">
      <c r="A777" s="18"/>
      <c r="B777" s="18"/>
      <c r="C777" s="18"/>
      <c r="D777" s="18"/>
      <c r="E777" s="106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 ht="15.75" customHeight="1">
      <c r="A778" s="18"/>
      <c r="B778" s="18"/>
      <c r="C778" s="18"/>
      <c r="D778" s="18"/>
      <c r="E778" s="106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 ht="15.75" customHeight="1">
      <c r="A779" s="18"/>
      <c r="B779" s="18"/>
      <c r="C779" s="18"/>
      <c r="D779" s="18"/>
      <c r="E779" s="106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 ht="15.75" customHeight="1">
      <c r="A780" s="18"/>
      <c r="B780" s="18"/>
      <c r="C780" s="18"/>
      <c r="D780" s="18"/>
      <c r="E780" s="106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 ht="15.75" customHeight="1">
      <c r="A781" s="18"/>
      <c r="B781" s="18"/>
      <c r="C781" s="18"/>
      <c r="D781" s="18"/>
      <c r="E781" s="106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 ht="15.75" customHeight="1">
      <c r="A782" s="18"/>
      <c r="B782" s="18"/>
      <c r="C782" s="18"/>
      <c r="D782" s="18"/>
      <c r="E782" s="106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 ht="15.75" customHeight="1">
      <c r="A783" s="18"/>
      <c r="B783" s="18"/>
      <c r="C783" s="18"/>
      <c r="D783" s="18"/>
      <c r="E783" s="106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 ht="15.75" customHeight="1">
      <c r="A784" s="18"/>
      <c r="B784" s="18"/>
      <c r="C784" s="18"/>
      <c r="D784" s="18"/>
      <c r="E784" s="106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 ht="15.75" customHeight="1">
      <c r="A785" s="18"/>
      <c r="B785" s="18"/>
      <c r="C785" s="18"/>
      <c r="D785" s="18"/>
      <c r="E785" s="106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 ht="15.75" customHeight="1">
      <c r="A786" s="18"/>
      <c r="B786" s="18"/>
      <c r="C786" s="18"/>
      <c r="D786" s="18"/>
      <c r="E786" s="106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 ht="15.75" customHeight="1">
      <c r="A787" s="18"/>
      <c r="B787" s="18"/>
      <c r="C787" s="18"/>
      <c r="D787" s="18"/>
      <c r="E787" s="106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 ht="15.75" customHeight="1">
      <c r="A788" s="18"/>
      <c r="B788" s="18"/>
      <c r="C788" s="18"/>
      <c r="D788" s="18"/>
      <c r="E788" s="106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 ht="15.75" customHeight="1">
      <c r="A789" s="18"/>
      <c r="B789" s="18"/>
      <c r="C789" s="18"/>
      <c r="D789" s="18"/>
      <c r="E789" s="106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 ht="15.75" customHeight="1">
      <c r="A790" s="18"/>
      <c r="B790" s="18"/>
      <c r="C790" s="18"/>
      <c r="D790" s="18"/>
      <c r="E790" s="106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 ht="15.75" customHeight="1">
      <c r="A791" s="18"/>
      <c r="B791" s="18"/>
      <c r="C791" s="18"/>
      <c r="D791" s="18"/>
      <c r="E791" s="106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 ht="15.75" customHeight="1">
      <c r="A792" s="18"/>
      <c r="B792" s="18"/>
      <c r="C792" s="18"/>
      <c r="D792" s="18"/>
      <c r="E792" s="106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 ht="15.75" customHeight="1">
      <c r="A793" s="18"/>
      <c r="B793" s="18"/>
      <c r="C793" s="18"/>
      <c r="D793" s="18"/>
      <c r="E793" s="106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 ht="15.75" customHeight="1">
      <c r="A794" s="18"/>
      <c r="B794" s="18"/>
      <c r="C794" s="18"/>
      <c r="D794" s="18"/>
      <c r="E794" s="106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 ht="15.75" customHeight="1">
      <c r="A795" s="18"/>
      <c r="B795" s="18"/>
      <c r="C795" s="18"/>
      <c r="D795" s="18"/>
      <c r="E795" s="106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 ht="15.75" customHeight="1">
      <c r="A796" s="18"/>
      <c r="B796" s="18"/>
      <c r="C796" s="18"/>
      <c r="D796" s="18"/>
      <c r="E796" s="106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 ht="15.75" customHeight="1">
      <c r="A797" s="18"/>
      <c r="B797" s="18"/>
      <c r="C797" s="18"/>
      <c r="D797" s="18"/>
      <c r="E797" s="106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 ht="15.75" customHeight="1">
      <c r="A798" s="18"/>
      <c r="B798" s="18"/>
      <c r="C798" s="18"/>
      <c r="D798" s="18"/>
      <c r="E798" s="106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 ht="15.75" customHeight="1">
      <c r="A799" s="18"/>
      <c r="B799" s="18"/>
      <c r="C799" s="18"/>
      <c r="D799" s="18"/>
      <c r="E799" s="106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 ht="15.75" customHeight="1">
      <c r="A800" s="18"/>
      <c r="B800" s="18"/>
      <c r="C800" s="18"/>
      <c r="D800" s="18"/>
      <c r="E800" s="106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 ht="15.75" customHeight="1">
      <c r="A801" s="18"/>
      <c r="B801" s="18"/>
      <c r="C801" s="18"/>
      <c r="D801" s="18"/>
      <c r="E801" s="106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 ht="15.75" customHeight="1">
      <c r="A802" s="18"/>
      <c r="B802" s="18"/>
      <c r="C802" s="18"/>
      <c r="D802" s="18"/>
      <c r="E802" s="106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 ht="15.75" customHeight="1">
      <c r="A803" s="18"/>
      <c r="B803" s="18"/>
      <c r="C803" s="18"/>
      <c r="D803" s="18"/>
      <c r="E803" s="106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 ht="15.75" customHeight="1">
      <c r="A804" s="18"/>
      <c r="B804" s="18"/>
      <c r="C804" s="18"/>
      <c r="D804" s="18"/>
      <c r="E804" s="106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 ht="15.75" customHeight="1">
      <c r="A805" s="18"/>
      <c r="B805" s="18"/>
      <c r="C805" s="18"/>
      <c r="D805" s="18"/>
      <c r="E805" s="106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 ht="15.75" customHeight="1">
      <c r="A806" s="18"/>
      <c r="B806" s="18"/>
      <c r="C806" s="18"/>
      <c r="D806" s="18"/>
      <c r="E806" s="106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 ht="15.75" customHeight="1">
      <c r="A807" s="18"/>
      <c r="B807" s="18"/>
      <c r="C807" s="18"/>
      <c r="D807" s="18"/>
      <c r="E807" s="106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 ht="15.75" customHeight="1">
      <c r="A808" s="18"/>
      <c r="B808" s="18"/>
      <c r="C808" s="18"/>
      <c r="D808" s="18"/>
      <c r="E808" s="106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 ht="15.75" customHeight="1">
      <c r="A809" s="18"/>
      <c r="B809" s="18"/>
      <c r="C809" s="18"/>
      <c r="D809" s="18"/>
      <c r="E809" s="106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 ht="15.75" customHeight="1">
      <c r="A810" s="18"/>
      <c r="B810" s="18"/>
      <c r="C810" s="18"/>
      <c r="D810" s="18"/>
      <c r="E810" s="106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 ht="15.75" customHeight="1">
      <c r="A811" s="18"/>
      <c r="B811" s="18"/>
      <c r="C811" s="18"/>
      <c r="D811" s="18"/>
      <c r="E811" s="106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 ht="15.75" customHeight="1">
      <c r="A812" s="18"/>
      <c r="B812" s="18"/>
      <c r="C812" s="18"/>
      <c r="D812" s="18"/>
      <c r="E812" s="106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 ht="15.75" customHeight="1">
      <c r="A813" s="18"/>
      <c r="B813" s="18"/>
      <c r="C813" s="18"/>
      <c r="D813" s="18"/>
      <c r="E813" s="106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 ht="15.75" customHeight="1">
      <c r="A814" s="18"/>
      <c r="B814" s="18"/>
      <c r="C814" s="18"/>
      <c r="D814" s="18"/>
      <c r="E814" s="106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 ht="15.75" customHeight="1">
      <c r="A815" s="18"/>
      <c r="B815" s="18"/>
      <c r="C815" s="18"/>
      <c r="D815" s="18"/>
      <c r="E815" s="106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 ht="15.75" customHeight="1">
      <c r="A816" s="18"/>
      <c r="B816" s="18"/>
      <c r="C816" s="18"/>
      <c r="D816" s="18"/>
      <c r="E816" s="106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 ht="15.75" customHeight="1">
      <c r="A817" s="18"/>
      <c r="B817" s="18"/>
      <c r="C817" s="18"/>
      <c r="D817" s="18"/>
      <c r="E817" s="106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 ht="15.75" customHeight="1">
      <c r="A818" s="18"/>
      <c r="B818" s="18"/>
      <c r="C818" s="18"/>
      <c r="D818" s="18"/>
      <c r="E818" s="106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 ht="15.75" customHeight="1">
      <c r="A819" s="18"/>
      <c r="B819" s="18"/>
      <c r="C819" s="18"/>
      <c r="D819" s="18"/>
      <c r="E819" s="106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 ht="15.75" customHeight="1">
      <c r="A820" s="18"/>
      <c r="B820" s="18"/>
      <c r="C820" s="18"/>
      <c r="D820" s="18"/>
      <c r="E820" s="106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 ht="15.75" customHeight="1">
      <c r="A821" s="18"/>
      <c r="B821" s="18"/>
      <c r="C821" s="18"/>
      <c r="D821" s="18"/>
      <c r="E821" s="106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 ht="15.75" customHeight="1">
      <c r="A822" s="18"/>
      <c r="B822" s="18"/>
      <c r="C822" s="18"/>
      <c r="D822" s="18"/>
      <c r="E822" s="106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 ht="15.75" customHeight="1">
      <c r="A823" s="18"/>
      <c r="B823" s="18"/>
      <c r="C823" s="18"/>
      <c r="D823" s="18"/>
      <c r="E823" s="106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 ht="15.75" customHeight="1">
      <c r="A824" s="18"/>
      <c r="B824" s="18"/>
      <c r="C824" s="18"/>
      <c r="D824" s="18"/>
      <c r="E824" s="106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 ht="15.75" customHeight="1">
      <c r="A825" s="18"/>
      <c r="B825" s="18"/>
      <c r="C825" s="18"/>
      <c r="D825" s="18"/>
      <c r="E825" s="106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 ht="15.75" customHeight="1">
      <c r="A826" s="18"/>
      <c r="B826" s="18"/>
      <c r="C826" s="18"/>
      <c r="D826" s="18"/>
      <c r="E826" s="106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 ht="15.75" customHeight="1">
      <c r="A827" s="18"/>
      <c r="B827" s="18"/>
      <c r="C827" s="18"/>
      <c r="D827" s="18"/>
      <c r="E827" s="106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 ht="15.75" customHeight="1">
      <c r="A828" s="18"/>
      <c r="B828" s="18"/>
      <c r="C828" s="18"/>
      <c r="D828" s="18"/>
      <c r="E828" s="106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ht="15.75" customHeight="1">
      <c r="A829" s="18"/>
      <c r="B829" s="18"/>
      <c r="C829" s="18"/>
      <c r="D829" s="18"/>
      <c r="E829" s="106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 ht="15.75" customHeight="1">
      <c r="A830" s="18"/>
      <c r="B830" s="18"/>
      <c r="C830" s="18"/>
      <c r="D830" s="18"/>
      <c r="E830" s="106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 ht="15.75" customHeight="1">
      <c r="A831" s="18"/>
      <c r="B831" s="18"/>
      <c r="C831" s="18"/>
      <c r="D831" s="18"/>
      <c r="E831" s="106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 ht="15.75" customHeight="1">
      <c r="A832" s="18"/>
      <c r="B832" s="18"/>
      <c r="C832" s="18"/>
      <c r="D832" s="18"/>
      <c r="E832" s="106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 ht="15.75" customHeight="1">
      <c r="A833" s="18"/>
      <c r="B833" s="18"/>
      <c r="C833" s="18"/>
      <c r="D833" s="18"/>
      <c r="E833" s="106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 ht="15.75" customHeight="1">
      <c r="A834" s="18"/>
      <c r="B834" s="18"/>
      <c r="C834" s="18"/>
      <c r="D834" s="18"/>
      <c r="E834" s="106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 ht="15.75" customHeight="1">
      <c r="A835" s="18"/>
      <c r="B835" s="18"/>
      <c r="C835" s="18"/>
      <c r="D835" s="18"/>
      <c r="E835" s="106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 ht="15.75" customHeight="1">
      <c r="A836" s="18"/>
      <c r="B836" s="18"/>
      <c r="C836" s="18"/>
      <c r="D836" s="18"/>
      <c r="E836" s="106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 ht="15.75" customHeight="1">
      <c r="A837" s="18"/>
      <c r="B837" s="18"/>
      <c r="C837" s="18"/>
      <c r="D837" s="18"/>
      <c r="E837" s="106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 ht="15.75" customHeight="1">
      <c r="A838" s="18"/>
      <c r="B838" s="18"/>
      <c r="C838" s="18"/>
      <c r="D838" s="18"/>
      <c r="E838" s="106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 ht="15.75" customHeight="1">
      <c r="A839" s="18"/>
      <c r="B839" s="18"/>
      <c r="C839" s="18"/>
      <c r="D839" s="18"/>
      <c r="E839" s="106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 ht="15.75" customHeight="1">
      <c r="A840" s="18"/>
      <c r="B840" s="18"/>
      <c r="C840" s="18"/>
      <c r="D840" s="18"/>
      <c r="E840" s="106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 ht="15.75" customHeight="1">
      <c r="A841" s="18"/>
      <c r="B841" s="18"/>
      <c r="C841" s="18"/>
      <c r="D841" s="18"/>
      <c r="E841" s="106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 ht="15.75" customHeight="1">
      <c r="A842" s="18"/>
      <c r="B842" s="18"/>
      <c r="C842" s="18"/>
      <c r="D842" s="18"/>
      <c r="E842" s="106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 ht="15.75" customHeight="1">
      <c r="A843" s="18"/>
      <c r="B843" s="18"/>
      <c r="C843" s="18"/>
      <c r="D843" s="18"/>
      <c r="E843" s="106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 ht="15.75" customHeight="1">
      <c r="A844" s="18"/>
      <c r="B844" s="18"/>
      <c r="C844" s="18"/>
      <c r="D844" s="18"/>
      <c r="E844" s="106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 ht="15.75" customHeight="1">
      <c r="A845" s="18"/>
      <c r="B845" s="18"/>
      <c r="C845" s="18"/>
      <c r="D845" s="18"/>
      <c r="E845" s="106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 ht="15.75" customHeight="1">
      <c r="A846" s="18"/>
      <c r="B846" s="18"/>
      <c r="C846" s="18"/>
      <c r="D846" s="18"/>
      <c r="E846" s="106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 ht="15.75" customHeight="1">
      <c r="A847" s="18"/>
      <c r="B847" s="18"/>
      <c r="C847" s="18"/>
      <c r="D847" s="18"/>
      <c r="E847" s="106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 ht="15.75" customHeight="1">
      <c r="A848" s="18"/>
      <c r="B848" s="18"/>
      <c r="C848" s="18"/>
      <c r="D848" s="18"/>
      <c r="E848" s="106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 ht="15.75" customHeight="1">
      <c r="A849" s="18"/>
      <c r="B849" s="18"/>
      <c r="C849" s="18"/>
      <c r="D849" s="18"/>
      <c r="E849" s="106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 ht="15.75" customHeight="1">
      <c r="A850" s="18"/>
      <c r="B850" s="18"/>
      <c r="C850" s="18"/>
      <c r="D850" s="18"/>
      <c r="E850" s="106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 ht="15.75" customHeight="1">
      <c r="A851" s="18"/>
      <c r="B851" s="18"/>
      <c r="C851" s="18"/>
      <c r="D851" s="18"/>
      <c r="E851" s="106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 ht="15.75" customHeight="1">
      <c r="A852" s="18"/>
      <c r="B852" s="18"/>
      <c r="C852" s="18"/>
      <c r="D852" s="18"/>
      <c r="E852" s="106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 ht="15.75" customHeight="1">
      <c r="A853" s="18"/>
      <c r="B853" s="18"/>
      <c r="C853" s="18"/>
      <c r="D853" s="18"/>
      <c r="E853" s="106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 ht="15.75" customHeight="1">
      <c r="A854" s="18"/>
      <c r="B854" s="18"/>
      <c r="C854" s="18"/>
      <c r="D854" s="18"/>
      <c r="E854" s="106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 ht="15.75" customHeight="1">
      <c r="A855" s="18"/>
      <c r="B855" s="18"/>
      <c r="C855" s="18"/>
      <c r="D855" s="18"/>
      <c r="E855" s="106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 ht="15.75" customHeight="1">
      <c r="A856" s="18"/>
      <c r="B856" s="18"/>
      <c r="C856" s="18"/>
      <c r="D856" s="18"/>
      <c r="E856" s="106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 ht="15.75" customHeight="1">
      <c r="A857" s="18"/>
      <c r="B857" s="18"/>
      <c r="C857" s="18"/>
      <c r="D857" s="18"/>
      <c r="E857" s="106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 ht="15.75" customHeight="1">
      <c r="A858" s="18"/>
      <c r="B858" s="18"/>
      <c r="C858" s="18"/>
      <c r="D858" s="18"/>
      <c r="E858" s="106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 ht="15.75" customHeight="1">
      <c r="A859" s="18"/>
      <c r="B859" s="18"/>
      <c r="C859" s="18"/>
      <c r="D859" s="18"/>
      <c r="E859" s="106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 ht="15.75" customHeight="1">
      <c r="A860" s="18"/>
      <c r="B860" s="18"/>
      <c r="C860" s="18"/>
      <c r="D860" s="18"/>
      <c r="E860" s="106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 ht="15.75" customHeight="1">
      <c r="A861" s="18"/>
      <c r="B861" s="18"/>
      <c r="C861" s="18"/>
      <c r="D861" s="18"/>
      <c r="E861" s="106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 ht="15.75" customHeight="1">
      <c r="A862" s="18"/>
      <c r="B862" s="18"/>
      <c r="C862" s="18"/>
      <c r="D862" s="18"/>
      <c r="E862" s="106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 ht="15.75" customHeight="1">
      <c r="A863" s="18"/>
      <c r="B863" s="18"/>
      <c r="C863" s="18"/>
      <c r="D863" s="18"/>
      <c r="E863" s="106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 ht="15.75" customHeight="1">
      <c r="A864" s="18"/>
      <c r="B864" s="18"/>
      <c r="C864" s="18"/>
      <c r="D864" s="18"/>
      <c r="E864" s="106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 ht="15.75" customHeight="1">
      <c r="A865" s="18"/>
      <c r="B865" s="18"/>
      <c r="C865" s="18"/>
      <c r="D865" s="18"/>
      <c r="E865" s="106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 ht="15.75" customHeight="1">
      <c r="A866" s="18"/>
      <c r="B866" s="18"/>
      <c r="C866" s="18"/>
      <c r="D866" s="18"/>
      <c r="E866" s="106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 ht="15.75" customHeight="1">
      <c r="A867" s="18"/>
      <c r="B867" s="18"/>
      <c r="C867" s="18"/>
      <c r="D867" s="18"/>
      <c r="E867" s="106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 ht="15.75" customHeight="1">
      <c r="A868" s="18"/>
      <c r="B868" s="18"/>
      <c r="C868" s="18"/>
      <c r="D868" s="18"/>
      <c r="E868" s="106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 ht="15.75" customHeight="1">
      <c r="A869" s="18"/>
      <c r="B869" s="18"/>
      <c r="C869" s="18"/>
      <c r="D869" s="18"/>
      <c r="E869" s="106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 ht="15.75" customHeight="1">
      <c r="A870" s="18"/>
      <c r="B870" s="18"/>
      <c r="C870" s="18"/>
      <c r="D870" s="18"/>
      <c r="E870" s="106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 ht="15.75" customHeight="1">
      <c r="A871" s="18"/>
      <c r="B871" s="18"/>
      <c r="C871" s="18"/>
      <c r="D871" s="18"/>
      <c r="E871" s="106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 ht="15.75" customHeight="1">
      <c r="A872" s="18"/>
      <c r="B872" s="18"/>
      <c r="C872" s="18"/>
      <c r="D872" s="18"/>
      <c r="E872" s="106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 ht="15.75" customHeight="1">
      <c r="A873" s="18"/>
      <c r="B873" s="18"/>
      <c r="C873" s="18"/>
      <c r="D873" s="18"/>
      <c r="E873" s="106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 ht="15.75" customHeight="1">
      <c r="A874" s="18"/>
      <c r="B874" s="18"/>
      <c r="C874" s="18"/>
      <c r="D874" s="18"/>
      <c r="E874" s="106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 ht="15.75" customHeight="1">
      <c r="A875" s="18"/>
      <c r="B875" s="18"/>
      <c r="C875" s="18"/>
      <c r="D875" s="18"/>
      <c r="E875" s="106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 ht="15.75" customHeight="1">
      <c r="A876" s="18"/>
      <c r="B876" s="18"/>
      <c r="C876" s="18"/>
      <c r="D876" s="18"/>
      <c r="E876" s="106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 ht="15.75" customHeight="1">
      <c r="A877" s="18"/>
      <c r="B877" s="18"/>
      <c r="C877" s="18"/>
      <c r="D877" s="18"/>
      <c r="E877" s="106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 ht="15.75" customHeight="1">
      <c r="A878" s="18"/>
      <c r="B878" s="18"/>
      <c r="C878" s="18"/>
      <c r="D878" s="18"/>
      <c r="E878" s="106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 ht="15.75" customHeight="1">
      <c r="A879" s="18"/>
      <c r="B879" s="18"/>
      <c r="C879" s="18"/>
      <c r="D879" s="18"/>
      <c r="E879" s="106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 ht="15.75" customHeight="1">
      <c r="A880" s="18"/>
      <c r="B880" s="18"/>
      <c r="C880" s="18"/>
      <c r="D880" s="18"/>
      <c r="E880" s="106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 ht="15.75" customHeight="1">
      <c r="A881" s="18"/>
      <c r="B881" s="18"/>
      <c r="C881" s="18"/>
      <c r="D881" s="18"/>
      <c r="E881" s="106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 ht="15.75" customHeight="1">
      <c r="A882" s="18"/>
      <c r="B882" s="18"/>
      <c r="C882" s="18"/>
      <c r="D882" s="18"/>
      <c r="E882" s="106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 ht="15.75" customHeight="1">
      <c r="A883" s="18"/>
      <c r="B883" s="18"/>
      <c r="C883" s="18"/>
      <c r="D883" s="18"/>
      <c r="E883" s="106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 ht="15.75" customHeight="1">
      <c r="A884" s="18"/>
      <c r="B884" s="18"/>
      <c r="C884" s="18"/>
      <c r="D884" s="18"/>
      <c r="E884" s="106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 ht="15.75" customHeight="1">
      <c r="A885" s="18"/>
      <c r="B885" s="18"/>
      <c r="C885" s="18"/>
      <c r="D885" s="18"/>
      <c r="E885" s="106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 ht="15.75" customHeight="1">
      <c r="A886" s="18"/>
      <c r="B886" s="18"/>
      <c r="C886" s="18"/>
      <c r="D886" s="18"/>
      <c r="E886" s="106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 ht="15.75" customHeight="1">
      <c r="A887" s="18"/>
      <c r="B887" s="18"/>
      <c r="C887" s="18"/>
      <c r="D887" s="18"/>
      <c r="E887" s="106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 ht="15.75" customHeight="1">
      <c r="A888" s="18"/>
      <c r="B888" s="18"/>
      <c r="C888" s="18"/>
      <c r="D888" s="18"/>
      <c r="E888" s="106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 ht="15.75" customHeight="1">
      <c r="A889" s="18"/>
      <c r="B889" s="18"/>
      <c r="C889" s="18"/>
      <c r="D889" s="18"/>
      <c r="E889" s="106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 ht="15.75" customHeight="1">
      <c r="A890" s="18"/>
      <c r="B890" s="18"/>
      <c r="C890" s="18"/>
      <c r="D890" s="18"/>
      <c r="E890" s="106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 ht="15.75" customHeight="1">
      <c r="A891" s="18"/>
      <c r="B891" s="18"/>
      <c r="C891" s="18"/>
      <c r="D891" s="18"/>
      <c r="E891" s="106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 ht="15.75" customHeight="1">
      <c r="A892" s="18"/>
      <c r="B892" s="18"/>
      <c r="C892" s="18"/>
      <c r="D892" s="18"/>
      <c r="E892" s="106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 ht="15.75" customHeight="1">
      <c r="A893" s="18"/>
      <c r="B893" s="18"/>
      <c r="C893" s="18"/>
      <c r="D893" s="18"/>
      <c r="E893" s="106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 ht="15.75" customHeight="1">
      <c r="A894" s="18"/>
      <c r="B894" s="18"/>
      <c r="C894" s="18"/>
      <c r="D894" s="18"/>
      <c r="E894" s="106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 ht="15.75" customHeight="1">
      <c r="A895" s="18"/>
      <c r="B895" s="18"/>
      <c r="C895" s="18"/>
      <c r="D895" s="18"/>
      <c r="E895" s="106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 ht="15.75" customHeight="1">
      <c r="A896" s="18"/>
      <c r="B896" s="18"/>
      <c r="C896" s="18"/>
      <c r="D896" s="18"/>
      <c r="E896" s="106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15.75" customHeight="1">
      <c r="A897" s="18"/>
      <c r="B897" s="18"/>
      <c r="C897" s="18"/>
      <c r="D897" s="18"/>
      <c r="E897" s="106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 ht="15.75" customHeight="1">
      <c r="A898" s="18"/>
      <c r="B898" s="18"/>
      <c r="C898" s="18"/>
      <c r="D898" s="18"/>
      <c r="E898" s="106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 ht="15.75" customHeight="1">
      <c r="A899" s="18"/>
      <c r="B899" s="18"/>
      <c r="C899" s="18"/>
      <c r="D899" s="18"/>
      <c r="E899" s="106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 ht="15.75" customHeight="1">
      <c r="A900" s="18"/>
      <c r="B900" s="18"/>
      <c r="C900" s="18"/>
      <c r="D900" s="18"/>
      <c r="E900" s="106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 ht="15.75" customHeight="1">
      <c r="A901" s="18"/>
      <c r="B901" s="18"/>
      <c r="C901" s="18"/>
      <c r="D901" s="18"/>
      <c r="E901" s="106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 ht="15.75" customHeight="1">
      <c r="A902" s="18"/>
      <c r="B902" s="18"/>
      <c r="C902" s="18"/>
      <c r="D902" s="18"/>
      <c r="E902" s="106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 ht="15.75" customHeight="1">
      <c r="A903" s="18"/>
      <c r="B903" s="18"/>
      <c r="C903" s="18"/>
      <c r="D903" s="18"/>
      <c r="E903" s="106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 ht="15.75" customHeight="1">
      <c r="A904" s="18"/>
      <c r="B904" s="18"/>
      <c r="C904" s="18"/>
      <c r="D904" s="18"/>
      <c r="E904" s="106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 ht="15.75" customHeight="1">
      <c r="A905" s="18"/>
      <c r="B905" s="18"/>
      <c r="C905" s="18"/>
      <c r="D905" s="18"/>
      <c r="E905" s="106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 ht="15.75" customHeight="1">
      <c r="A906" s="18"/>
      <c r="B906" s="18"/>
      <c r="C906" s="18"/>
      <c r="D906" s="18"/>
      <c r="E906" s="106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 ht="15.75" customHeight="1">
      <c r="A907" s="18"/>
      <c r="B907" s="18"/>
      <c r="C907" s="18"/>
      <c r="D907" s="18"/>
      <c r="E907" s="106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 ht="15.75" customHeight="1">
      <c r="A908" s="18"/>
      <c r="B908" s="18"/>
      <c r="C908" s="18"/>
      <c r="D908" s="18"/>
      <c r="E908" s="106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 ht="15.75" customHeight="1">
      <c r="A909" s="18"/>
      <c r="B909" s="18"/>
      <c r="C909" s="18"/>
      <c r="D909" s="18"/>
      <c r="E909" s="106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 ht="15.75" customHeight="1">
      <c r="A910" s="18"/>
      <c r="B910" s="18"/>
      <c r="C910" s="18"/>
      <c r="D910" s="18"/>
      <c r="E910" s="106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 ht="15.75" customHeight="1">
      <c r="A911" s="18"/>
      <c r="B911" s="18"/>
      <c r="C911" s="18"/>
      <c r="D911" s="18"/>
      <c r="E911" s="106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 ht="15.75" customHeight="1">
      <c r="A912" s="18"/>
      <c r="B912" s="18"/>
      <c r="C912" s="18"/>
      <c r="D912" s="18"/>
      <c r="E912" s="106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 ht="15.75" customHeight="1">
      <c r="A913" s="18"/>
      <c r="B913" s="18"/>
      <c r="C913" s="18"/>
      <c r="D913" s="18"/>
      <c r="E913" s="106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 ht="15.75" customHeight="1">
      <c r="A914" s="18"/>
      <c r="B914" s="18"/>
      <c r="C914" s="18"/>
      <c r="D914" s="18"/>
      <c r="E914" s="106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 ht="15.75" customHeight="1">
      <c r="A915" s="18"/>
      <c r="B915" s="18"/>
      <c r="C915" s="18"/>
      <c r="D915" s="18"/>
      <c r="E915" s="106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 ht="15.75" customHeight="1">
      <c r="A916" s="18"/>
      <c r="B916" s="18"/>
      <c r="C916" s="18"/>
      <c r="D916" s="18"/>
      <c r="E916" s="106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 ht="15.75" customHeight="1">
      <c r="A917" s="18"/>
      <c r="B917" s="18"/>
      <c r="C917" s="18"/>
      <c r="D917" s="18"/>
      <c r="E917" s="106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 ht="15.75" customHeight="1">
      <c r="A918" s="18"/>
      <c r="B918" s="18"/>
      <c r="C918" s="18"/>
      <c r="D918" s="18"/>
      <c r="E918" s="106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 ht="15.75" customHeight="1">
      <c r="A919" s="18"/>
      <c r="B919" s="18"/>
      <c r="C919" s="18"/>
      <c r="D919" s="18"/>
      <c r="E919" s="106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 ht="15.75" customHeight="1">
      <c r="A920" s="18"/>
      <c r="B920" s="18"/>
      <c r="C920" s="18"/>
      <c r="D920" s="18"/>
      <c r="E920" s="106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 ht="15.75" customHeight="1">
      <c r="A921" s="18"/>
      <c r="B921" s="18"/>
      <c r="C921" s="18"/>
      <c r="D921" s="18"/>
      <c r="E921" s="106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 ht="15.75" customHeight="1">
      <c r="A922" s="18"/>
      <c r="B922" s="18"/>
      <c r="C922" s="18"/>
      <c r="D922" s="18"/>
      <c r="E922" s="106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 ht="15.75" customHeight="1">
      <c r="A923" s="18"/>
      <c r="B923" s="18"/>
      <c r="C923" s="18"/>
      <c r="D923" s="18"/>
      <c r="E923" s="106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 ht="15.75" customHeight="1">
      <c r="A924" s="18"/>
      <c r="B924" s="18"/>
      <c r="C924" s="18"/>
      <c r="D924" s="18"/>
      <c r="E924" s="106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 ht="15.75" customHeight="1">
      <c r="A925" s="18"/>
      <c r="B925" s="18"/>
      <c r="C925" s="18"/>
      <c r="D925" s="18"/>
      <c r="E925" s="106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 ht="15.75" customHeight="1">
      <c r="A926" s="18"/>
      <c r="B926" s="18"/>
      <c r="C926" s="18"/>
      <c r="D926" s="18"/>
      <c r="E926" s="106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 ht="15.75" customHeight="1">
      <c r="A927" s="18"/>
      <c r="B927" s="18"/>
      <c r="C927" s="18"/>
      <c r="D927" s="18"/>
      <c r="E927" s="106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 ht="15.75" customHeight="1">
      <c r="A928" s="18"/>
      <c r="B928" s="18"/>
      <c r="C928" s="18"/>
      <c r="D928" s="18"/>
      <c r="E928" s="106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 ht="15.75" customHeight="1">
      <c r="A929" s="18"/>
      <c r="B929" s="18"/>
      <c r="C929" s="18"/>
      <c r="D929" s="18"/>
      <c r="E929" s="106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 ht="15.75" customHeight="1">
      <c r="A930" s="18"/>
      <c r="B930" s="18"/>
      <c r="C930" s="18"/>
      <c r="D930" s="18"/>
      <c r="E930" s="106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 ht="15.75" customHeight="1">
      <c r="A931" s="18"/>
      <c r="B931" s="18"/>
      <c r="C931" s="18"/>
      <c r="D931" s="18"/>
      <c r="E931" s="106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 ht="15.75" customHeight="1">
      <c r="A932" s="18"/>
      <c r="B932" s="18"/>
      <c r="C932" s="18"/>
      <c r="D932" s="18"/>
      <c r="E932" s="106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 ht="15.75" customHeight="1">
      <c r="A933" s="18"/>
      <c r="B933" s="18"/>
      <c r="C933" s="18"/>
      <c r="D933" s="18"/>
      <c r="E933" s="106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 ht="15.75" customHeight="1">
      <c r="A934" s="18"/>
      <c r="B934" s="18"/>
      <c r="C934" s="18"/>
      <c r="D934" s="18"/>
      <c r="E934" s="106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 ht="15.75" customHeight="1">
      <c r="A935" s="18"/>
      <c r="B935" s="18"/>
      <c r="C935" s="18"/>
      <c r="D935" s="18"/>
      <c r="E935" s="106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 ht="15.75" customHeight="1">
      <c r="A936" s="18"/>
      <c r="B936" s="18"/>
      <c r="C936" s="18"/>
      <c r="D936" s="18"/>
      <c r="E936" s="106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 ht="15.75" customHeight="1">
      <c r="A937" s="18"/>
      <c r="B937" s="18"/>
      <c r="C937" s="18"/>
      <c r="D937" s="18"/>
      <c r="E937" s="106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 ht="15.75" customHeight="1">
      <c r="A938" s="18"/>
      <c r="B938" s="18"/>
      <c r="C938" s="18"/>
      <c r="D938" s="18"/>
      <c r="E938" s="106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 ht="15.75" customHeight="1">
      <c r="A939" s="18"/>
      <c r="B939" s="18"/>
      <c r="C939" s="18"/>
      <c r="D939" s="18"/>
      <c r="E939" s="106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 ht="15.75" customHeight="1">
      <c r="A940" s="18"/>
      <c r="B940" s="18"/>
      <c r="C940" s="18"/>
      <c r="D940" s="18"/>
      <c r="E940" s="106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 ht="15.75" customHeight="1">
      <c r="A941" s="18"/>
      <c r="B941" s="18"/>
      <c r="C941" s="18"/>
      <c r="D941" s="18"/>
      <c r="E941" s="106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 ht="15.75" customHeight="1">
      <c r="A942" s="18"/>
      <c r="B942" s="18"/>
      <c r="C942" s="18"/>
      <c r="D942" s="18"/>
      <c r="E942" s="106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 ht="15.75" customHeight="1">
      <c r="A943" s="18"/>
      <c r="B943" s="18"/>
      <c r="C943" s="18"/>
      <c r="D943" s="18"/>
      <c r="E943" s="106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 ht="15.75" customHeight="1">
      <c r="A944" s="18"/>
      <c r="B944" s="18"/>
      <c r="C944" s="18"/>
      <c r="D944" s="18"/>
      <c r="E944" s="106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 ht="15.75" customHeight="1">
      <c r="A945" s="18"/>
      <c r="B945" s="18"/>
      <c r="C945" s="18"/>
      <c r="D945" s="18"/>
      <c r="E945" s="106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 ht="15.75" customHeight="1">
      <c r="A946" s="18"/>
      <c r="B946" s="18"/>
      <c r="C946" s="18"/>
      <c r="D946" s="18"/>
      <c r="E946" s="106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 ht="15.75" customHeight="1">
      <c r="A947" s="18"/>
      <c r="B947" s="18"/>
      <c r="C947" s="18"/>
      <c r="D947" s="18"/>
      <c r="E947" s="106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 ht="15.75" customHeight="1">
      <c r="A948" s="18"/>
      <c r="B948" s="18"/>
      <c r="C948" s="18"/>
      <c r="D948" s="18"/>
      <c r="E948" s="106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 ht="15.75" customHeight="1">
      <c r="A949" s="18"/>
      <c r="B949" s="18"/>
      <c r="C949" s="18"/>
      <c r="D949" s="18"/>
      <c r="E949" s="106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 ht="15.75" customHeight="1">
      <c r="A950" s="18"/>
      <c r="B950" s="18"/>
      <c r="C950" s="18"/>
      <c r="D950" s="18"/>
      <c r="E950" s="106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 ht="15.75" customHeight="1">
      <c r="A951" s="18"/>
      <c r="B951" s="18"/>
      <c r="C951" s="18"/>
      <c r="D951" s="18"/>
      <c r="E951" s="106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 ht="15.75" customHeight="1">
      <c r="A952" s="18"/>
      <c r="B952" s="18"/>
      <c r="C952" s="18"/>
      <c r="D952" s="18"/>
      <c r="E952" s="106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 ht="15.75" customHeight="1">
      <c r="A953" s="18"/>
      <c r="B953" s="18"/>
      <c r="C953" s="18"/>
      <c r="D953" s="18"/>
      <c r="E953" s="106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 ht="15.75" customHeight="1">
      <c r="A954" s="18"/>
      <c r="B954" s="18"/>
      <c r="C954" s="18"/>
      <c r="D954" s="18"/>
      <c r="E954" s="106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 ht="15.75" customHeight="1">
      <c r="A955" s="18"/>
      <c r="B955" s="18"/>
      <c r="C955" s="18"/>
      <c r="D955" s="18"/>
      <c r="E955" s="106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 ht="15.75" customHeight="1">
      <c r="A956" s="18"/>
      <c r="B956" s="18"/>
      <c r="C956" s="18"/>
      <c r="D956" s="18"/>
      <c r="E956" s="106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 ht="15.75" customHeight="1">
      <c r="A957" s="18"/>
      <c r="B957" s="18"/>
      <c r="C957" s="18"/>
      <c r="D957" s="18"/>
      <c r="E957" s="106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 ht="15.75" customHeight="1">
      <c r="A958" s="18"/>
      <c r="B958" s="18"/>
      <c r="C958" s="18"/>
      <c r="D958" s="18"/>
      <c r="E958" s="106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 ht="15.75" customHeight="1">
      <c r="A959" s="18"/>
      <c r="B959" s="18"/>
      <c r="C959" s="18"/>
      <c r="D959" s="18"/>
      <c r="E959" s="106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 ht="15.75" customHeight="1">
      <c r="A960" s="18"/>
      <c r="B960" s="18"/>
      <c r="C960" s="18"/>
      <c r="D960" s="18"/>
      <c r="E960" s="106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 ht="15.75" customHeight="1">
      <c r="A961" s="18"/>
      <c r="B961" s="18"/>
      <c r="C961" s="18"/>
      <c r="D961" s="18"/>
      <c r="E961" s="106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 ht="15.75" customHeight="1">
      <c r="A962" s="18"/>
      <c r="B962" s="18"/>
      <c r="C962" s="18"/>
      <c r="D962" s="18"/>
      <c r="E962" s="106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 ht="15.75" customHeight="1">
      <c r="A963" s="18"/>
      <c r="B963" s="18"/>
      <c r="C963" s="18"/>
      <c r="D963" s="18"/>
      <c r="E963" s="106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 ht="15.75" customHeight="1">
      <c r="A964" s="18"/>
      <c r="B964" s="18"/>
      <c r="C964" s="18"/>
      <c r="D964" s="18"/>
      <c r="E964" s="106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 ht="15.75" customHeight="1">
      <c r="A965" s="18"/>
      <c r="B965" s="18"/>
      <c r="C965" s="18"/>
      <c r="D965" s="18"/>
      <c r="E965" s="106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 ht="15.75" customHeight="1">
      <c r="A966" s="18"/>
      <c r="B966" s="18"/>
      <c r="C966" s="18"/>
      <c r="D966" s="18"/>
      <c r="E966" s="106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 ht="15.75" customHeight="1">
      <c r="A967" s="18"/>
      <c r="B967" s="18"/>
      <c r="C967" s="18"/>
      <c r="D967" s="18"/>
      <c r="E967" s="106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 ht="15.75" customHeight="1">
      <c r="A968" s="18"/>
      <c r="B968" s="18"/>
      <c r="C968" s="18"/>
      <c r="D968" s="18"/>
      <c r="E968" s="106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 ht="15.75" customHeight="1">
      <c r="A969" s="18"/>
      <c r="B969" s="18"/>
      <c r="C969" s="18"/>
      <c r="D969" s="18"/>
      <c r="E969" s="106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 ht="15.75" customHeight="1">
      <c r="A970" s="18"/>
      <c r="B970" s="18"/>
      <c r="C970" s="18"/>
      <c r="D970" s="18"/>
      <c r="E970" s="106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 ht="15.75" customHeight="1">
      <c r="A971" s="18"/>
      <c r="B971" s="18"/>
      <c r="C971" s="18"/>
      <c r="D971" s="18"/>
      <c r="E971" s="106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 ht="15.75" customHeight="1">
      <c r="A972" s="18"/>
      <c r="B972" s="18"/>
      <c r="C972" s="18"/>
      <c r="D972" s="18"/>
      <c r="E972" s="106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 ht="15.75" customHeight="1">
      <c r="A973" s="18"/>
      <c r="B973" s="18"/>
      <c r="C973" s="18"/>
      <c r="D973" s="18"/>
      <c r="E973" s="106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 ht="15.75" customHeight="1">
      <c r="A974" s="18"/>
      <c r="B974" s="18"/>
      <c r="C974" s="18"/>
      <c r="D974" s="18"/>
      <c r="E974" s="106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 ht="15.75" customHeight="1">
      <c r="A975" s="18"/>
      <c r="B975" s="18"/>
      <c r="C975" s="18"/>
      <c r="D975" s="18"/>
      <c r="E975" s="106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 ht="15.75" customHeight="1">
      <c r="A976" s="18"/>
      <c r="B976" s="18"/>
      <c r="C976" s="18"/>
      <c r="D976" s="18"/>
      <c r="E976" s="106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 ht="15.75" customHeight="1">
      <c r="A977" s="18"/>
      <c r="B977" s="18"/>
      <c r="C977" s="18"/>
      <c r="D977" s="18"/>
      <c r="E977" s="106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15.75" customHeight="1">
      <c r="A978" s="18"/>
      <c r="B978" s="18"/>
      <c r="C978" s="18"/>
      <c r="D978" s="18"/>
      <c r="E978" s="106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 ht="15.75" customHeight="1">
      <c r="A979" s="18"/>
      <c r="B979" s="18"/>
      <c r="C979" s="18"/>
      <c r="D979" s="18"/>
      <c r="E979" s="106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 ht="15.75" customHeight="1">
      <c r="A980" s="18"/>
      <c r="B980" s="18"/>
      <c r="C980" s="18"/>
      <c r="D980" s="18"/>
      <c r="E980" s="106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 ht="15.75" customHeight="1">
      <c r="A981" s="18"/>
      <c r="B981" s="18"/>
      <c r="C981" s="18"/>
      <c r="D981" s="18"/>
      <c r="E981" s="106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 ht="15.75" customHeight="1">
      <c r="A982" s="18"/>
      <c r="B982" s="18"/>
      <c r="C982" s="18"/>
      <c r="D982" s="18"/>
      <c r="E982" s="106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 ht="15.75" customHeight="1">
      <c r="A983" s="18"/>
      <c r="B983" s="18"/>
      <c r="C983" s="18"/>
      <c r="D983" s="18"/>
      <c r="E983" s="106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 ht="15.75" customHeight="1">
      <c r="A984" s="18"/>
      <c r="B984" s="18"/>
      <c r="C984" s="18"/>
      <c r="D984" s="18"/>
      <c r="E984" s="106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 ht="15.75" customHeight="1">
      <c r="A985" s="18"/>
      <c r="B985" s="18"/>
      <c r="C985" s="18"/>
      <c r="D985" s="18"/>
      <c r="E985" s="106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 ht="15.75" customHeight="1">
      <c r="A986" s="18"/>
      <c r="B986" s="18"/>
      <c r="C986" s="18"/>
      <c r="D986" s="18"/>
      <c r="E986" s="106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 ht="15.75" customHeight="1">
      <c r="A987" s="18"/>
      <c r="B987" s="18"/>
      <c r="C987" s="18"/>
      <c r="D987" s="18"/>
      <c r="E987" s="106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 ht="15.75" customHeight="1">
      <c r="A988" s="18"/>
      <c r="B988" s="18"/>
      <c r="C988" s="18"/>
      <c r="D988" s="18"/>
      <c r="E988" s="106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 ht="15.75" customHeight="1">
      <c r="A989" s="18"/>
      <c r="B989" s="18"/>
      <c r="C989" s="18"/>
      <c r="D989" s="18"/>
      <c r="E989" s="106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 ht="15.75" customHeight="1">
      <c r="A990" s="18"/>
      <c r="B990" s="18"/>
      <c r="C990" s="18"/>
      <c r="D990" s="18"/>
      <c r="E990" s="106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 ht="15.75" customHeight="1">
      <c r="A991" s="18"/>
      <c r="B991" s="18"/>
      <c r="C991" s="18"/>
      <c r="D991" s="18"/>
      <c r="E991" s="106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 ht="15.75" customHeight="1">
      <c r="A992" s="18"/>
      <c r="B992" s="18"/>
      <c r="C992" s="18"/>
      <c r="D992" s="18"/>
      <c r="E992" s="106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 ht="15.75" customHeight="1">
      <c r="A993" s="18"/>
      <c r="B993" s="18"/>
      <c r="C993" s="18"/>
      <c r="D993" s="18"/>
      <c r="E993" s="106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 ht="15.75" customHeight="1">
      <c r="A994" s="18"/>
      <c r="B994" s="18"/>
      <c r="C994" s="18"/>
      <c r="D994" s="18"/>
      <c r="E994" s="106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</sheetData>
  <autoFilter ref="A1:T297"/>
  <mergeCells count="1">
    <mergeCell ref="O1:R1"/>
  </mergeCells>
  <hyperlinks>
    <hyperlink ref="B3" r:id="rId1"/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A29" r:id="rId27"/>
    <hyperlink ref="B29" r:id="rId28"/>
    <hyperlink ref="B30" r:id="rId29"/>
    <hyperlink ref="B31" r:id="rId30"/>
    <hyperlink ref="B32" r:id="rId31"/>
    <hyperlink ref="B33" r:id="rId32"/>
    <hyperlink ref="A34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A90" r:id="rId90"/>
    <hyperlink ref="B90" r:id="rId91"/>
    <hyperlink ref="B91" r:id="rId92"/>
    <hyperlink ref="B92" r:id="rId93"/>
    <hyperlink ref="B93" r:id="rId94"/>
    <hyperlink ref="B94" r:id="rId95"/>
    <hyperlink ref="B95" r:id="rId96"/>
    <hyperlink ref="B96" r:id="rId97"/>
    <hyperlink ref="B97" r:id="rId98"/>
    <hyperlink ref="B98" r:id="rId99"/>
    <hyperlink ref="B99" r:id="rId100"/>
    <hyperlink ref="B100" r:id="rId101"/>
    <hyperlink ref="B101" r:id="rId102"/>
    <hyperlink ref="B102" r:id="rId103"/>
    <hyperlink ref="B103" r:id="rId104"/>
    <hyperlink ref="B104" r:id="rId105"/>
    <hyperlink ref="B105" r:id="rId106"/>
    <hyperlink ref="B106" r:id="rId107"/>
    <hyperlink ref="B107" r:id="rId108"/>
    <hyperlink ref="B108" r:id="rId109"/>
    <hyperlink ref="B109" r:id="rId110"/>
    <hyperlink ref="B110" r:id="rId111"/>
    <hyperlink ref="B111" r:id="rId112"/>
    <hyperlink ref="B112" r:id="rId113"/>
    <hyperlink ref="B113" r:id="rId114"/>
    <hyperlink ref="B114" r:id="rId115"/>
    <hyperlink ref="B115" r:id="rId116"/>
    <hyperlink ref="B116" r:id="rId117"/>
    <hyperlink ref="B117" r:id="rId118"/>
    <hyperlink ref="B118" r:id="rId119"/>
    <hyperlink ref="B119" r:id="rId120"/>
    <hyperlink ref="B120" r:id="rId121"/>
    <hyperlink ref="B121" r:id="rId122"/>
    <hyperlink ref="B122" r:id="rId123"/>
    <hyperlink ref="B123" r:id="rId124"/>
    <hyperlink ref="B124" r:id="rId125"/>
    <hyperlink ref="B125" r:id="rId126"/>
    <hyperlink ref="B126" r:id="rId127"/>
    <hyperlink ref="B127" r:id="rId128"/>
    <hyperlink ref="B128" r:id="rId129"/>
    <hyperlink ref="B129" r:id="rId130"/>
    <hyperlink ref="B130" r:id="rId131"/>
    <hyperlink ref="B131" r:id="rId132"/>
    <hyperlink ref="B132" r:id="rId133"/>
    <hyperlink ref="B133" r:id="rId134"/>
    <hyperlink ref="B134" r:id="rId135"/>
    <hyperlink ref="B135" r:id="rId136"/>
    <hyperlink ref="B136" r:id="rId137"/>
    <hyperlink ref="B137" r:id="rId138"/>
    <hyperlink ref="B138" r:id="rId139"/>
    <hyperlink ref="B139" r:id="rId140"/>
    <hyperlink ref="B140" r:id="rId141"/>
    <hyperlink ref="B141" r:id="rId142"/>
    <hyperlink ref="B142" r:id="rId143"/>
    <hyperlink ref="B143" r:id="rId144"/>
    <hyperlink ref="B144" r:id="rId145"/>
    <hyperlink ref="B145" r:id="rId146"/>
    <hyperlink ref="B146" r:id="rId147"/>
    <hyperlink ref="B147" r:id="rId148"/>
    <hyperlink ref="B148" r:id="rId149"/>
    <hyperlink ref="B149" r:id="rId150"/>
    <hyperlink ref="B150" r:id="rId151"/>
    <hyperlink ref="B151" r:id="rId152"/>
    <hyperlink ref="B152" r:id="rId153"/>
    <hyperlink ref="B153" r:id="rId154"/>
    <hyperlink ref="B154" r:id="rId155"/>
    <hyperlink ref="B155" r:id="rId156"/>
    <hyperlink ref="B156" r:id="rId157"/>
    <hyperlink ref="A157" r:id="rId158"/>
    <hyperlink ref="B157" r:id="rId159"/>
    <hyperlink ref="B158" r:id="rId160"/>
    <hyperlink ref="B159" r:id="rId161"/>
    <hyperlink ref="B160" r:id="rId162"/>
    <hyperlink ref="B161" r:id="rId163"/>
    <hyperlink ref="B162" r:id="rId164"/>
    <hyperlink ref="B163" r:id="rId165"/>
    <hyperlink ref="B164" r:id="rId166"/>
    <hyperlink ref="B165" r:id="rId167"/>
    <hyperlink ref="B166" r:id="rId168"/>
    <hyperlink ref="B167" r:id="rId169"/>
    <hyperlink ref="B168" r:id="rId170"/>
    <hyperlink ref="B169" r:id="rId171"/>
    <hyperlink ref="B170" r:id="rId172"/>
    <hyperlink ref="B171" r:id="rId173"/>
    <hyperlink ref="B172" r:id="rId174"/>
    <hyperlink ref="B173" r:id="rId175"/>
    <hyperlink ref="B174" r:id="rId176"/>
    <hyperlink ref="B175" r:id="rId177"/>
    <hyperlink ref="B176" r:id="rId178"/>
    <hyperlink ref="B177" r:id="rId179"/>
    <hyperlink ref="B178" r:id="rId180"/>
    <hyperlink ref="B179" r:id="rId181"/>
    <hyperlink ref="B180" r:id="rId182"/>
    <hyperlink ref="B181" r:id="rId183"/>
    <hyperlink ref="B182" r:id="rId184"/>
    <hyperlink ref="B183" r:id="rId185"/>
    <hyperlink ref="B184" r:id="rId186"/>
    <hyperlink ref="B185" r:id="rId187"/>
    <hyperlink ref="B186" r:id="rId188"/>
    <hyperlink ref="B187" r:id="rId189"/>
    <hyperlink ref="B188" r:id="rId190"/>
    <hyperlink ref="B189" r:id="rId191"/>
    <hyperlink ref="A190" r:id="rId192"/>
    <hyperlink ref="B190" r:id="rId193"/>
    <hyperlink ref="B191" r:id="rId194"/>
    <hyperlink ref="B192" r:id="rId195"/>
    <hyperlink ref="B193" r:id="rId196"/>
    <hyperlink ref="B194" r:id="rId197"/>
    <hyperlink ref="B195" r:id="rId198"/>
    <hyperlink ref="B196" r:id="rId199"/>
    <hyperlink ref="B197" r:id="rId200"/>
    <hyperlink ref="B198" r:id="rId201"/>
    <hyperlink ref="B199" r:id="rId202"/>
    <hyperlink ref="B200" r:id="rId203"/>
    <hyperlink ref="B201" r:id="rId204"/>
    <hyperlink ref="B202" r:id="rId205"/>
    <hyperlink ref="B203" r:id="rId206"/>
    <hyperlink ref="B204" r:id="rId207"/>
    <hyperlink ref="A205" r:id="rId208"/>
    <hyperlink ref="B205" r:id="rId209"/>
    <hyperlink ref="B206" r:id="rId210"/>
    <hyperlink ref="B207" r:id="rId211"/>
    <hyperlink ref="B208" r:id="rId212"/>
    <hyperlink ref="B209" r:id="rId213"/>
    <hyperlink ref="B210" r:id="rId214"/>
    <hyperlink ref="B211" r:id="rId215"/>
    <hyperlink ref="B212" r:id="rId216"/>
    <hyperlink ref="B213" r:id="rId217"/>
    <hyperlink ref="A214" r:id="rId218"/>
    <hyperlink ref="B214" r:id="rId219"/>
    <hyperlink ref="B215" r:id="rId220"/>
    <hyperlink ref="B216" r:id="rId221"/>
    <hyperlink ref="B217" r:id="rId222"/>
    <hyperlink ref="B218" r:id="rId223"/>
    <hyperlink ref="B219" r:id="rId224"/>
    <hyperlink ref="B220" r:id="rId225"/>
    <hyperlink ref="B221" r:id="rId226"/>
    <hyperlink ref="B222" r:id="rId227"/>
    <hyperlink ref="B223" r:id="rId228"/>
    <hyperlink ref="B224" r:id="rId229"/>
    <hyperlink ref="B225" r:id="rId230"/>
    <hyperlink ref="B226" r:id="rId231"/>
    <hyperlink ref="B227" r:id="rId232"/>
    <hyperlink ref="B228" r:id="rId233"/>
    <hyperlink ref="B229" r:id="rId234"/>
    <hyperlink ref="B230" r:id="rId235"/>
    <hyperlink ref="B231" r:id="rId236"/>
    <hyperlink ref="B232" r:id="rId237"/>
    <hyperlink ref="B233" r:id="rId238"/>
    <hyperlink ref="B234" r:id="rId239"/>
    <hyperlink ref="B235" r:id="rId240"/>
    <hyperlink ref="B236" r:id="rId241"/>
    <hyperlink ref="B237" r:id="rId242"/>
    <hyperlink ref="B238" r:id="rId243"/>
    <hyperlink ref="B239" r:id="rId244"/>
    <hyperlink ref="B240" r:id="rId245"/>
    <hyperlink ref="B241" r:id="rId246"/>
    <hyperlink ref="B242" r:id="rId247"/>
    <hyperlink ref="B243" r:id="rId248"/>
    <hyperlink ref="B244" r:id="rId249"/>
    <hyperlink ref="B245" r:id="rId250"/>
    <hyperlink ref="B246" r:id="rId251"/>
    <hyperlink ref="B247" r:id="rId252"/>
    <hyperlink ref="B248" r:id="rId253"/>
    <hyperlink ref="B249" r:id="rId254"/>
    <hyperlink ref="B250" r:id="rId255"/>
    <hyperlink ref="B251" r:id="rId256"/>
    <hyperlink ref="B252" r:id="rId257"/>
    <hyperlink ref="B253" r:id="rId258"/>
    <hyperlink ref="B254" r:id="rId259"/>
    <hyperlink ref="B255" r:id="rId260"/>
    <hyperlink ref="B256" r:id="rId261"/>
    <hyperlink ref="B257" r:id="rId262"/>
    <hyperlink ref="B258" r:id="rId263"/>
    <hyperlink ref="B259" r:id="rId264"/>
    <hyperlink ref="B260" r:id="rId265"/>
    <hyperlink ref="B261" r:id="rId266"/>
    <hyperlink ref="B262" r:id="rId267"/>
    <hyperlink ref="B263" r:id="rId268"/>
    <hyperlink ref="B264" r:id="rId269"/>
    <hyperlink ref="B265" r:id="rId270"/>
    <hyperlink ref="B266" r:id="rId271"/>
    <hyperlink ref="B267" r:id="rId272"/>
    <hyperlink ref="B268" r:id="rId273"/>
    <hyperlink ref="B269" r:id="rId274"/>
    <hyperlink ref="B270" r:id="rId275"/>
    <hyperlink ref="B271" r:id="rId276"/>
    <hyperlink ref="B272" r:id="rId277"/>
    <hyperlink ref="B273" r:id="rId278"/>
    <hyperlink ref="B274" r:id="rId279"/>
    <hyperlink ref="B275" r:id="rId280"/>
    <hyperlink ref="B276" r:id="rId281"/>
    <hyperlink ref="B277" r:id="rId282"/>
    <hyperlink ref="B278" r:id="rId283"/>
    <hyperlink ref="B279" r:id="rId284"/>
    <hyperlink ref="B280" r:id="rId285"/>
    <hyperlink ref="B281" r:id="rId286"/>
    <hyperlink ref="B282" r:id="rId287"/>
    <hyperlink ref="B283" r:id="rId288"/>
    <hyperlink ref="B284" r:id="rId289"/>
    <hyperlink ref="B285" r:id="rId290"/>
    <hyperlink ref="B286" r:id="rId291"/>
    <hyperlink ref="B287" r:id="rId292"/>
    <hyperlink ref="B288" r:id="rId293"/>
    <hyperlink ref="B289" r:id="rId294"/>
    <hyperlink ref="B290" r:id="rId295"/>
    <hyperlink ref="B291" r:id="rId296"/>
    <hyperlink ref="B292" r:id="rId297"/>
    <hyperlink ref="B293" r:id="rId298"/>
    <hyperlink ref="B294" r:id="rId299"/>
    <hyperlink ref="B295" r:id="rId300"/>
    <hyperlink ref="B296" r:id="rId301"/>
    <hyperlink ref="B297" r:id="rId30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C56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73.33203125" customWidth="1"/>
    <col min="2" max="2" width="72.6640625" customWidth="1"/>
    <col min="3" max="3" width="48.1640625" customWidth="1"/>
    <col min="5" max="5" width="25" customWidth="1"/>
    <col min="7" max="7" width="26.5" customWidth="1"/>
    <col min="8" max="8" width="77.6640625" customWidth="1"/>
  </cols>
  <sheetData>
    <row r="1" spans="1:29" ht="15.75" customHeight="1">
      <c r="A1" s="1" t="s">
        <v>202</v>
      </c>
      <c r="B1" s="1" t="s">
        <v>203</v>
      </c>
      <c r="C1" s="1" t="s">
        <v>205</v>
      </c>
      <c r="D1" s="1" t="s">
        <v>206</v>
      </c>
      <c r="E1" s="1" t="s">
        <v>207</v>
      </c>
      <c r="F1" s="1" t="s">
        <v>158</v>
      </c>
      <c r="G1" s="1" t="s">
        <v>208</v>
      </c>
      <c r="H1" s="1" t="s">
        <v>146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ht="15.75" customHeight="1">
      <c r="B2" s="3" t="s">
        <v>209</v>
      </c>
      <c r="C2" s="3" t="s">
        <v>210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5.75" customHeight="1">
      <c r="A3" s="71" t="str">
        <f>HYPERLINK("https://docs.google.com/document/d/1lrrkam_Cpm5kR40NfMhUsGJzyGugGZWJC4f3LWlNZT4/edit#","7 Customer retention tips for IT companies")</f>
        <v>7 Customer retention tips for IT companies</v>
      </c>
      <c r="B3" s="72" t="s">
        <v>216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</row>
    <row r="4" spans="1:29" ht="15.75" customHeight="1">
      <c r="A4" s="11" t="str">
        <f>HYPERLINK("https://docs.google.com/document/d/13u0MkNouCVpgJrnO6XbKaqVJVtmxy6yH5J6MM25q8as/edit","Marketing for a Good Cause: What Every Nonprofit Should Know About Digital Marketing")</f>
        <v>Marketing for a Good Cause: What Every Nonprofit Should Know About Digital Marketing</v>
      </c>
      <c r="B4" s="61" t="s">
        <v>220</v>
      </c>
      <c r="C4" s="3" t="s">
        <v>222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</row>
    <row r="5" spans="1:29" ht="15.75" customHeight="1">
      <c r="A5" s="11" t="str">
        <f>HYPERLINK("https://docs.google.com/document/d/1jOFOE3mLcw68nA9DaKClNYdEkbjbX3uvecrQzT_vshw/edit","How the Biggest Brands Form an Emotional Connection with Their Consumers")</f>
        <v>How the Biggest Brands Form an Emotional Connection with Their Consumers</v>
      </c>
      <c r="B5" s="3" t="s">
        <v>227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</row>
    <row r="6" spans="1:29" ht="15.75" customHeight="1">
      <c r="A6" s="71" t="str">
        <f>HYPERLINK("https://docs.google.com/document/d/1PWfslIzpTvQ0bFpcWbPGQ0HemyzvyYgyR1_gj1iS5Ms/edit","4 Reasons Why Retail Companies Should Make Their Sites ADA Compliant")</f>
        <v>4 Reasons Why Retail Companies Should Make Their Sites ADA Compliant</v>
      </c>
      <c r="B6" s="72" t="s">
        <v>228</v>
      </c>
    </row>
    <row r="7" spans="1:29" ht="15.75" customHeight="1">
      <c r="A7" s="11" t="str">
        <f>HYPERLINK("https://docs.google.com/document/d/1FNxbasABjjfm6G6KK5gUcI9DoQWKDU__lT_EUWNi5PM/edit","10 Tips for Lifestyle Brands to Excel at Content Marketing")</f>
        <v>10 Tips for Lifestyle Brands to Excel at Content Marketing</v>
      </c>
      <c r="B7" s="3" t="s">
        <v>231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</row>
    <row r="8" spans="1:29" ht="15.75" customHeight="1">
      <c r="A8" s="71" t="str">
        <f>HYPERLINK("https://docs.google.com/document/d/1F2nCgzmaFlmx-vELWM9u64jtxgOaYyMNA4bJbU99u5s/edit","A traveller’s guide to every spring destination")</f>
        <v>A traveller’s guide to every spring destination</v>
      </c>
      <c r="B8" s="72" t="s">
        <v>234</v>
      </c>
    </row>
    <row r="9" spans="1:29" ht="15.75" customHeight="1">
      <c r="A9" s="71" t="str">
        <f>HYPERLINK("https://docs.google.com/document/d/1-g4SoO8QVDiXHFV43vQhUSjx7pgaSD6r_vKu8488Mnc/edit","Early detection signs for scoliosis")</f>
        <v>Early detection signs for scoliosis</v>
      </c>
      <c r="B9" s="3" t="s">
        <v>236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</row>
    <row r="10" spans="1:29" ht="15.75" customHeight="1">
      <c r="A10" s="71" t="str">
        <f>HYPERLINK("https://docs.google.com/document/d/1CtWelLGsCU27o8xKA95cQ7qUk1B2Zmurp3DR-a6_A-4/edit","7 reasons why healthtech companies are Hitrust certified")</f>
        <v>7 reasons why healthtech companies are Hitrust certified</v>
      </c>
      <c r="B10" s="72" t="s">
        <v>239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</row>
    <row r="11" spans="1:29" ht="15.75" customHeight="1">
      <c r="A11" s="71" t="str">
        <f>HYPERLINK("https://docs.google.com/document/d/1adLEvLBrcA33PgTtoCsdP-UIpin5ItaDLRDYooCVtR0/edit","Top ethical concerns about using AI in pharma ")</f>
        <v xml:space="preserve">Top ethical concerns about using AI in pharma </v>
      </c>
      <c r="B11" s="72" t="s">
        <v>242</v>
      </c>
    </row>
    <row r="12" spans="1:29" ht="15.75" customHeight="1">
      <c r="A12" s="71" t="str">
        <f>HYPERLINK("https://docs.google.com/document/d/1GkAUnn4pp_XaQRwFvAS0O_9m_n_rd3vIpa2wFn3MS7o/edit#heading=h.trswh7ijfcpk","I tried the Kool8 water bottle - AND I loved it")</f>
        <v>I tried the Kool8 water bottle - AND I loved it</v>
      </c>
      <c r="B12" s="72" t="s">
        <v>244</v>
      </c>
      <c r="C12" s="72"/>
    </row>
    <row r="14" spans="1:29" ht="15.75" customHeight="1">
      <c r="A14" s="71" t="str">
        <f>HYPERLINK("https://docs.google.com/document/d/1L4KtWHcv_yYM9Y5O6vei7AFXnhujnVKT4Q3jsl9iNe4/edit","6 Reasons Executives Should Pay Attention To Web Analytics")</f>
        <v>6 Reasons Executives Should Pay Attention To Web Analytics</v>
      </c>
      <c r="B14" s="72" t="s">
        <v>246</v>
      </c>
    </row>
    <row r="15" spans="1:29" ht="15.75" customHeight="1">
      <c r="A15" s="71" t="str">
        <f>HYPERLINK("https://docs.google.com/document/d/1EVpRKrZlXjrsVaoExCaiD-LBs8dkj4ucEzHEhzphfS0/edit","5 Things You Should Know About ADA Compliance")</f>
        <v>5 Things You Should Know About ADA Compliance</v>
      </c>
    </row>
    <row r="16" spans="1:29" ht="15.75" customHeight="1">
      <c r="A16" s="71" t="str">
        <f>HYPERLINK("https://docs.google.com/document/d/1-VyloOzdYT6W9U8-VV4sxKGhv1xF6yfrYdoiW7m3M5w/edit","Kool8 Review:  My thoughts on a nifty water bottle")</f>
        <v>Kool8 Review:  My thoughts on a nifty water bottle</v>
      </c>
      <c r="B16" s="72" t="s">
        <v>252</v>
      </c>
    </row>
    <row r="20" spans="3:29" ht="15.75" customHeight="1"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2" spans="3:29" ht="15.75" customHeight="1"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3:29" ht="15.75" customHeight="1"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3:29" ht="15.75" customHeight="1"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3:29" ht="15.75" customHeight="1"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3:29" ht="15.75" customHeight="1"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3:29" ht="15.75" customHeight="1"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33" spans="1:29" ht="15.75" customHeight="1"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9" spans="1:29" ht="15.75" customHeight="1">
      <c r="C39" s="3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1" spans="1:29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spans="1:29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spans="1:29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spans="1:29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spans="1:29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spans="1:29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spans="1:29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spans="1:29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spans="1:2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spans="1:29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spans="1:29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spans="1:29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spans="1:29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spans="1:29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spans="1:29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spans="1:29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spans="1:29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spans="1:29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spans="1:2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spans="1:29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spans="1:29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spans="1:29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spans="1:29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spans="1:29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spans="1:29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spans="1:29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29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spans="1:29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spans="1:2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spans="1:29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spans="1:29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spans="1:29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spans="1:29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spans="1:29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spans="1:29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spans="1:29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spans="1:29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</sheetData>
  <hyperlinks>
    <hyperlink ref="B4" r:id="rId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C91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73" customWidth="1"/>
    <col min="2" max="2" width="37.1640625" customWidth="1"/>
    <col min="3" max="3" width="65.33203125" customWidth="1"/>
    <col min="4" max="4" width="18.5" customWidth="1"/>
    <col min="8" max="8" width="43.1640625" customWidth="1"/>
  </cols>
  <sheetData>
    <row r="1" spans="1:29" ht="15.75" customHeight="1">
      <c r="A1" s="3" t="s">
        <v>202</v>
      </c>
      <c r="B1" s="3" t="s">
        <v>159</v>
      </c>
      <c r="C1" s="3" t="s">
        <v>399</v>
      </c>
      <c r="D1" s="3" t="s">
        <v>400</v>
      </c>
      <c r="E1" s="3" t="s">
        <v>158</v>
      </c>
      <c r="F1" s="3" t="s">
        <v>401</v>
      </c>
      <c r="G1" s="3" t="s">
        <v>402</v>
      </c>
      <c r="H1" s="3" t="s">
        <v>146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5.75" customHeight="1">
      <c r="A2" s="11" t="str">
        <f>HYPERLINK("https://docs.google.com/document/d/1Uq2PoleJUDs5F5zmOfdb6KUwKK2ixzcsqJEsx9aq7qQ/edit","Why Every Healthcare Executive Should Pay Attention To Blockchain In 2019")</f>
        <v>Why Every Healthcare Executive Should Pay Attention To Blockchain In 2019</v>
      </c>
      <c r="B2" s="3" t="s">
        <v>405</v>
      </c>
      <c r="C2" s="3" t="s">
        <v>406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5.75" customHeight="1">
      <c r="A3" s="71" t="str">
        <f>HYPERLINK("https://docs.google.com/document/d/1a8T-6DTtBLI4B05tet5Pji0Zmqnf4I0yqdSA0fjDqpI/edit","Website ADA compliance tips for restaurant owners")</f>
        <v>Website ADA compliance tips for restaurant owners</v>
      </c>
      <c r="E3" s="18"/>
      <c r="F3" s="18"/>
      <c r="G3" s="18"/>
      <c r="H3" s="11" t="str">
        <f>HYPERLINK("https://docs.google.com/document/d/1W7k-wZXreYDzudGinEbMEnWhIspiHyJGu2p5IwZLvkY/edit","link to second one on the list")</f>
        <v>link to second one on the list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</row>
    <row r="4" spans="1:29" ht="15.75" customHeight="1">
      <c r="A4" s="11" t="str">
        <f>HYPERLINK("https://docs.google.com/document/d/1q-oxejrDTQrSBGZNcfIepXSGHxOXLJ5OVEug8UMl80E/edit","7 Social Media Marketing Techniques That Your IT Company Is Missing Out On")</f>
        <v>7 Social Media Marketing Techniques That Your IT Company Is Missing Out On</v>
      </c>
      <c r="B4" s="3"/>
      <c r="C4" s="3"/>
      <c r="D4" s="18"/>
    </row>
    <row r="5" spans="1:29" ht="15.75" customHeight="1">
      <c r="A5" s="71" t="str">
        <f>HYPERLINK("https://docs.google.com/document/d/1OiogVsMZNfaoOwYpm1UqH17MvxStOzQydZNyxY7K5hc/edit","How To Make Sure Your Website Is ADA Compliant In 5 Easy Steps")</f>
        <v>How To Make Sure Your Website Is ADA Compliant In 5 Easy Steps</v>
      </c>
    </row>
    <row r="6" spans="1:29" ht="15.75" customHeight="1">
      <c r="A6" s="11" t="str">
        <f>HYPERLINK("https://docs.google.com/document/d/1Spyvlrdd8dtlJpZBYAVRyKoLcvWWpx0UdyrzrXpSbtY/edit","9 Social media marketing techniques that your IT Company is missing out on")</f>
        <v>9 Social media marketing techniques that your IT Company is missing out on</v>
      </c>
      <c r="B6" s="3"/>
      <c r="C6" s="3"/>
      <c r="D6" s="18"/>
    </row>
    <row r="7" spans="1:29" ht="15.75" customHeight="1">
      <c r="A7" s="71" t="str">
        <f>HYPERLINK("https://docs.google.com/document/d/1wRJ8YTTicaxUMl3HMPxJudqJ-UjXMRU6oek20UUzBFM/edit#","7 Key predictions for how AI will Impact the Pharma industry  ")</f>
        <v xml:space="preserve">7 Key predictions for how AI will Impact the Pharma industry  </v>
      </c>
      <c r="B7" s="72"/>
    </row>
    <row r="8" spans="1:29" ht="15.75" customHeight="1">
      <c r="A8" s="71" t="str">
        <f>HYPERLINK("https://docs.google.com/document/d/1P6o7gcOXg9hAwkHZqjpZRJlSsOgbzBp9a7u8Zpp11Ss/edit","How IT Companies Can Use Content Marketing To Get More Sales")</f>
        <v>How IT Companies Can Use Content Marketing To Get More Sales</v>
      </c>
    </row>
    <row r="9" spans="1:29" ht="15.75" customHeight="1">
      <c r="A9" s="71" t="str">
        <f>HYPERLINK("https://docs.google.com/document/d/1r6sUslFAuF-hFaOO1-VlQMO-YD2xE5yieSSFesizkZQ/edit","The Unintended Consequences Of ADA Compliance Laws")</f>
        <v>The Unintended Consequences Of ADA Compliance Laws</v>
      </c>
    </row>
    <row r="10" spans="1:29" ht="15.75" customHeight="1">
      <c r="A10" s="71" t="str">
        <f>HYPERLINK("https://docs.google.com/document/d/1fJ16-o4eBKKAT3g_3arnMSOxEYqd-KuxAqhxCbVBZQY/edit","Report shows the importance of connecting emotionally with your customers")</f>
        <v>Report shows the importance of connecting emotionally with your customers</v>
      </c>
    </row>
    <row r="11" spans="1:29" ht="15.75" customHeight="1">
      <c r="A11" s="71" t="str">
        <f>HYPERLINK("https://docs.google.com/document/d/10RJvJ2x6Cp0-qcB-fmCcF0l6jD6apy4xup3Px5mJEq0/edit#","Kool8 Water Bottle - In depth Review of a Super Cool Gadget ")</f>
        <v xml:space="preserve">Kool8 Water Bottle - In depth Review of a Super Cool Gadget </v>
      </c>
      <c r="C11" s="72" t="s">
        <v>415</v>
      </c>
    </row>
    <row r="12" spans="1:29" ht="15.75" customHeight="1">
      <c r="A12" s="71" t="str">
        <f>HYPERLINK("https://docs.google.com/document/d/1wYlznGSP_HeX7RD5SQgW0lpofrYgFKKURPW2kiQfGjM/edit#","What is IT marketing? 6 tips for success")</f>
        <v>What is IT marketing? 6 tips for success</v>
      </c>
    </row>
    <row r="13" spans="1:29" ht="15.75" customHeight="1">
      <c r="A13" s="71" t="str">
        <f>HYPERLINK("https://docs.google.com/document/d/11TizD1TP_VnsVLqff3ARhtdhYzzb68_nnTrz-ab235w/edit","Why Every Business Should Care About Having Accessible Websites")</f>
        <v>Why Every Business Should Care About Having Accessible Websites</v>
      </c>
    </row>
    <row r="14" spans="1:29" ht="15.75" customHeight="1">
      <c r="A14" s="71" t="str">
        <f>HYPERLINK("https://docs.google.com/document/d/1lQKIdPHJzE9cTBzIGlFQU6X4bP2REw5so2SCjh_D00M/edit","7 Things Every Professional Cyclist Should Own")</f>
        <v>7 Things Every Professional Cyclist Should Own</v>
      </c>
    </row>
    <row r="15" spans="1:29" ht="15.75" customHeight="1">
      <c r="A15" s="71" t="str">
        <f>HYPERLINK("https://docs.google.com/document/d/14QHZjF-CAcXnOS9cfegs8PCrElETTzwdGYUwWxtGXuk/edit#","HIPAA versus Hitrust? What's The Difference In Health Tech Standards")</f>
        <v>HIPAA versus Hitrust? What's The Difference In Health Tech Standards</v>
      </c>
    </row>
    <row r="16" spans="1:29" ht="15.75" customHeight="1">
      <c r="A16" s="71" t="str">
        <f>HYPERLINK("https://docs.google.com/document/d/1UNnuuF-dJK5ptE24gJbHgQT2LphZGMTlpbAfRUn0rVY/edit","Should you outsource mobile app development or keep it in house?")</f>
        <v>Should you outsource mobile app development or keep it in house?</v>
      </c>
    </row>
    <row r="17" spans="1:1" ht="15.75" customHeight="1">
      <c r="A17" s="71" t="str">
        <f>HYPERLINK("https://docs.google.com/document/d/1aC9y89rACIWlkIWWclCuruOGHI0tti0awCXVU5YIEPs/edit#","Why more and more companies are sued for website ADA compliance ")</f>
        <v xml:space="preserve">Why more and more companies are sued for website ADA compliance </v>
      </c>
    </row>
    <row r="18" spans="1:1" ht="15.75" customHeight="1">
      <c r="A18" s="71" t="str">
        <f>HYPERLINK("https://docs.google.com/document/d/1KmVgA7eolGwibzrFBFlgc4_3B9WGM7W7_W1Lmd8DJxI/edit","Gadgets for the amateur biker")</f>
        <v>Gadgets for the amateur biker</v>
      </c>
    </row>
    <row r="19" spans="1:1" ht="15.75" customHeight="1">
      <c r="A19" s="71" t="str">
        <f>HYPERLINK("https://docs.google.com/document/d/1qEkyFQI-5HXiUGFQ73C4F0gZgdDUMemYkqTX9vedr68/edit","Why do insurance companies care about Hitrust certification from their vendors")</f>
        <v>Why do insurance companies care about Hitrust certification from their vendors</v>
      </c>
    </row>
    <row r="20" spans="1:1" ht="15.75" customHeight="1">
      <c r="A20" s="72"/>
    </row>
    <row r="21" spans="1:1" ht="15.75" customHeight="1">
      <c r="A21" s="72"/>
    </row>
    <row r="22" spans="1:1" ht="15.75" customHeight="1">
      <c r="A22" s="72"/>
    </row>
    <row r="23" spans="1:1" ht="15.75" customHeight="1">
      <c r="A23" s="80" t="s">
        <v>422</v>
      </c>
    </row>
    <row r="24" spans="1:1" ht="15.75" customHeight="1">
      <c r="A24" s="72"/>
    </row>
    <row r="25" spans="1:1" ht="15.75" customHeight="1">
      <c r="A25" s="72"/>
    </row>
    <row r="26" spans="1:1" ht="15.75" customHeight="1">
      <c r="A26" s="72"/>
    </row>
    <row r="27" spans="1:1" ht="15.75" customHeight="1">
      <c r="A27" s="72"/>
    </row>
    <row r="28" spans="1:1" ht="15.75" customHeight="1">
      <c r="A28" s="72"/>
    </row>
    <row r="29" spans="1:1" ht="15.75" customHeight="1">
      <c r="A29" s="72"/>
    </row>
    <row r="44" spans="1:3" ht="15.75" customHeight="1">
      <c r="C44" s="72"/>
    </row>
    <row r="45" spans="1:3" ht="15.75" customHeight="1">
      <c r="C45" s="72"/>
    </row>
    <row r="48" spans="1:3" ht="15.75" customHeight="1">
      <c r="A48" s="72"/>
    </row>
    <row r="49" spans="1:1" ht="15.75" customHeight="1">
      <c r="A49" s="72"/>
    </row>
    <row r="50" spans="1:1" ht="15.75" customHeight="1">
      <c r="A50" s="72"/>
    </row>
    <row r="51" spans="1:1" ht="15.75" customHeight="1">
      <c r="A51" s="72"/>
    </row>
    <row r="52" spans="1:1" ht="15.75" customHeight="1">
      <c r="A52" s="72"/>
    </row>
    <row r="53" spans="1:1" ht="15.75" customHeight="1">
      <c r="A53" s="72" t="s">
        <v>424</v>
      </c>
    </row>
    <row r="54" spans="1:1" ht="15.75" customHeight="1">
      <c r="A54" s="72" t="s">
        <v>425</v>
      </c>
    </row>
    <row r="55" spans="1:1" ht="15.75" customHeight="1">
      <c r="A55" s="72" t="s">
        <v>426</v>
      </c>
    </row>
    <row r="56" spans="1:1" ht="15.75" customHeight="1">
      <c r="A56" s="72"/>
    </row>
    <row r="57" spans="1:1" ht="15.75" customHeight="1">
      <c r="A57" s="72"/>
    </row>
    <row r="58" spans="1:1" ht="15.75" customHeight="1">
      <c r="A58" s="72" t="s">
        <v>428</v>
      </c>
    </row>
    <row r="59" spans="1:1" ht="15.75" customHeight="1">
      <c r="A59" s="72"/>
    </row>
    <row r="60" spans="1:1" ht="15.75" customHeight="1">
      <c r="A60" s="72" t="s">
        <v>430</v>
      </c>
    </row>
    <row r="61" spans="1:1" ht="15.75" customHeight="1">
      <c r="A61" s="72" t="s">
        <v>432</v>
      </c>
    </row>
    <row r="62" spans="1:1" ht="15.75" customHeight="1">
      <c r="A62" s="72"/>
    </row>
    <row r="63" spans="1:1" ht="15.75" customHeight="1">
      <c r="A63" s="72"/>
    </row>
    <row r="64" spans="1:1" ht="15.75" customHeight="1">
      <c r="A64" s="72"/>
    </row>
    <row r="65" spans="1:29" ht="15.75" customHeight="1">
      <c r="A65" s="72" t="s">
        <v>433</v>
      </c>
    </row>
    <row r="66" spans="1:29" ht="15.75" customHeight="1">
      <c r="A66" s="72" t="s">
        <v>434</v>
      </c>
    </row>
    <row r="67" spans="1:29" ht="15.75" customHeight="1">
      <c r="A67" s="72" t="s">
        <v>435</v>
      </c>
    </row>
    <row r="68" spans="1:29" ht="15.75" customHeight="1">
      <c r="A68" s="72" t="s">
        <v>436</v>
      </c>
    </row>
    <row r="69" spans="1:29" ht="15.75" customHeight="1">
      <c r="A69" s="72" t="s">
        <v>437</v>
      </c>
    </row>
    <row r="70" spans="1:29" ht="15.75" customHeight="1">
      <c r="A70" s="72" t="s">
        <v>438</v>
      </c>
    </row>
    <row r="71" spans="1:29" ht="15.75" customHeight="1">
      <c r="A71" s="72" t="s">
        <v>439</v>
      </c>
    </row>
    <row r="72" spans="1:29" ht="15.75" customHeight="1">
      <c r="A72" s="7" t="s">
        <v>440</v>
      </c>
    </row>
    <row r="73" spans="1:29" ht="15.75" customHeight="1">
      <c r="A73" s="7" t="s">
        <v>441</v>
      </c>
    </row>
    <row r="74" spans="1:29" ht="15.75" customHeight="1">
      <c r="A74" s="3" t="s">
        <v>442</v>
      </c>
    </row>
    <row r="75" spans="1:29" ht="15.75" customHeight="1">
      <c r="A75" s="3" t="s">
        <v>443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spans="1:29" ht="15.75" customHeight="1">
      <c r="A76" s="3" t="s">
        <v>444</v>
      </c>
      <c r="B76" s="61" t="s">
        <v>445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spans="1:29" ht="15.75" customHeight="1">
      <c r="A77" s="3" t="s">
        <v>448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spans="1:29" ht="15.75" customHeight="1">
      <c r="A78" s="3" t="s">
        <v>449</v>
      </c>
      <c r="B78" s="3"/>
      <c r="C78" s="3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spans="1:29" ht="15.75" customHeight="1">
      <c r="A79" s="3" t="s">
        <v>452</v>
      </c>
      <c r="B79" s="3"/>
      <c r="C79" s="3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spans="1:29" ht="15.75" customHeight="1">
      <c r="A80" s="3" t="s">
        <v>453</v>
      </c>
      <c r="B80" s="3"/>
      <c r="C80" s="3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spans="1:29" ht="15.75" customHeight="1">
      <c r="A81" s="3" t="s">
        <v>454</v>
      </c>
      <c r="B81" s="3"/>
      <c r="C81" s="3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spans="1:29" ht="15.75" customHeight="1">
      <c r="A82" s="3" t="s">
        <v>455</v>
      </c>
      <c r="B82" s="3"/>
      <c r="C82" s="3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spans="1:29" ht="15.75" customHeight="1">
      <c r="A83" s="3" t="s">
        <v>456</v>
      </c>
      <c r="B83" s="3"/>
      <c r="C83" s="3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5.75" customHeight="1">
      <c r="A84" s="3" t="s">
        <v>460</v>
      </c>
      <c r="B84" s="3"/>
      <c r="C84" s="3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5.75" customHeight="1">
      <c r="A85" s="18"/>
      <c r="B85" s="3"/>
      <c r="C85" s="3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5.75" customHeight="1">
      <c r="A86" s="3" t="s">
        <v>461</v>
      </c>
      <c r="B86" s="3"/>
      <c r="C86" s="3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5.75" customHeight="1">
      <c r="A87" s="3" t="s">
        <v>462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5.75" customHeight="1">
      <c r="A88" s="18"/>
      <c r="B88" s="18"/>
      <c r="C88" s="3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5.75" customHeight="1">
      <c r="A89" s="3" t="s">
        <v>464</v>
      </c>
    </row>
    <row r="90" spans="1:29" ht="15.75" customHeight="1">
      <c r="A90" s="3" t="s">
        <v>465</v>
      </c>
      <c r="B90" s="61" t="s">
        <v>466</v>
      </c>
      <c r="C90" s="18"/>
    </row>
    <row r="91" spans="1:29" ht="15.75" customHeight="1">
      <c r="A91" s="3" t="s">
        <v>465</v>
      </c>
      <c r="B91" s="61" t="s">
        <v>468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spans="1:29" ht="15.75" customHeight="1">
      <c r="A92" s="3" t="s">
        <v>465</v>
      </c>
      <c r="B92" s="61" t="s">
        <v>471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spans="1:29" ht="15.75" customHeight="1">
      <c r="A93" s="3" t="s">
        <v>473</v>
      </c>
      <c r="B93" s="18"/>
      <c r="C93" s="18"/>
    </row>
    <row r="94" spans="1:29" ht="15.75" customHeight="1">
      <c r="A94" s="3"/>
      <c r="B94" s="10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spans="1:29" ht="15.75" customHeight="1">
      <c r="A95" s="3" t="s">
        <v>474</v>
      </c>
      <c r="B95" s="61" t="s">
        <v>475</v>
      </c>
      <c r="C95" s="3" t="s">
        <v>477</v>
      </c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spans="1:29" ht="15.75" customHeight="1">
      <c r="A96" s="3" t="s">
        <v>474</v>
      </c>
      <c r="B96" s="61" t="s">
        <v>478</v>
      </c>
      <c r="C96" s="3" t="s">
        <v>477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5.75" customHeight="1">
      <c r="A97" s="3" t="s">
        <v>481</v>
      </c>
      <c r="B97" s="61" t="s">
        <v>482</v>
      </c>
      <c r="C97" s="3" t="s">
        <v>477</v>
      </c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5.75" customHeight="1">
      <c r="A98" s="3" t="s">
        <v>483</v>
      </c>
      <c r="B98" s="61" t="s">
        <v>484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5.75" customHeight="1">
      <c r="A99" s="3" t="s">
        <v>486</v>
      </c>
      <c r="B99" s="61" t="s">
        <v>487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5.75" customHeight="1">
      <c r="A100" s="3" t="s">
        <v>489</v>
      </c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5.75" customHeight="1"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5.75" customHeight="1"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5.75" customHeight="1"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5.75" customHeight="1"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5.75" customHeight="1"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5.75" customHeight="1"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5.75" customHeight="1"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spans="1:29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spans="1:29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spans="1:29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spans="1:29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spans="1:29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spans="1:2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spans="1:29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spans="1:29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spans="1:29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spans="1:29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spans="1:29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spans="1:29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spans="1:29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spans="1:29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spans="1:29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spans="1:2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spans="1:29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spans="1:29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spans="1:29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spans="1:29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spans="1:29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spans="1:29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spans="1:29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spans="1:29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spans="1:29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spans="1:2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spans="1:29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spans="1:29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spans="1:29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spans="1:29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spans="1:29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spans="1:29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spans="1:29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spans="1:29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spans="1:29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spans="1:2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spans="1:29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spans="1:29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spans="1:29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spans="1:29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spans="1:29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spans="1: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spans="1:29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spans="1:29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spans="1:29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spans="1:29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spans="1:29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spans="1:29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spans="1:29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spans="1:29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spans="1:29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spans="1:2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spans="1:29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spans="1:29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spans="1:29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spans="1:29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spans="1:29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spans="1:29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spans="1:29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spans="1:29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spans="1:29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spans="1:2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spans="1:29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spans="1:29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spans="1:29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spans="1:29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spans="1:29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spans="1:29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spans="1:29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spans="1:29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spans="1:29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spans="1:2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spans="1:29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spans="1:29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spans="1:29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spans="1:29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spans="1:29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spans="1:29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spans="1:29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spans="1:29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spans="1:29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spans="1:2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spans="1:29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spans="1:29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spans="1:29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spans="1:29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spans="1:29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spans="1:29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spans="1:29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spans="1:29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spans="1:29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spans="1:2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spans="1:29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spans="1:29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spans="1:29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spans="1:29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spans="1:29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spans="1:29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spans="1:29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spans="1:29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spans="1:29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spans="1:2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spans="1:29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spans="1:29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spans="1:29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spans="1:29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spans="1:29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spans="1:29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spans="1:29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spans="1:29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spans="1:29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spans="1:2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spans="1:29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spans="1:29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spans="1:29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spans="1:29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spans="1:29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spans="1:29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spans="1:29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spans="1:29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spans="1:29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spans="1:2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spans="1:29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spans="1:29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spans="1:29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spans="1:29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spans="1:29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spans="1:29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spans="1:29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spans="1:29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spans="1:29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spans="1:2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spans="1:29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spans="1:29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spans="1:29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spans="1:29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spans="1:29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spans="1:29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spans="1:29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spans="1:29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spans="1:29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spans="1: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spans="1:29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spans="1:29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spans="1:29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spans="1:29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spans="1:29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spans="1:29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spans="1:29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spans="1:29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spans="1:29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spans="1:2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spans="1:29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spans="1:29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spans="1:29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spans="1:29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spans="1:29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spans="1:29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spans="1:29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spans="1:29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spans="1:29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spans="1:2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spans="1:29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spans="1:29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spans="1:29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spans="1:29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spans="1:29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spans="1:29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spans="1:29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spans="1:29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spans="1:29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spans="1:2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spans="1:29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spans="1:29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spans="1:29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spans="1:29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spans="1:29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spans="1:29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spans="1:29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spans="1:29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spans="1:29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spans="1:2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spans="1:29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spans="1:29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spans="1:29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spans="1:29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spans="1:29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spans="1:29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spans="1:29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spans="1:29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spans="1:29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spans="1:2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spans="1:29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spans="1:29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spans="1:29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spans="1:29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spans="1:29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spans="1:29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spans="1:29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spans="1:29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spans="1:29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spans="1:2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spans="1:29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spans="1:29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spans="1:29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spans="1:29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spans="1:29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spans="1:29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spans="1:29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spans="1:29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spans="1:29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spans="1:2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spans="1:29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spans="1:29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spans="1:29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spans="1:29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spans="1:29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spans="1:29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spans="1:29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spans="1:29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spans="1:29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spans="1:2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spans="1:29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spans="1:29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spans="1:29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spans="1:29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spans="1:29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spans="1:29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spans="1:29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spans="1:29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spans="1:29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spans="1:2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spans="1:29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spans="1:29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spans="1:29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spans="1:29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spans="1:29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spans="1:29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spans="1:29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spans="1:29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spans="1:29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spans="1: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spans="1:29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spans="1:29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spans="1:29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spans="1:29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spans="1:29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spans="1:29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spans="1:29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spans="1:29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spans="1:29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spans="1:2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spans="1:29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spans="1:29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spans="1:29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spans="1:29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spans="1:29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spans="1:29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spans="1:29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spans="1:29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spans="1:29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spans="1:2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spans="1:29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spans="1:29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spans="1:29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spans="1:29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spans="1:29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spans="1:29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spans="1:29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spans="1:29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spans="1:29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spans="1:2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spans="1:29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spans="1:29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spans="1:29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spans="1:29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spans="1:29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spans="1:29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spans="1:29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spans="1:29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spans="1:29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spans="1:2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spans="1:29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spans="1:29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spans="1:29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spans="1:29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spans="1:29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spans="1:29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spans="1:29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spans="1:29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spans="1:29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spans="1:2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spans="1:29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spans="1:29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spans="1:29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spans="1:29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spans="1:29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spans="1:29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spans="1:29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spans="1:29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spans="1:29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spans="1:2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spans="1:29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spans="1:29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spans="1:29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spans="1:29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spans="1:29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spans="1:29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spans="1:29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spans="1:29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spans="1:29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spans="1:2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spans="1:29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spans="1:29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spans="1:29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spans="1:29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spans="1:29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spans="1:29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spans="1:29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spans="1:29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spans="1:29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spans="1:2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spans="1:29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spans="1:29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spans="1:29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spans="1:29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spans="1:29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</sheetData>
  <hyperlinks>
    <hyperlink ref="B76" r:id="rId1"/>
    <hyperlink ref="B90" r:id="rId2"/>
    <hyperlink ref="B91" r:id="rId3"/>
    <hyperlink ref="B92" r:id="rId4"/>
    <hyperlink ref="B95" r:id="rId5"/>
    <hyperlink ref="B96" r:id="rId6"/>
    <hyperlink ref="B97" r:id="rId7"/>
    <hyperlink ref="B98" r:id="rId8"/>
    <hyperlink ref="B99" r:id="rId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C523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5" defaultRowHeight="15.75" customHeight="1" x14ac:dyDescent="0"/>
  <cols>
    <col min="1" max="1" width="55.33203125" customWidth="1"/>
    <col min="2" max="2" width="35.83203125" customWidth="1"/>
    <col min="3" max="3" width="46.33203125" customWidth="1"/>
    <col min="4" max="4" width="18.5" customWidth="1"/>
    <col min="7" max="7" width="30" customWidth="1"/>
    <col min="8" max="8" width="119" customWidth="1"/>
    <col min="9" max="9" width="23.5" customWidth="1"/>
  </cols>
  <sheetData>
    <row r="1" spans="1:29" ht="15.75" customHeight="1">
      <c r="A1" s="72" t="s">
        <v>202</v>
      </c>
      <c r="B1" s="72" t="s">
        <v>159</v>
      </c>
      <c r="C1" s="72" t="s">
        <v>399</v>
      </c>
      <c r="D1" s="72" t="s">
        <v>400</v>
      </c>
      <c r="E1" s="72" t="s">
        <v>158</v>
      </c>
      <c r="F1" s="72" t="s">
        <v>401</v>
      </c>
      <c r="G1" s="72" t="s">
        <v>402</v>
      </c>
      <c r="H1" s="72" t="s">
        <v>720</v>
      </c>
      <c r="I1" s="72" t="s">
        <v>721</v>
      </c>
      <c r="J1" s="72" t="s">
        <v>722</v>
      </c>
    </row>
    <row r="2" spans="1:29" ht="15.75" customHeight="1">
      <c r="A2" s="71" t="str">
        <f>HYPERLINK("https://docs.google.com/document/d/1_rpR-ssjffcKMSVx1HCFWUENybCLV5TZXxLtNKMqvAs/edit","5 Natural Ingredients That Can Help With Weight Loss")</f>
        <v>5 Natural Ingredients That Can Help With Weight Loss</v>
      </c>
      <c r="B2" s="72" t="s">
        <v>724</v>
      </c>
      <c r="C2" s="72" t="s">
        <v>725</v>
      </c>
      <c r="D2" s="72" t="s">
        <v>726</v>
      </c>
      <c r="E2" s="72" t="s">
        <v>727</v>
      </c>
      <c r="F2" s="72" t="s">
        <v>729</v>
      </c>
      <c r="G2" s="72" t="s">
        <v>729</v>
      </c>
      <c r="H2" s="60" t="s">
        <v>730</v>
      </c>
    </row>
    <row r="3" spans="1:29" ht="15.75" customHeight="1">
      <c r="A3" s="71" t="str">
        <f>HYPERLINK("https://docs.google.com/document/d/1LXnmlFv04ATW69t_gzFJ_ymun-LAV-OoJFoIpIeVR6o/edit","Astaxanthin Supplement Helps Support Cognitive Health ")</f>
        <v xml:space="preserve">Astaxanthin Supplement Helps Support Cognitive Health </v>
      </c>
      <c r="B3" s="60" t="s">
        <v>734</v>
      </c>
      <c r="C3" s="72" t="s">
        <v>725</v>
      </c>
      <c r="D3" s="72" t="s">
        <v>726</v>
      </c>
      <c r="E3" s="72" t="s">
        <v>727</v>
      </c>
      <c r="F3" s="72" t="s">
        <v>729</v>
      </c>
      <c r="G3" s="72" t="s">
        <v>729</v>
      </c>
      <c r="H3" s="60" t="s">
        <v>737</v>
      </c>
    </row>
    <row r="4" spans="1:29" ht="15.75" customHeight="1">
      <c r="A4" s="71" t="str">
        <f>HYPERLINK("https://docs.google.com/document/d/1gv454MXvZgAcWova75tvRAKUeF_pV4OdTY1ZTyBlh_Q/edit","Fintech marketers: How to improve your marketing ROI in 3 simple steps")</f>
        <v>Fintech marketers: How to improve your marketing ROI in 3 simple steps</v>
      </c>
      <c r="B4" s="72" t="s">
        <v>738</v>
      </c>
      <c r="C4" s="72" t="s">
        <v>739</v>
      </c>
      <c r="D4" s="72" t="s">
        <v>218</v>
      </c>
      <c r="E4" s="72" t="s">
        <v>726</v>
      </c>
      <c r="F4" s="72" t="s">
        <v>740</v>
      </c>
      <c r="G4" s="72" t="s">
        <v>729</v>
      </c>
      <c r="H4" s="60" t="s">
        <v>742</v>
      </c>
    </row>
    <row r="5" spans="1:29" ht="15.75" customHeight="1">
      <c r="A5" s="71" t="str">
        <f>HYPERLINK("https://docs.google.com/document/d/11ZNSDcnF47_jBvSf_T2os_Bwlr3AmYAU8ZprmhawrIA/edit#","Are you prepared to market your financial product in 2019?")</f>
        <v>Are you prepared to market your financial product in 2019?</v>
      </c>
      <c r="B5" s="60" t="s">
        <v>745</v>
      </c>
      <c r="C5" s="72" t="s">
        <v>739</v>
      </c>
      <c r="D5" s="72" t="s">
        <v>263</v>
      </c>
      <c r="E5" s="72" t="s">
        <v>726</v>
      </c>
      <c r="F5" s="72" t="s">
        <v>729</v>
      </c>
      <c r="G5" s="72" t="s">
        <v>729</v>
      </c>
      <c r="H5" s="60" t="s">
        <v>747</v>
      </c>
    </row>
    <row r="6" spans="1:29" ht="15.75" customHeight="1">
      <c r="A6" s="71" t="str">
        <f>HYPERLINK("https://docs.google.com/document/d/1ODq7r8pfFs6btsu43FClGX_xxoKZ4bUyeeg6THAAaRQ/edit","Four effective financial services marketing techniques for 2019")</f>
        <v>Four effective financial services marketing techniques for 2019</v>
      </c>
      <c r="B6" s="60" t="s">
        <v>751</v>
      </c>
      <c r="C6" s="72" t="s">
        <v>739</v>
      </c>
      <c r="D6" s="72" t="s">
        <v>263</v>
      </c>
      <c r="E6" s="72" t="s">
        <v>726</v>
      </c>
      <c r="F6" s="72" t="s">
        <v>729</v>
      </c>
      <c r="G6" s="72" t="s">
        <v>729</v>
      </c>
      <c r="H6" s="60" t="s">
        <v>754</v>
      </c>
    </row>
    <row r="7" spans="1:29" ht="15.75" customHeight="1">
      <c r="A7" s="71" t="str">
        <f>HYPERLINK("https://docs.google.com/document/d/1vbNUPVrk8VTALAOtvkuTQBg0jCIk0vIz-ERDp2LipQw/edit","Marketing Tips For Every Financial Technology Company Should Try Out In 2019")</f>
        <v>Marketing Tips For Every Financial Technology Company Should Try Out In 2019</v>
      </c>
      <c r="B7" s="60" t="s">
        <v>755</v>
      </c>
      <c r="C7" s="72" t="s">
        <v>94</v>
      </c>
      <c r="F7" s="72" t="s">
        <v>729</v>
      </c>
      <c r="G7" s="72" t="s">
        <v>740</v>
      </c>
    </row>
    <row r="8" spans="1:29" ht="15.75" customHeight="1">
      <c r="A8" s="71" t="str">
        <f>HYPERLINK("https://docs.google.com/document/d/1l5czvgBIq1jigVjD3Hk-4M81J1cBM_2ooFiBZvQoxnw/edit","Telemedicine: all you should know about this new &amp; exciting technology")</f>
        <v>Telemedicine: all you should know about this new &amp; exciting technology</v>
      </c>
      <c r="B8" s="60" t="s">
        <v>759</v>
      </c>
      <c r="C8" s="72" t="s">
        <v>760</v>
      </c>
      <c r="D8" s="72" t="s">
        <v>726</v>
      </c>
      <c r="E8" s="72" t="s">
        <v>726</v>
      </c>
      <c r="F8" s="72" t="s">
        <v>729</v>
      </c>
      <c r="G8" s="72" t="s">
        <v>740</v>
      </c>
      <c r="H8" s="60" t="s">
        <v>761</v>
      </c>
    </row>
    <row r="9" spans="1:29" ht="15.75" customHeight="1">
      <c r="A9" s="71" t="str">
        <f>HYPERLINK("https://docs.google.com/document/d/1OItsUs-jPSmL95UoMWoE2MraDFbJqcFFmNZWiJSMzb0/edit","Healthcare startups: Israeli Startup Debuts Astaxanthin From Yeast 
")</f>
        <v>Healthcare startups: Israeli Startup Debuts Astaxanthin From Yeast _x000D_</v>
      </c>
      <c r="B9" s="72" t="s">
        <v>764</v>
      </c>
      <c r="C9" s="93" t="s">
        <v>69</v>
      </c>
      <c r="H9" s="60" t="s">
        <v>766</v>
      </c>
    </row>
    <row r="10" spans="1:29" ht="15.75" customHeight="1">
      <c r="A10" s="85" t="str">
        <f>HYPERLINK("https://docs.google.com/document/d/1vYyPymxpADZGh2INDSqe9IiB8nELKmzlk8N3om4itQw/edit","5 things doctors should know about the importance of online reputation")</f>
        <v>5 things doctors should know about the importance of online reputation</v>
      </c>
      <c r="B10" s="94" t="s">
        <v>770</v>
      </c>
      <c r="C10" s="88" t="s">
        <v>771</v>
      </c>
      <c r="D10" s="88" t="s">
        <v>772</v>
      </c>
      <c r="E10" s="88" t="s">
        <v>772</v>
      </c>
      <c r="F10" s="88" t="s">
        <v>773</v>
      </c>
      <c r="G10" s="88" t="s">
        <v>729</v>
      </c>
      <c r="H10" s="94" t="s">
        <v>774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</row>
    <row r="11" spans="1:29" ht="15.75" customHeight="1">
      <c r="A11" s="71" t="str">
        <f>HYPERLINK("https://docs.google.com/document/d/1iucJI59ioeJUiHb3UP3oeDfZxeRC-zz_MomkxK4Eoss/edit?ts=5c18a304","Interview with Codrin Arsene, an expert in digital transformation &amp; emerging technologies")</f>
        <v>Interview with Codrin Arsene, an expert in digital transformation &amp; emerging technologies</v>
      </c>
      <c r="B11" s="60" t="s">
        <v>775</v>
      </c>
      <c r="C11" s="72" t="s">
        <v>776</v>
      </c>
      <c r="F11" s="72" t="s">
        <v>777</v>
      </c>
      <c r="G11" s="88" t="s">
        <v>729</v>
      </c>
      <c r="H11" s="60" t="s">
        <v>778</v>
      </c>
    </row>
    <row r="12" spans="1:29" ht="15.75" customHeight="1">
      <c r="A12" s="85" t="str">
        <f>HYPERLINK("https://docs.google.com/document/d/1qfgX3NTWfoC0pYLTLOR8EXwBTijUvLs7eiYYYpupb0U/edit","5 HЕАLTH TECHNOLOGIES TO WATCH FОR ІN 2019")</f>
        <v>5 HЕАLTH TECHNOLOGIES TO WATCH FОR ІN 2019</v>
      </c>
      <c r="B12" s="88" t="s">
        <v>783</v>
      </c>
      <c r="C12" s="88" t="s">
        <v>784</v>
      </c>
      <c r="D12" s="95"/>
      <c r="E12" s="95"/>
      <c r="F12" s="95"/>
      <c r="G12" s="95"/>
      <c r="H12" s="94" t="s">
        <v>785</v>
      </c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</row>
    <row r="13" spans="1:29" ht="15.75" customHeight="1">
      <c r="A13" s="85" t="str">
        <f>HYPERLINK("https://docs.google.com/document/d/1dcEORa_UVKwswA5iJkwA78PuCwj23RDoErB_17rT40M/edit","6 health technologies making waves in 2019")</f>
        <v>6 health technologies making waves in 2019</v>
      </c>
      <c r="B13" s="88" t="s">
        <v>790</v>
      </c>
      <c r="C13" s="88" t="s">
        <v>91</v>
      </c>
      <c r="D13" s="88" t="s">
        <v>772</v>
      </c>
      <c r="E13" s="88" t="s">
        <v>772</v>
      </c>
      <c r="F13" s="95" t="s">
        <v>791</v>
      </c>
      <c r="G13" s="95"/>
      <c r="H13" s="88" t="s">
        <v>792</v>
      </c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</row>
    <row r="14" spans="1:29" ht="15.75" customHeight="1">
      <c r="A14" s="71" t="str">
        <f>HYPERLINK("https://docs.google.com/document/d/1fU2ItUlToy9QinVnJ47K4rXQSH38FRBvQYEt5XKs0GU/edit#heading=h.rwbkdx5joora","9 SEO tips for banks &amp; financial institutions")</f>
        <v>9 SEO tips for banks &amp; financial institutions</v>
      </c>
      <c r="B14" s="72" t="s">
        <v>793</v>
      </c>
      <c r="C14" s="72" t="s">
        <v>59</v>
      </c>
      <c r="D14" s="72" t="s">
        <v>772</v>
      </c>
      <c r="E14" s="72" t="s">
        <v>772</v>
      </c>
      <c r="F14" t="s">
        <v>791</v>
      </c>
      <c r="G14" s="72" t="s">
        <v>796</v>
      </c>
      <c r="H14" s="60" t="s">
        <v>797</v>
      </c>
    </row>
    <row r="15" spans="1:29" ht="15.75" customHeight="1">
      <c r="A15" s="71" t="str">
        <f>HYPERLINK("https://docs.google.com/document/d/1D93Mt0vQpslJfR9MvPkbruAxqJbHUP_-QHrjkF3P6Rg/edit","Astaxanthin - an ingredient giving hope to people suffering from Alzeimer’s 
")</f>
        <v>Astaxanthin - an ingredient giving hope to people suffering from Alzeimer’s _x000D_</v>
      </c>
      <c r="B15" s="72" t="s">
        <v>799</v>
      </c>
      <c r="C15" s="72" t="s">
        <v>725</v>
      </c>
      <c r="D15" s="72" t="s">
        <v>772</v>
      </c>
      <c r="E15" s="72" t="s">
        <v>772</v>
      </c>
      <c r="F15" s="72" t="s">
        <v>800</v>
      </c>
      <c r="G15" s="72" t="s">
        <v>801</v>
      </c>
      <c r="H15" s="96" t="s">
        <v>802</v>
      </c>
    </row>
    <row r="16" spans="1:29" ht="15.75" customHeight="1">
      <c r="A16" s="97" t="str">
        <f>HYPERLINK("https://docs.google.com/document/d/12v40sonq6tEPuGdZs-XY5NfqNZ8gbvPx-L-Z_t1eqfg/edit","9 content marketing techniques you should try in 2019")</f>
        <v>9 content marketing techniques you should try in 2019</v>
      </c>
      <c r="B16" s="98" t="s">
        <v>807</v>
      </c>
      <c r="C16" s="99" t="s">
        <v>809</v>
      </c>
      <c r="D16" s="99" t="s">
        <v>772</v>
      </c>
      <c r="E16" s="99" t="s">
        <v>772</v>
      </c>
      <c r="F16" s="100" t="s">
        <v>791</v>
      </c>
      <c r="G16" s="100"/>
      <c r="H16" s="60" t="s">
        <v>811</v>
      </c>
    </row>
    <row r="17" spans="1:29" ht="15.75" customHeight="1">
      <c r="A17" s="85" t="str">
        <f>HYPERLINK("https://docs.google.com/document/d/1kXVN8P6uE3oHaNnp7BpwLXT-pafUI2ULnJIfbU7bGs8/edit","Top 5 Design Tips For Healthcare Organizations")</f>
        <v>Top 5 Design Tips For Healthcare Organizations</v>
      </c>
      <c r="B17" s="88" t="s">
        <v>812</v>
      </c>
      <c r="C17" s="95"/>
      <c r="D17" s="95"/>
      <c r="E17" s="95"/>
      <c r="F17" s="95"/>
      <c r="G17" s="95"/>
      <c r="H17" s="94" t="s">
        <v>813</v>
      </c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</row>
    <row r="18" spans="1:29" ht="15.75" customHeight="1">
      <c r="A18" s="71" t="str">
        <f>HYPERLINK("https://docs.google.com/document/d/1d9StnpiBovnZ0DvG0POs1yrE2Fy-lNpxWaOlBvEIf1M/edit","Fintech digital marketing strategies for 2019 and beyond")</f>
        <v>Fintech digital marketing strategies for 2019 and beyond</v>
      </c>
      <c r="B18" s="60" t="s">
        <v>817</v>
      </c>
      <c r="C18" s="72" t="s">
        <v>739</v>
      </c>
      <c r="D18" s="72" t="s">
        <v>726</v>
      </c>
      <c r="E18" s="72" t="s">
        <v>726</v>
      </c>
      <c r="F18" s="72" t="s">
        <v>740</v>
      </c>
      <c r="G18" s="72" t="s">
        <v>740</v>
      </c>
      <c r="H18" s="60" t="s">
        <v>820</v>
      </c>
    </row>
    <row r="19" spans="1:29" ht="15.75" customHeight="1">
      <c r="A19" s="71" t="str">
        <f>HYPERLINK("https://docs.google.com/document/d/1AM7-CnlHUIq8ySysFubNUpUWoy4bnNcboHF2O5m4kys/edit","FIVE COOL GIFTS TO GET THIS HOLIDAY SEASON")</f>
        <v>FIVE COOL GIFTS TO GET THIS HOLIDAY SEASON</v>
      </c>
      <c r="C19" s="72" t="s">
        <v>825</v>
      </c>
      <c r="D19" s="72" t="s">
        <v>164</v>
      </c>
      <c r="G19" s="88" t="s">
        <v>729</v>
      </c>
      <c r="H19" s="60" t="s">
        <v>827</v>
      </c>
    </row>
    <row r="20" spans="1:29" ht="15.75" customHeight="1">
      <c r="A20" s="71" t="str">
        <f>HYPERLINK("https://docs.google.com/document/d/1JrI_OoDA6hloT4oJqGGNvoJQVeRDt9DjjhnX8yogpX8/edit","5 HEALTHCARE MARKETING TIPS TO IMPLEMENT IN 2019")</f>
        <v>5 HEALTHCARE MARKETING TIPS TO IMPLEMENT IN 2019</v>
      </c>
      <c r="B20" s="72" t="s">
        <v>831</v>
      </c>
      <c r="C20" s="72" t="s">
        <v>94</v>
      </c>
      <c r="D20" s="72"/>
      <c r="E20" s="72"/>
      <c r="F20" s="72"/>
      <c r="G20" s="72" t="s">
        <v>729</v>
      </c>
      <c r="H20" s="60" t="s">
        <v>832</v>
      </c>
    </row>
    <row r="21" spans="1:29" ht="15.75" customHeight="1">
      <c r="A21" s="71" t="str">
        <f>HYPERLINK("https://docs.google.com/document/d/17mpFkTg3AiSfLXb96n5OaGiM1MGMW70pR8p6-lVumJ4/edit","BENEFITS OF ASTAXANTHIN FOR A HEALTHY LIFESTYLE")</f>
        <v>BENEFITS OF ASTAXANTHIN FOR A HEALTHY LIFESTYLE</v>
      </c>
      <c r="B21" s="72" t="s">
        <v>836</v>
      </c>
      <c r="C21" s="93" t="s">
        <v>837</v>
      </c>
      <c r="G21" s="72" t="s">
        <v>729</v>
      </c>
      <c r="H21" s="60" t="s">
        <v>838</v>
      </c>
    </row>
    <row r="22" spans="1:29" ht="15.75" customHeight="1">
      <c r="A22" s="71" t="str">
        <f>HYPERLINK("https://docs.google.com/document/d/1jHcr_cUFPokmsk4lJx-1JlOjjfJwhdpF0fJPsrRxyy0/edit#","10 quick &amp; easy marketing tips for small medical private practices")</f>
        <v>10 quick &amp; easy marketing tips for small medical private practices</v>
      </c>
      <c r="B22" s="60" t="s">
        <v>841</v>
      </c>
      <c r="C22" s="72" t="s">
        <v>842</v>
      </c>
      <c r="D22" s="72" t="s">
        <v>772</v>
      </c>
      <c r="E22" s="72" t="s">
        <v>772</v>
      </c>
      <c r="F22" t="s">
        <v>791</v>
      </c>
      <c r="G22" s="72" t="s">
        <v>843</v>
      </c>
      <c r="H22" s="96" t="s">
        <v>844</v>
      </c>
    </row>
    <row r="23" spans="1:29" ht="15.75" customHeight="1">
      <c r="A23" s="71" t="str">
        <f>HYPERLINK("https://docs.google.com/document/d/1-Jo_dcqWCbeSKmfmywYVkvrtODC42rv_DsTOCE2R-Ag/edit","5 Cool Ideas for Personalized Holiday Gifts This Season")</f>
        <v>5 Cool Ideas for Personalized Holiday Gifts This Season</v>
      </c>
      <c r="B23" s="72" t="s">
        <v>847</v>
      </c>
      <c r="C23" s="72" t="s">
        <v>477</v>
      </c>
      <c r="D23" s="72" t="s">
        <v>726</v>
      </c>
      <c r="E23" s="72" t="s">
        <v>726</v>
      </c>
      <c r="F23" s="72" t="s">
        <v>726</v>
      </c>
      <c r="G23" s="72" t="s">
        <v>726</v>
      </c>
      <c r="H23" s="60" t="s">
        <v>848</v>
      </c>
    </row>
    <row r="24" spans="1:29" ht="15.75" customHeight="1">
      <c r="A24" s="71" t="str">
        <f>HYPERLINK("https://docs.google.com/document/d/1mFvJAyfvcy2FPQO1EY1r1a5w9J4VSk-EIsOGAx6M3sw/edit#","Here’s why your business should pay attention to ADA compliance")</f>
        <v>Here’s why your business should pay attention to ADA compliance</v>
      </c>
      <c r="B24" s="72" t="s">
        <v>853</v>
      </c>
      <c r="C24" s="72" t="s">
        <v>854</v>
      </c>
      <c r="D24" s="72" t="s">
        <v>855</v>
      </c>
      <c r="H24" s="60" t="s">
        <v>856</v>
      </c>
    </row>
    <row r="25" spans="1:29" ht="15.75" customHeight="1">
      <c r="A25" s="71" t="str">
        <f>HYPERLINK("https://docs.google.com/document/d/12EZJATjODSmilFRqWv9CmJP32F1BLXmHbUKpnIoV-cY/edit","Top Reasons Why You Should Invest In Custom T-shirts For your Business Employees")</f>
        <v>Top Reasons Why You Should Invest In Custom T-shirts For your Business Employees</v>
      </c>
      <c r="B25" s="72" t="s">
        <v>859</v>
      </c>
      <c r="C25" s="72" t="s">
        <v>477</v>
      </c>
      <c r="H25" s="60" t="s">
        <v>860</v>
      </c>
    </row>
    <row r="26" spans="1:29" ht="15.75" customHeight="1">
      <c r="A26" s="71" t="str">
        <f>HYPERLINK("https://docs.google.com/document/d/1R8ffYWmQNaKa4aNbaiZby_Yls1SXvYaiyqRUGgKBWuo/edit","Six cool health technologies you didn't know exist in 2019")</f>
        <v>Six cool health technologies you didn't know exist in 2019</v>
      </c>
      <c r="B26" s="60" t="s">
        <v>865</v>
      </c>
      <c r="C26" s="72" t="s">
        <v>91</v>
      </c>
      <c r="D26" s="72" t="s">
        <v>772</v>
      </c>
      <c r="E26" s="72" t="s">
        <v>772</v>
      </c>
      <c r="F26" t="s">
        <v>867</v>
      </c>
      <c r="G26" s="72" t="s">
        <v>868</v>
      </c>
      <c r="H26" s="60" t="s">
        <v>869</v>
      </c>
    </row>
    <row r="27" spans="1:29" ht="15.75" customHeight="1">
      <c r="A27" s="71" t="str">
        <f>HYPERLINK("https://docs.google.com/document/d/1ZI3piAVpsOrWDQBl6Z-mkehilTMLlJPuBCSqs6rxDJQ/edit#","5 analytics KPIs every business should measure for their site")</f>
        <v>5 analytics KPIs every business should measure for their site</v>
      </c>
      <c r="B27" s="72" t="s">
        <v>876</v>
      </c>
      <c r="C27" s="72" t="s">
        <v>877</v>
      </c>
      <c r="H27" s="60" t="s">
        <v>878</v>
      </c>
    </row>
    <row r="28" spans="1:29" ht="15.75" customHeight="1">
      <c r="A28" s="71" t="str">
        <f>HYPERLINK("https://docs.google.com/document/d/1dcN-ymggfsnlNPP9rdw-bPhrK9aU7EM4UhW8UWI0Iuk/edit","4 Quick Strategies Dосtоrѕ Can Use to Imрrоvе Their Оnlіnе Reputation ")</f>
        <v xml:space="preserve">4 Quick Strategies Dосtоrѕ Can Use to Imрrоvе Their Оnlіnе Reputation </v>
      </c>
      <c r="B28" s="60" t="s">
        <v>885</v>
      </c>
      <c r="H28" s="60" t="s">
        <v>888</v>
      </c>
    </row>
    <row r="29" spans="1:29" ht="15.75" customHeight="1">
      <c r="A29" s="71" t="str">
        <f>HYPERLINK("https://docs.google.com/document/d/1_ekIdnxjBxu71pyInL71mkOahX8oK18-dBPbdEv3ZMc/edit","5 Things American Online Businesses Should Know About ADA Web Compliance")</f>
        <v>5 Things American Online Businesses Should Know About ADA Web Compliance</v>
      </c>
      <c r="B29" s="60" t="s">
        <v>892</v>
      </c>
      <c r="C29" s="72" t="s">
        <v>895</v>
      </c>
      <c r="H29" s="60" t="s">
        <v>896</v>
      </c>
    </row>
    <row r="30" spans="1:29" ht="15.75" customHeight="1">
      <c r="A30" s="71" t="str">
        <f>HYPERLINK("https://docs.google.com/document/d/1sP8ymwd8kkr2EK6UUUiLf3pHgCX78YIO2n7KaI-6JKk/edit"," 8 Things a Fintech Startup Can Do on a Budget to Market Their Product Online")</f>
        <v xml:space="preserve"> 8 Things a Fintech Startup Can Do on a Budget to Market Their Product Online</v>
      </c>
      <c r="B30" s="60" t="s">
        <v>900</v>
      </c>
      <c r="H30" s="60" t="s">
        <v>902</v>
      </c>
    </row>
    <row r="31" spans="1:29" ht="15.75" customHeight="1">
      <c r="A31" s="71" t="str">
        <f>HYPERLINK("https://docs.google.com/document/d/1p5_l7xh1fGZhP1kD3gwBAHDPYmYH1vHSufzPFmrxoEk/edit#"," How banks should market their services to Millennials")</f>
        <v xml:space="preserve"> How banks should market their services to Millennials</v>
      </c>
      <c r="B31" s="60" t="s">
        <v>906</v>
      </c>
      <c r="H31" s="60" t="s">
        <v>907</v>
      </c>
    </row>
    <row r="32" spans="1:29" ht="15.75" customHeight="1">
      <c r="A32" s="71" t="str">
        <f>HYPERLINK("https://docs.google.com/document/d/1VPBpFX7hJ5buPNjaiyVKPimEGbsM3rs4zf53cJsTr6o/edit#","Astaxanthin the Perfect Solution to Improving Your Overall Health")</f>
        <v>Astaxanthin the Perfect Solution to Improving Your Overall Health</v>
      </c>
      <c r="B32" s="72" t="s">
        <v>916</v>
      </c>
      <c r="H32" s="60" t="s">
        <v>917</v>
      </c>
    </row>
    <row r="33" spans="1:8" ht="15.75" customHeight="1">
      <c r="A33" s="71" t="str">
        <f>HYPERLINK("https://docs.google.com/document/d/116NU9Wx4XIhILjblTXWAJcHT0jZVHG4lj5Sda--tI8s/edit","Best Social Media Tips For Health Care Organizations")</f>
        <v>Best Social Media Tips For Health Care Organizations</v>
      </c>
      <c r="B33" s="72" t="s">
        <v>922</v>
      </c>
      <c r="C33" s="72" t="s">
        <v>94</v>
      </c>
      <c r="D33" s="72" t="s">
        <v>924</v>
      </c>
      <c r="E33" s="72" t="s">
        <v>925</v>
      </c>
      <c r="H33" s="60" t="s">
        <v>926</v>
      </c>
    </row>
    <row r="34" spans="1:8" ht="15.75" customHeight="1">
      <c r="A34" s="71" t="str">
        <f>HYPERLINK("https://docs.google.com/document/d/1t7CnHLzwNLz-Iqn7RlnFT1LUyXz5tWFU7RlcFMtnlOo/edit","In 2019 you need to make sure your site is ADA complaint. Here’s 4 reasons why.")</f>
        <v>In 2019 you need to make sure your site is ADA complaint. Here’s 4 reasons why.</v>
      </c>
      <c r="B34" s="72" t="s">
        <v>929</v>
      </c>
      <c r="C34" s="72" t="s">
        <v>930</v>
      </c>
      <c r="H34" s="60" t="s">
        <v>931</v>
      </c>
    </row>
    <row r="35" spans="1:8" ht="15.75" customHeight="1">
      <c r="A35" s="71" t="str">
        <f>HYPERLINK("https://docs.google.com/document/d/1GR6JeQzIVVfxXV59ZGDqYmVYzZ8NY8huOlvAg7mGyf4/edit#","Five reasons why your business should build an Alexa skill in 2019")</f>
        <v>Five reasons why your business should build an Alexa skill in 2019</v>
      </c>
      <c r="B35" s="72" t="s">
        <v>936</v>
      </c>
      <c r="C35" s="72" t="s">
        <v>66</v>
      </c>
      <c r="H35" s="60" t="s">
        <v>937</v>
      </c>
    </row>
    <row r="36" spans="1:8" ht="15.75" customHeight="1">
      <c r="A36" s="71" t="str">
        <f>HYPERLINK("https://docs.google.com/document/d/1uNd6VjADxieoiqSIrtxp7K3q9KWwjDxqu2wJY8-O4ek/edit","6 local SEO strategies you should try out in 2019 ")</f>
        <v xml:space="preserve">6 local SEO strategies you should try out in 2019 </v>
      </c>
      <c r="B36" s="72" t="s">
        <v>943</v>
      </c>
      <c r="C36" s="72" t="s">
        <v>79</v>
      </c>
      <c r="H36" s="60" t="s">
        <v>944</v>
      </c>
    </row>
    <row r="37" spans="1:8" ht="15.75" customHeight="1">
      <c r="A37" s="71" t="str">
        <f>HYPERLINK("https://docs.google.com/document/d/1m4EMog1f6PbBn_SWNNReX2yzEt9uMg436r4X3pWP9Rs/edit","Five cool gifts to give this winter")</f>
        <v>Five cool gifts to give this winter</v>
      </c>
      <c r="B37" s="72" t="s">
        <v>945</v>
      </c>
      <c r="C37" s="72" t="s">
        <v>946</v>
      </c>
      <c r="H37" s="60" t="s">
        <v>947</v>
      </c>
    </row>
    <row r="38" spans="1:8" ht="15.75" customHeight="1">
      <c r="A38" s="71" t="str">
        <f>HYPERLINK("https://docs.google.com/document/d/1PrfxbwlO28o2afT574n_NIauEDBqEomHkEs8PcUra_M/edit","TOP 5 AFFORDABLE GIFTS TO BUY THIS HOLIDAY SEASON")</f>
        <v>TOP 5 AFFORDABLE GIFTS TO BUY THIS HOLIDAY SEASON</v>
      </c>
      <c r="B38" s="72" t="s">
        <v>948</v>
      </c>
      <c r="H38" s="60" t="s">
        <v>949</v>
      </c>
    </row>
    <row r="39" spans="1:8" ht="15.75" customHeight="1">
      <c r="A39" s="71" t="str">
        <f>HYPERLINK("https://docs.google.com/document/d/14qOkGSkfX9eqe60AqVHmcy-NwieQvFO9qkIAELKfQzQ/edit","Cardiology in the Tech Generation")</f>
        <v>Cardiology in the Tech Generation</v>
      </c>
      <c r="B39" s="72" t="s">
        <v>950</v>
      </c>
      <c r="C39" s="72" t="s">
        <v>951</v>
      </c>
      <c r="H39" s="60" t="s">
        <v>952</v>
      </c>
    </row>
    <row r="40" spans="1:8" ht="15.75" customHeight="1">
      <c r="A40" s="71" t="str">
        <f>HYPERLINK("https://docs.google.com/document/d/1UCgjNYQ5TL4F8FlovrISxE_5PSKO8ueZE5IeQvCVppU/edit","What Your Business Should Know About ADA Compliance")</f>
        <v>What Your Business Should Know About ADA Compliance</v>
      </c>
      <c r="B40" s="60" t="s">
        <v>953</v>
      </c>
      <c r="C40" s="72" t="s">
        <v>954</v>
      </c>
      <c r="H40" s="60" t="s">
        <v>955</v>
      </c>
    </row>
    <row r="41" spans="1:8" ht="15.75" customHeight="1">
      <c r="A41" s="71" t="str">
        <f>HYPERLINK("https://docs.google.com/document/d/1KyXA52hVvSz2WtXetcDjxHSddwEiX6C-CCsJ0Ll7fS8/edit","5 Reasons Why Every Hospital Should Offer Telemedicine Solutions To Their Patients")</f>
        <v>5 Reasons Why Every Hospital Should Offer Telemedicine Solutions To Their Patients</v>
      </c>
      <c r="B41" s="60" t="s">
        <v>899</v>
      </c>
      <c r="C41" s="72" t="s">
        <v>956</v>
      </c>
      <c r="H41" s="60" t="s">
        <v>957</v>
      </c>
    </row>
    <row r="42" spans="1:8" ht="15.75" customHeight="1">
      <c r="A42" s="71" t="str">
        <f>HYPERLINK("https://docs.google.com/document/d/1y0rvKgOT0HjanBnQQHSdxgv7y3QALBKYVLJ6EOW5XY8/edit","Recovery after a Heart Attack: What You Need to Know")</f>
        <v>Recovery after a Heart Attack: What You Need to Know</v>
      </c>
      <c r="B42" s="72" t="s">
        <v>249</v>
      </c>
      <c r="C42" s="72" t="s">
        <v>958</v>
      </c>
      <c r="H42" s="60" t="s">
        <v>959</v>
      </c>
    </row>
    <row r="43" spans="1:8" ht="15.75" customHeight="1">
      <c r="A43" s="71" t="str">
        <f>HYPERLINK("https://docs.google.com/document/d/1s9RejeWhCXmlKHjE2DHRHtMPwlCEHcZEJ1ysZp_q0WE/edit","The Connection between Sleep and Heart Health")</f>
        <v>The Connection between Sleep and Heart Health</v>
      </c>
      <c r="B43" s="72" t="s">
        <v>960</v>
      </c>
      <c r="C43" s="72" t="s">
        <v>958</v>
      </c>
      <c r="H43" s="60" t="s">
        <v>961</v>
      </c>
    </row>
    <row r="44" spans="1:8" ht="15.75" customHeight="1">
      <c r="A44" s="71" t="str">
        <f>HYPERLINK("https://docs.google.com/document/d/1GskK5LzhVi_DmVzG65Nc_Lesgg0leSEv1IhWljmrSQ0/edit","How To Design Custom Apparel That Is Anything But Ordinary")</f>
        <v>How To Design Custom Apparel That Is Anything But Ordinary</v>
      </c>
      <c r="B44" s="72" t="s">
        <v>962</v>
      </c>
      <c r="C44" s="72" t="s">
        <v>963</v>
      </c>
      <c r="H44" s="60" t="s">
        <v>964</v>
      </c>
    </row>
    <row r="45" spans="1:8" ht="15.75" customHeight="1">
      <c r="A45" s="71" t="str">
        <f>HYPERLINK("https://docs.google.com/document/d/1GaTfJonS2IAIifNJP_Ovji1l65doI_xNC76WxNVDek4/edit#","Biotechnology and cardiac care: what to look for next")</f>
        <v>Biotechnology and cardiac care: what to look for next</v>
      </c>
      <c r="B45" s="72" t="s">
        <v>965</v>
      </c>
      <c r="C45" s="72" t="s">
        <v>966</v>
      </c>
      <c r="H45" s="60" t="s">
        <v>967</v>
      </c>
    </row>
    <row r="46" spans="1:8" ht="15.75" customHeight="1">
      <c r="A46" s="71" t="str">
        <f>HYPERLINK("https://docs.google.com/document/d/1YeCbdWDQiyxuHmjeC5E0zZXxLWU4GwBnef1w_kQ0Szc/edit","5 Enterprise Analytics Software Platforms You Should Consider Investing In This Year")</f>
        <v>5 Enterprise Analytics Software Platforms You Should Consider Investing In This Year</v>
      </c>
      <c r="B46" s="72" t="s">
        <v>965</v>
      </c>
      <c r="C46" s="72" t="s">
        <v>963</v>
      </c>
      <c r="H46" s="60" t="s">
        <v>968</v>
      </c>
    </row>
    <row r="47" spans="1:8" ht="15.75" customHeight="1">
      <c r="A47" s="71" t="str">
        <f>HYPERLINK("https://docs.google.com/document/d/12mEHTJfTRGMPAwYiLfX4Md4v45nfRy8bwjqPBqDZmJQ/edit","5 technologies banking executives should be aware of in 2019")</f>
        <v>5 technologies banking executives should be aware of in 2019</v>
      </c>
      <c r="B47" s="60" t="s">
        <v>969</v>
      </c>
      <c r="C47" s="72" t="s">
        <v>970</v>
      </c>
      <c r="D47" s="72" t="s">
        <v>772</v>
      </c>
      <c r="E47" s="72" t="s">
        <v>772</v>
      </c>
      <c r="F47" t="s">
        <v>867</v>
      </c>
      <c r="G47" s="72" t="s">
        <v>868</v>
      </c>
      <c r="H47" s="60" t="s">
        <v>971</v>
      </c>
    </row>
    <row r="48" spans="1:8" ht="15.75" customHeight="1">
      <c r="A48" s="71" t="str">
        <f>HYPERLINK("https://docs.google.com/document/d/10JiFqrpfUVA48xjl962_JRZ2k-kXBKOIkDhF3gSrP2k/edit","4 tips on how to optimize your health website in 2019")</f>
        <v>4 tips on how to optimize your health website in 2019</v>
      </c>
      <c r="B48" s="72" t="s">
        <v>972</v>
      </c>
      <c r="C48" s="87" t="s">
        <v>973</v>
      </c>
      <c r="H48" s="60" t="s">
        <v>974</v>
      </c>
    </row>
    <row r="49" spans="1:8" ht="15.75" customHeight="1">
      <c r="A49" s="71" t="str">
        <f>HYPERLINK("https://docs.google.com/document/d/1jU-QrQPF8ZIJWg3HtiWi66tfI7O5pcsFHpfK2m7SFgU/edit","People working out should consume natural products rich in Astaxanthin. Here’s why")</f>
        <v>People working out should consume natural products rich in Astaxanthin. Here’s why</v>
      </c>
      <c r="B49" s="60" t="s">
        <v>862</v>
      </c>
      <c r="C49" s="72" t="s">
        <v>975</v>
      </c>
      <c r="H49" s="60" t="s">
        <v>976</v>
      </c>
    </row>
    <row r="50" spans="1:8" ht="15.75" customHeight="1">
      <c r="A50" s="71" t="str">
        <f>HYPERLINK("https://docs.google.com/document/d/18ncNJdb1ediVhwdkXwpDH4nGzd-O77UAjxt9Z5dyLtw/edit","Investing in Custom T-shirts For Your Employees")</f>
        <v>Investing in Custom T-shirts For Your Employees</v>
      </c>
      <c r="B50" s="60" t="s">
        <v>977</v>
      </c>
      <c r="H50" s="60" t="s">
        <v>979</v>
      </c>
    </row>
    <row r="51" spans="1:8" ht="15.75" customHeight="1">
      <c r="A51" s="71" t="str">
        <f>HYPERLINK("https://docs.google.com/document/d/1lSYYMCVIxVy1U-ilktXAznUvBwEkIYXb9Jd7UvIsuI4/edit#","How technology can enable patients to live better lives")</f>
        <v>How technology can enable patients to live better lives</v>
      </c>
      <c r="B51" s="60" t="s">
        <v>977</v>
      </c>
      <c r="C51" s="72" t="s">
        <v>966</v>
      </c>
      <c r="H51" s="60" t="s">
        <v>980</v>
      </c>
    </row>
    <row r="52" spans="1:8" ht="15.75" customHeight="1">
      <c r="A52" s="71" t="str">
        <f>HYPERLINK("https://docs.google.com/document/d/14dNS5MEPghUq0_lPp-9RyBL_CU1dsJPNimpVpcE6MGs/edit","6 Reasons Why You Need To Invest In Custom T-Shirts For Your Employees")</f>
        <v>6 Reasons Why You Need To Invest In Custom T-Shirts For Your Employees</v>
      </c>
      <c r="B52" s="109" t="s">
        <v>325</v>
      </c>
      <c r="C52" s="72" t="s">
        <v>981</v>
      </c>
      <c r="H52" s="60" t="s">
        <v>982</v>
      </c>
    </row>
    <row r="53" spans="1:8" ht="15.75" customHeight="1">
      <c r="A53" s="71" t="str">
        <f>HYPERLINK("https://docs.google.com/document/d/1C55IEyy94WH7nXWC2E8sPZ8afmcKPWjqfnMolpYwExo/edit","How To Prevent Heart Disease And Protect Your Heart")</f>
        <v>How To Prevent Heart Disease And Protect Your Heart</v>
      </c>
      <c r="B53" s="60" t="s">
        <v>329</v>
      </c>
      <c r="C53" s="72" t="s">
        <v>963</v>
      </c>
      <c r="H53" s="60" t="s">
        <v>984</v>
      </c>
    </row>
    <row r="54" spans="1:8" ht="15.75" customHeight="1">
      <c r="A54" s="71" t="str">
        <f>HYPERLINK("https://docs.google.com/document/d/1-QlIJNNXkl3S_YSRsUP1ZlUwqfDQDuN-B4nKWYZcIDk/edit","4 innovations revolutionizing the cardiovascular disease treatment in the US")</f>
        <v>4 innovations revolutionizing the cardiovascular disease treatment in the US</v>
      </c>
      <c r="B54" s="60" t="s">
        <v>504</v>
      </c>
      <c r="C54" s="72" t="s">
        <v>985</v>
      </c>
      <c r="H54" s="60" t="s">
        <v>986</v>
      </c>
    </row>
    <row r="55" spans="1:8" ht="15.75" customHeight="1">
      <c r="A55" s="71" t="str">
        <f>HYPERLINK("https://docs.google.com/document/d/1mGV5jwYW5_O53pN-MGobvUygmG-QojMHn4lQTNrl_Lo/edit","5 Telemedicine Solutions Helping Patients Live Longer")</f>
        <v>5 Telemedicine Solutions Helping Patients Live Longer</v>
      </c>
      <c r="B55" s="72" t="s">
        <v>987</v>
      </c>
      <c r="C55" s="72" t="s">
        <v>988</v>
      </c>
      <c r="H55" s="60" t="s">
        <v>989</v>
      </c>
    </row>
    <row r="56" spans="1:8" ht="15.75" customHeight="1">
      <c r="A56" s="71" t="str">
        <f>HYPERLINK("https://docs.google.com/document/d/1y9up2E_f74aXhfl0JrwczPxc6tX_K1UBbG0-US5Freg/edit","The Impact of Genetics on Cardiology")</f>
        <v>The Impact of Genetics on Cardiology</v>
      </c>
      <c r="B56" s="60" t="s">
        <v>666</v>
      </c>
      <c r="C56" s="72" t="s">
        <v>951</v>
      </c>
      <c r="H56" s="60" t="s">
        <v>990</v>
      </c>
    </row>
    <row r="57" spans="1:8" ht="15.75" customHeight="1">
      <c r="A57" s="71" t="str">
        <f>HYPERLINK("https://docs.google.com/document/d/11R5q9-sHHy2VGCXlvgdsQMxY1sZX2N0p2bWFURQod3I/edit","Why Every Healthcare Business Should Consider Building An Alexa Skill In 2019")</f>
        <v>Why Every Healthcare Business Should Consider Building An Alexa Skill In 2019</v>
      </c>
      <c r="B57" s="72" t="s">
        <v>991</v>
      </c>
      <c r="C57" s="72" t="s">
        <v>66</v>
      </c>
      <c r="H57" s="60" t="s">
        <v>992</v>
      </c>
    </row>
    <row r="58" spans="1:8" ht="15.75" customHeight="1">
      <c r="A58" s="71" t="str">
        <f>HYPERLINK("https://docs.google.com/document/d/10iPZvtcDkGlDb2oSQi_xssc2tnkGqQtPuCklz7PgfAs/edit","5 cool tech Canadian innovations in healthcare")</f>
        <v>5 cool tech Canadian innovations in healthcare</v>
      </c>
      <c r="B58" s="60" t="s">
        <v>808</v>
      </c>
      <c r="H58" s="60" t="s">
        <v>993</v>
      </c>
    </row>
    <row r="59" spans="1:8" ht="15.75" customHeight="1">
      <c r="A59" s="71" t="str">
        <f>HYPERLINK("https://docs.google.com/document/d/1KTj5Lh0abtIaC7ijwkyQtyo7fA8eM23xDKtxGRlVrLU/edit","9 Best Tech Devices for Heart Health")</f>
        <v>9 Best Tech Devices for Heart Health</v>
      </c>
      <c r="B59" s="61" t="s">
        <v>272</v>
      </c>
      <c r="C59" s="72" t="s">
        <v>994</v>
      </c>
      <c r="H59" s="60" t="s">
        <v>995</v>
      </c>
    </row>
    <row r="60" spans="1:8" ht="15.75" customHeight="1">
      <c r="A60" s="71" t="str">
        <f>HYPERLINK("https://docs.google.com/document/d/1F_pfgzV_Ng4onLs0fdqdz0_l0NGOq9zM0N2KECgwARI/edit","4 things doctors should know about reputation management")</f>
        <v>4 things doctors should know about reputation management</v>
      </c>
      <c r="B60" s="72" t="s">
        <v>996</v>
      </c>
      <c r="C60" s="72" t="s">
        <v>997</v>
      </c>
      <c r="H60" s="60" t="s">
        <v>998</v>
      </c>
    </row>
    <row r="61" spans="1:8" ht="15.75" customHeight="1">
      <c r="A61" s="71" t="str">
        <f>HYPERLINK("https://docs.google.com/document/d/1FN-vrbCz_ujzv1a1mXRp0Hotw9NuzpEcFgppcYhH9PQ/edit","4 Social Media Practices Healthcare Marketers Should Implement In 2019")</f>
        <v>4 Social Media Practices Healthcare Marketers Should Implement In 2019</v>
      </c>
      <c r="B61" s="72" t="s">
        <v>999</v>
      </c>
      <c r="C61" s="72" t="s">
        <v>963</v>
      </c>
      <c r="H61" s="60" t="s">
        <v>1000</v>
      </c>
    </row>
    <row r="62" spans="1:8" ht="15.75" customHeight="1">
      <c r="A62" s="71" t="str">
        <f>HYPERLINK("https://docs.google.com/document/d/1paRp8fUdF7vTf-NgQbH4ExdDJPHUbh57G7qLHtrCqsU/edit","8 Questions To Ask Healthcare Consulting Firms Before Hiring Them")</f>
        <v>8 Questions To Ask Healthcare Consulting Firms Before Hiring Them</v>
      </c>
      <c r="B62" s="72" t="s">
        <v>1001</v>
      </c>
      <c r="C62" s="72" t="s">
        <v>963</v>
      </c>
      <c r="H62" s="60" t="s">
        <v>1002</v>
      </c>
    </row>
    <row r="63" spans="1:8" ht="15.75" customHeight="1">
      <c r="A63" s="71" t="str">
        <f>HYPERLINK("https://docs.google.com/document/d/1Ba-Q2aLcwV5jcPED92Z64pmahOK1Oy5M7dHX7FPIU7Y/edit","5 Reasons Why Your Business Should Build An Alexa Skill In 2019")</f>
        <v>5 Reasons Why Your Business Should Build An Alexa Skill In 2019</v>
      </c>
      <c r="B63" s="60" t="s">
        <v>814</v>
      </c>
      <c r="C63" s="72" t="s">
        <v>1003</v>
      </c>
      <c r="H63" s="60" t="s">
        <v>1004</v>
      </c>
    </row>
    <row r="64" spans="1:8" ht="15.75" customHeight="1">
      <c r="A64" s="71" t="str">
        <f>HYPERLINK("https://docs.google.com/document/d/1b1Mfir-6R6uFYplDnh8lU-FYzODg21bcH2wNjo12lgI/edit","3 Amazing Healthcare Innovations Accenture Are Implementing Right Now")</f>
        <v>3 Amazing Healthcare Innovations Accenture Are Implementing Right Now</v>
      </c>
      <c r="B64" s="60" t="s">
        <v>1005</v>
      </c>
      <c r="C64" s="72" t="s">
        <v>1003</v>
      </c>
      <c r="H64" s="60" t="s">
        <v>1006</v>
      </c>
    </row>
    <row r="65" spans="1:9" ht="15.75" customHeight="1">
      <c r="A65" s="71" t="str">
        <f>HYPERLINK("https://docs.google.com/document/d/1nfsyFUahluhTA_USamRbzih8sT-ksp1oSBf4TOjUxZY/edit","Why Astaxanthin Is Good For Health")</f>
        <v>Why Astaxanthin Is Good For Health</v>
      </c>
      <c r="B65" s="72" t="s">
        <v>676</v>
      </c>
      <c r="C65" s="72" t="s">
        <v>1007</v>
      </c>
      <c r="H65" s="60" t="s">
        <v>1008</v>
      </c>
    </row>
    <row r="66" spans="1:9" ht="15.75" customHeight="1">
      <c r="A66" s="71" t="str">
        <f>HYPERLINK("https://docs.google.com/document/d/15gP35uLkTL8HTYPA1cadFLmdkxbMNKXuoaFmeFQZJIg/edit","The Connection between Sleep and Heart Health")</f>
        <v>The Connection between Sleep and Heart Health</v>
      </c>
      <c r="B66" s="72" t="s">
        <v>1009</v>
      </c>
      <c r="C66" s="60" t="s">
        <v>1010</v>
      </c>
      <c r="H66" s="60" t="s">
        <v>1010</v>
      </c>
    </row>
    <row r="67" spans="1:9" ht="15.75" customHeight="1">
      <c r="A67" s="71" t="str">
        <f>HYPERLINK("https://docs.google.com/document/d/1bCe5I5uPmlBDHtx752fd0dVCbSAjvIx3a6nTEDiklXY/edit","What Your Business Should Know About ADA Compliance")</f>
        <v>What Your Business Should Know About ADA Compliance</v>
      </c>
      <c r="B67" s="60" t="s">
        <v>1011</v>
      </c>
      <c r="C67" s="72" t="s">
        <v>1003</v>
      </c>
      <c r="H67" s="60" t="s">
        <v>1012</v>
      </c>
    </row>
    <row r="68" spans="1:9" ht="15.75" customHeight="1">
      <c r="A68" s="71" t="str">
        <f>HYPERLINK("https://docs.google.com/document/d/1dSX5p4UKXviatEaeTQx8qgXxqKUgU7dWHW1WgSv0knY/edit","7 Reasons Why Your Business Should Build an Alexa Skill in 2019")</f>
        <v>7 Reasons Why Your Business Should Build an Alexa Skill in 2019</v>
      </c>
      <c r="B68" s="72" t="s">
        <v>1013</v>
      </c>
      <c r="C68" s="72" t="s">
        <v>1014</v>
      </c>
      <c r="H68" s="60" t="s">
        <v>1015</v>
      </c>
    </row>
    <row r="69" spans="1:9" ht="15.75" customHeight="1">
      <c r="A69" s="71" t="str">
        <f>HYPERLINK("https://docs.google.com/document/d/1O8GfNtEhhlBvSeL6S50LVGhVIHaTiS6c6e6T9rdgylQ/edit","7 strategies to effectively market your financial products on Linkedin")</f>
        <v>7 strategies to effectively market your financial products on Linkedin</v>
      </c>
      <c r="B69" s="60" t="s">
        <v>1016</v>
      </c>
      <c r="C69" s="72" t="s">
        <v>1018</v>
      </c>
      <c r="D69" s="72" t="s">
        <v>772</v>
      </c>
      <c r="E69" s="72" t="s">
        <v>772</v>
      </c>
      <c r="F69" t="s">
        <v>867</v>
      </c>
      <c r="G69" s="72" t="s">
        <v>868</v>
      </c>
      <c r="H69" s="60" t="s">
        <v>1019</v>
      </c>
    </row>
    <row r="70" spans="1:9" ht="15.75" customHeight="1">
      <c r="A70" s="71" t="str">
        <f>HYPERLINK("https://docs.google.com/document/d/1-dQVXASLZH7rdSPcARUO2EuYs93Y72bCdv0Yf6_qe5E/edit","5 Crucial Steps to Nail Your Local SEO")</f>
        <v>5 Crucial Steps to Nail Your Local SEO</v>
      </c>
      <c r="B70" s="72" t="s">
        <v>1020</v>
      </c>
      <c r="C70" s="72" t="s">
        <v>1021</v>
      </c>
      <c r="H70" s="60" t="s">
        <v>1022</v>
      </c>
    </row>
    <row r="71" spans="1:9" ht="15.75" customHeight="1">
      <c r="A71" s="71" t="str">
        <f>HYPERLINK("https://docs.google.com/document/d/1IxVdCGPuemevR6fD_LKkuByY2sZwAIuDZ6iO7nF9hUs/edit","Artificial intelligence in the Pharma Industry: 5 Examples")</f>
        <v>Artificial intelligence in the Pharma Industry: 5 Examples</v>
      </c>
      <c r="B71" s="60" t="s">
        <v>289</v>
      </c>
      <c r="C71" s="72" t="s">
        <v>1023</v>
      </c>
      <c r="H71" s="60" t="s">
        <v>1024</v>
      </c>
    </row>
    <row r="72" spans="1:9" ht="15.75" customHeight="1">
      <c r="A72" s="71" t="str">
        <f>HYPERLINK("https://docs.google.com/document/d/1PrfxbwlO28o2afT574n_NIauEDBqEomHkEs8PcUra_M/edit","TOP 5 AFFORDABLE GIFTS TO BUY THIS HOLIDAY SEASON")</f>
        <v>TOP 5 AFFORDABLE GIFTS TO BUY THIS HOLIDAY SEASON</v>
      </c>
      <c r="B72" s="72" t="s">
        <v>1025</v>
      </c>
      <c r="H72" s="60" t="s">
        <v>1026</v>
      </c>
    </row>
    <row r="73" spans="1:9" ht="15.75" customHeight="1">
      <c r="A73" s="71" t="str">
        <f>HYPERLINK("https://docs.google.com/document/d/1vsnAXrwPZbA7itlBS9lVuyYNBsFrTCox9Vmn0QCJPUs/edit","How Astaxanthin Helps People With Alzheimer's Disease")</f>
        <v>How Astaxanthin Helps People With Alzheimer's Disease</v>
      </c>
      <c r="B73" s="60" t="s">
        <v>289</v>
      </c>
      <c r="H73" s="60" t="s">
        <v>1027</v>
      </c>
    </row>
    <row r="74" spans="1:9" ht="15.75" customHeight="1">
      <c r="A74" s="71" t="str">
        <f>HYPERLINK("https://docs.google.com/document/d/1X0YYJUQMJowoGLdKDdHF7PfVcD9qiEXM2NBEyZ5aThQ/edit","5 Tips Healthcare Marketers Need to Know About Social Media in 2019")</f>
        <v>5 Tips Healthcare Marketers Need to Know About Social Media in 2019</v>
      </c>
      <c r="B74" s="72" t="s">
        <v>1028</v>
      </c>
      <c r="C74" s="72" t="s">
        <v>1029</v>
      </c>
      <c r="H74" s="60" t="s">
        <v>1030</v>
      </c>
    </row>
    <row r="75" spans="1:9" ht="15.75" customHeight="1">
      <c r="A75" s="71" t="str">
        <f>HYPERLINK("https://docs.google.com/document/d/17Mf1ulHP44iOJl_NaQVXwOZx1oYLI8a3jkgvTSmbcb0/edit","Top Natural Ingredients that Keep Teachers Alert During Class")</f>
        <v>Top Natural Ingredients that Keep Teachers Alert During Class</v>
      </c>
      <c r="B75" s="60" t="s">
        <v>866</v>
      </c>
      <c r="C75" s="72" t="s">
        <v>1031</v>
      </c>
      <c r="H75" s="60" t="s">
        <v>1032</v>
      </c>
    </row>
    <row r="76" spans="1:9" ht="15.75" customHeight="1">
      <c r="A76" s="71" t="str">
        <f>HYPERLINK("https://docs.google.com/document/d/1CfN4br7lMA1XrTL4SdLbRxLNK357pFysFZSFrPti_NA/edit","Biggest Healthcare News in Canada in 2018
")</f>
        <v>Biggest Healthcare News in Canada in 2018_x000D_</v>
      </c>
      <c r="B76" s="60" t="s">
        <v>883</v>
      </c>
      <c r="C76" s="72" t="s">
        <v>1023</v>
      </c>
      <c r="H76" s="60" t="s">
        <v>1033</v>
      </c>
    </row>
    <row r="77" spans="1:9" ht="15.75" customHeight="1">
      <c r="A77" s="71" t="str">
        <f>HYPERLINK("https://docs.google.com/document/d/1KWKMt6AL4eSgtVeGi2GRSssdeSHZ7U0_q6C4_PNOfWA/edit","5 Reasons Why Universities Should Use Data Analytics")</f>
        <v>5 Reasons Why Universities Should Use Data Analytics</v>
      </c>
      <c r="B77" s="60" t="s">
        <v>920</v>
      </c>
      <c r="C77" s="72" t="s">
        <v>1003</v>
      </c>
      <c r="H77" s="60" t="s">
        <v>1034</v>
      </c>
    </row>
    <row r="78" spans="1:9" ht="15.75" customHeight="1">
      <c r="A78" s="71" t="str">
        <f>HYPERLINK("https://docs.google.com/document/d/1Mdh9kUjCoj3aHroKXE1s-637osOdUQylPzfLF72UpxU/edit","5 Great Gifts for the Exhausted Entrepreneur")</f>
        <v>5 Great Gifts for the Exhausted Entrepreneur</v>
      </c>
      <c r="B78" s="72" t="s">
        <v>1035</v>
      </c>
      <c r="H78" s="60" t="s">
        <v>1036</v>
      </c>
      <c r="I78" s="72" t="s">
        <v>1037</v>
      </c>
    </row>
    <row r="79" spans="1:9" ht="15.75" customHeight="1">
      <c r="A79" s="71" t="str">
        <f>HYPERLINK("https://docs.google.com/document/d/1FQi0JlkraAuJ0oNkU00EWOJmwab6aEgULYdJ7xOngOg/edit","9 coolest water bottles you can buy on the cheap")</f>
        <v>9 coolest water bottles you can buy on the cheap</v>
      </c>
      <c r="B79" s="72" t="s">
        <v>1038</v>
      </c>
      <c r="C79" s="72" t="s">
        <v>997</v>
      </c>
      <c r="H79" s="60" t="s">
        <v>1039</v>
      </c>
      <c r="I79" s="72" t="s">
        <v>1037</v>
      </c>
    </row>
    <row r="80" spans="1:9" ht="15.75" customHeight="1">
      <c r="A80" s="71" t="str">
        <f>HYPERLINK("https://docs.google.com/document/d/1zQeudV-1NR87qPtkUiu9UCAqfs03beM9eIX1VpADy7o/edit","10 Necessities to Make a Marketer’s Life Easier")</f>
        <v>10 Necessities to Make a Marketer’s Life Easier</v>
      </c>
      <c r="B80" s="72" t="s">
        <v>1028</v>
      </c>
      <c r="H80" s="60" t="s">
        <v>1040</v>
      </c>
      <c r="I80" s="72" t="s">
        <v>1037</v>
      </c>
    </row>
    <row r="81" spans="1:29" ht="15.75" customHeight="1">
      <c r="A81" s="71" t="str">
        <f>HYPERLINK("https://docs.google.com/document/d/1ATzG0ITkiEcsVFqOpuqKI-c_mNzMrekbrRETIbDYP_c/edit","10 Awesome Products To Help You Hit Your Running Goals in 2019")</f>
        <v>10 Awesome Products To Help You Hit Your Running Goals in 2019</v>
      </c>
      <c r="B81" s="72" t="s">
        <v>916</v>
      </c>
      <c r="C81" s="72" t="s">
        <v>1041</v>
      </c>
      <c r="H81" s="60" t="s">
        <v>1042</v>
      </c>
      <c r="I81" s="72" t="s">
        <v>1037</v>
      </c>
    </row>
    <row r="82" spans="1:29" ht="15.75" customHeight="1">
      <c r="A82" s="110" t="str">
        <f>HYPERLINK("https://docs.google.com/document/d/1hlvrhsyfaQ8SHGKxDWiVu-ojm00GM19q2MPKNrZ3KMQ/edit","10 Things Every Runner Should Own Today")</f>
        <v>10 Things Every Runner Should Own Today</v>
      </c>
      <c r="B82" s="111" t="s">
        <v>1043</v>
      </c>
      <c r="H82" s="60" t="s">
        <v>1044</v>
      </c>
      <c r="I82" s="72" t="s">
        <v>1037</v>
      </c>
    </row>
    <row r="83" spans="1:29" ht="15.75" customHeight="1">
      <c r="A83" s="11" t="str">
        <f>HYPERLINK("https://docs.google.com/document/d/1Y_2gKZsnFAGmohmyddpz6S_kTBcKeiwNYrhY8f8OkEc/edit","What Is B2B Marketing And How Does It Work")</f>
        <v>What Is B2B Marketing And How Does It Work</v>
      </c>
      <c r="B83" s="3" t="s">
        <v>1045</v>
      </c>
      <c r="C83" s="3" t="s">
        <v>1003</v>
      </c>
      <c r="D83" s="18"/>
      <c r="E83" s="18"/>
      <c r="F83" s="18"/>
      <c r="G83" s="18"/>
      <c r="H83" s="61" t="s">
        <v>1046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spans="1:29" ht="15.75" customHeight="1">
      <c r="A84" s="11" t="str">
        <f>HYPERLINK("https://docs.google.com/document/d/1fsapULMjisXFQCV9GFJynJJXktwJDAMrdel0fgRO3O4/edit","8 Tips to Market Your Mobile App on a Budget")</f>
        <v>8 Tips to Market Your Mobile App on a Budget</v>
      </c>
      <c r="B84" s="18"/>
      <c r="C84" s="3"/>
      <c r="D84" s="18"/>
      <c r="E84" s="18"/>
      <c r="F84" s="18"/>
      <c r="G84" s="18"/>
      <c r="H84" s="61" t="s">
        <v>1047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spans="1:29" ht="15.75" customHeight="1">
      <c r="A85" s="11" t="str">
        <f>HYPERLINK("https://docs.google.com/document/d/1WuA62gFiO20fEbTh5mpjwJSYAD4y96e7ZsajQ3YmYnU/edit","4 AI Innovations In The Pharma Space You Didn’t Know Existed In 2019")</f>
        <v>4 AI Innovations In The Pharma Space You Didn’t Know Existed In 2019</v>
      </c>
      <c r="B85" s="3" t="s">
        <v>1048</v>
      </c>
      <c r="C85" s="3" t="s">
        <v>1003</v>
      </c>
      <c r="D85" s="18"/>
      <c r="E85" s="18"/>
      <c r="F85" s="18"/>
      <c r="G85" s="18"/>
      <c r="H85" s="61" t="s">
        <v>1049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spans="1:29" ht="15.75" customHeight="1">
      <c r="A86" s="11" t="str">
        <f>HYPERLINK("https://docs.google.com/document/d/1My_fWbNA8p3hf1zDmRvdy6TzZtcmvajw_e5jb8M4gxI/edit","4 Embarrassing Pieces Of News In Pharma In 2018")</f>
        <v>4 Embarrassing Pieces Of News In Pharma In 2018</v>
      </c>
      <c r="B86" s="3" t="s">
        <v>1051</v>
      </c>
      <c r="C86" s="3" t="s">
        <v>1003</v>
      </c>
      <c r="D86" s="18"/>
      <c r="E86" s="18"/>
      <c r="F86" s="18"/>
      <c r="G86" s="18"/>
      <c r="H86" s="61" t="s">
        <v>1052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spans="1:29" ht="15.75" customHeight="1">
      <c r="A87" s="11" t="str">
        <f>HYPERLINK("https://docs.google.com/document/d/1wjrkrCwp4HeqjAszuDEP71c39_rawrim97ibu60SNUg/edit","4 Trends In B2B Marketing You Should Know About This Year")</f>
        <v>4 Trends In B2B Marketing You Should Know About This Year</v>
      </c>
      <c r="B87" s="3" t="s">
        <v>1045</v>
      </c>
      <c r="C87" s="3" t="s">
        <v>1003</v>
      </c>
      <c r="D87" s="18"/>
      <c r="E87" s="18"/>
      <c r="F87" s="18"/>
      <c r="G87" s="18"/>
      <c r="H87" s="61" t="s">
        <v>1053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spans="1:29" ht="15.75" customHeight="1">
      <c r="A88" s="11" t="str">
        <f>HYPERLINK("https://docs.google.com/document/d/1PII6Pvhl8rSqFUzTUtolcoA9coXJLoc4lOGeflE2IrQ/edit"," 4 Strategies To Jumpstart Your B2B Marketing Strategy In 2019")</f>
        <v xml:space="preserve"> 4 Strategies To Jumpstart Your B2B Marketing Strategy In 2019</v>
      </c>
      <c r="B88" s="3" t="s">
        <v>1054</v>
      </c>
      <c r="C88" s="3" t="s">
        <v>1003</v>
      </c>
      <c r="D88" s="18"/>
      <c r="E88" s="18"/>
      <c r="F88" s="18"/>
      <c r="G88" s="18"/>
      <c r="H88" s="61" t="s">
        <v>1055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spans="1:29" ht="15.75" customHeight="1">
      <c r="A89" s="11" t="str">
        <f>HYPERLINK("https://docs.google.com/document/d/11S6Y-SCgv9pNuQ-z5FuOODbHcExh2c6Q61iORD7MBZs/edit","B2B MARKETING TRENDS TO CONSIDER FOR 2019")</f>
        <v>B2B MARKETING TRENDS TO CONSIDER FOR 2019</v>
      </c>
      <c r="B89" s="3" t="s">
        <v>1056</v>
      </c>
      <c r="C89" s="3" t="s">
        <v>1003</v>
      </c>
      <c r="D89" s="18"/>
      <c r="E89" s="18"/>
      <c r="F89" s="18"/>
      <c r="G89" s="18"/>
      <c r="H89" s="61" t="s">
        <v>1057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spans="1:29" ht="15.75" customHeight="1">
      <c r="A90" s="71" t="str">
        <f>HYPERLINK("https://docs.google.com/document/d/1Eyoa5P37kS1uEXlaIr2N6VnrJl5jUVbBFD428ORSABg/edit","9 retail companies that do good in the world")</f>
        <v>9 retail companies that do good in the world</v>
      </c>
      <c r="B90" s="60" t="s">
        <v>1058</v>
      </c>
      <c r="H90" s="60" t="s">
        <v>1059</v>
      </c>
      <c r="I90" s="72" t="s">
        <v>1037</v>
      </c>
    </row>
    <row r="91" spans="1:29" ht="15.75" customHeight="1">
      <c r="A91" s="11" t="str">
        <f>HYPERLINK("https://docs.google.com/document/d/1GwU9AydAz7uxpdqOtxfe0VjipD0WOhMUnd7ooTi2P1I/edit","10 trends in healthtech healthcare executives should embrace today
")</f>
        <v>10 trends in healthtech healthcare executives should embrace today_x000D_</v>
      </c>
      <c r="B91" s="60" t="s">
        <v>1060</v>
      </c>
      <c r="C91" s="72" t="s">
        <v>1061</v>
      </c>
      <c r="H91" s="60" t="s">
        <v>1062</v>
      </c>
    </row>
    <row r="92" spans="1:29" ht="15.75" customHeight="1">
      <c r="A92" s="71" t="str">
        <f>HYPERLINK("https://docs.google.com/document/d/1P0B5FozDpG-G670Mr6ij-C1vlirzqGzk0yix10pxYBE/edit","A Beginner’s Guide to Website ADA Compliance")</f>
        <v>A Beginner’s Guide to Website ADA Compliance</v>
      </c>
      <c r="B92" s="72" t="s">
        <v>1063</v>
      </c>
      <c r="H92" s="60" t="s">
        <v>1064</v>
      </c>
    </row>
    <row r="93" spans="1:29" ht="15.75" customHeight="1">
      <c r="A93" s="71" t="str">
        <f>HYPERLINK("https://docs.google.com/document/d/1DSCgQ4x9JHlf_98NO5fH7BobhtBo7nRaBxJiG5bhgHk/edit","5 Tips On How To Create An Amazing Healthcare Website")</f>
        <v>5 Tips On How To Create An Amazing Healthcare Website</v>
      </c>
      <c r="B93" s="72" t="s">
        <v>1066</v>
      </c>
      <c r="C93" s="72" t="s">
        <v>1003</v>
      </c>
      <c r="H93" s="60" t="s">
        <v>1067</v>
      </c>
    </row>
    <row r="94" spans="1:29" ht="15.75" customHeight="1">
      <c r="A94" s="71" t="str">
        <f>HYPERLINK("https://docs.google.com/document/d/1CgPU4hU1F3T9FP4fe1-cIWblKRkwGTXkPGmcx2xDcYU/edit","5 social media fails to avoid in 2019")</f>
        <v>5 social media fails to avoid in 2019</v>
      </c>
      <c r="B94" s="72" t="s">
        <v>1068</v>
      </c>
      <c r="C94" s="72" t="s">
        <v>1069</v>
      </c>
      <c r="D94" s="114" t="s">
        <v>772</v>
      </c>
      <c r="E94" s="114" t="s">
        <v>772</v>
      </c>
      <c r="F94" s="3" t="s">
        <v>1070</v>
      </c>
      <c r="G94" s="72" t="s">
        <v>1071</v>
      </c>
      <c r="H94" s="60" t="s">
        <v>1072</v>
      </c>
    </row>
    <row r="95" spans="1:29" ht="15.75" customHeight="1">
      <c r="A95" s="71" t="str">
        <f>HYPERLINK("https://docs.google.com/document/d/1RgsNjKkdDiHmyDMdLmEZWvMhAOb0OU4eSpwL4aiHTZM/edit","5 Affordable Strategies To Market Your App Effectively in 2019")</f>
        <v>5 Affordable Strategies To Market Your App Effectively in 2019</v>
      </c>
      <c r="B95" s="72" t="s">
        <v>1073</v>
      </c>
      <c r="C95" s="72" t="s">
        <v>1074</v>
      </c>
      <c r="H95" s="60" t="s">
        <v>1075</v>
      </c>
    </row>
    <row r="96" spans="1:29" ht="15.75" customHeight="1">
      <c r="A96" s="71" t="str">
        <f>HYPERLINK("https://docs.google.com/document/d/1IeE1oWnC4Wmmm90jlpwLXRGRNp48BL_AIib7tjTTt3g/edit","5 Reasons Every App Owner Needs To Have A Website To Promote Their App")</f>
        <v>5 Reasons Every App Owner Needs To Have A Website To Promote Their App</v>
      </c>
      <c r="B96" s="60" t="s">
        <v>1076</v>
      </c>
      <c r="H96" s="60" t="s">
        <v>1077</v>
      </c>
    </row>
    <row r="97" spans="1:29" ht="15.75" customHeight="1">
      <c r="A97" s="11" t="str">
        <f>HYPERLINK("https://docs.google.com/document/d/1mBwe3s92lID3OzL98RuUvk8twNvgkh4T20JM1vB47lk/edit","4 Strategies Marketers Should Master In 2019")</f>
        <v>4 Strategies Marketers Should Master In 2019</v>
      </c>
      <c r="B97" s="3" t="s">
        <v>1078</v>
      </c>
      <c r="C97" s="3" t="s">
        <v>1003</v>
      </c>
      <c r="D97" s="18"/>
      <c r="E97" s="18"/>
      <c r="F97" s="18"/>
      <c r="G97" s="18"/>
      <c r="H97" s="61" t="s">
        <v>1079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5.75" customHeight="1">
      <c r="A98" s="11" t="str">
        <f>HYPERLINK("https://docs.google.com/document/d/1Xrcz3j8JfFUy1TBVuqyVJztYIpePbGKeOBhM3jsSWJY/edit","How To Create An Amazing Website That Brings Patients To Your Clinic")</f>
        <v>How To Create An Amazing Website That Brings Patients To Your Clinic</v>
      </c>
      <c r="B98" s="3" t="s">
        <v>1080</v>
      </c>
      <c r="C98" s="18"/>
      <c r="D98" s="18"/>
      <c r="E98" s="18"/>
      <c r="F98" s="18"/>
      <c r="G98" s="18"/>
      <c r="H98" s="61" t="s">
        <v>1081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5.75" customHeight="1">
      <c r="A99" s="71" t="str">
        <f>HYPERLINK("https://docs.google.com/document/d/1pIJv4JSi0BcHw7CL4hkZDV8AVVad5VgxnTB7mjihGws/edit","Impacts of Aging on Cardiac Health")</f>
        <v>Impacts of Aging on Cardiac Health</v>
      </c>
      <c r="H99" s="60" t="s">
        <v>1082</v>
      </c>
    </row>
    <row r="100" spans="1:29" ht="15.75" customHeight="1">
      <c r="A100" s="11" t="str">
        <f>HYPERLINK("https://docs.google.com/document/d/1GnbJKzgZhsRCIxFEFsEpozSzcKCfBnJY5QK7D5CRVTs/edit","4 Health Trends Every Executive Should Be Aware Of In 2019")</f>
        <v>4 Health Trends Every Executive Should Be Aware Of In 2019</v>
      </c>
      <c r="B100" s="3" t="s">
        <v>648</v>
      </c>
      <c r="C100" s="3" t="s">
        <v>1003</v>
      </c>
      <c r="D100" s="18"/>
      <c r="E100" s="18"/>
      <c r="F100" s="18"/>
      <c r="G100" s="18"/>
      <c r="H100" s="61" t="s">
        <v>1083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5.75" customHeight="1">
      <c r="A101" s="71" t="str">
        <f>HYPERLINK("https://docs.google.com/document/d/1_G_ZapWNPYxvHtpLOf3isMkAnq-2xOmI43LRwadq5CM/edit","5 Cool Canadian Healthcare Inventions")</f>
        <v>5 Cool Canadian Healthcare Inventions</v>
      </c>
      <c r="B101" s="72" t="s">
        <v>1084</v>
      </c>
      <c r="H101" s="60" t="s">
        <v>1085</v>
      </c>
    </row>
    <row r="102" spans="1:29" ht="15.75" customHeight="1">
      <c r="A102" s="71" t="str">
        <f>HYPERLINK("https://docs.google.com/document/d/1ZQpirurMh97Iy_2tEepN3cJM5EKfc8E7hz899zMdxo8/edit","9 for 2019: 9 Items To Help to Hit Her Running Goals in 2019")</f>
        <v>9 for 2019: 9 Items To Help to Hit Her Running Goals in 2019</v>
      </c>
      <c r="B102" s="72" t="s">
        <v>1063</v>
      </c>
      <c r="H102" s="60" t="s">
        <v>1086</v>
      </c>
      <c r="I102" s="72" t="s">
        <v>1037</v>
      </c>
    </row>
    <row r="103" spans="1:29" ht="15.75" customHeight="1">
      <c r="A103" s="11" t="str">
        <f>HYPERLINK("https://docs.google.com/document/d/1nMk_ZZeOV5BylsYI7d1Ceh1iNc8jr1bdfYamz44dix8/edit","6 Alexa Skills You Should Know About In 2019")</f>
        <v>6 Alexa Skills You Should Know About In 2019</v>
      </c>
      <c r="B103" s="3" t="s">
        <v>517</v>
      </c>
      <c r="C103" s="3" t="s">
        <v>1003</v>
      </c>
      <c r="D103" s="18"/>
      <c r="E103" s="18"/>
      <c r="F103" s="18"/>
      <c r="G103" s="18"/>
      <c r="H103" s="61" t="s">
        <v>1087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5.75" customHeight="1">
      <c r="A104" s="115" t="str">
        <f>HYPERLINK("https://docs.google.com/document/d/1IgXAXksxqAFN5-3hthlw2q_el52lYnHT4bkC_C8Pg08/edit","Why Website ADA Compliance Is So Important – And 4 Healthcare Companies Facing Lawsuits For Not Following The Rules  ")</f>
        <v xml:space="preserve">Why Website ADA Compliance Is So Important – And 4 Healthcare Companies Facing Lawsuits For Not Following The Rules  </v>
      </c>
      <c r="B104" s="61" t="s">
        <v>1088</v>
      </c>
      <c r="C104" s="3" t="s">
        <v>1003</v>
      </c>
      <c r="D104" s="18"/>
      <c r="E104" s="18"/>
      <c r="F104" s="18"/>
      <c r="G104" s="18"/>
      <c r="H104" s="61" t="s">
        <v>1089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5.75" customHeight="1">
      <c r="A105" s="71" t="str">
        <f>HYPERLINK("https://docs.google.com/document/d/1kaYYkTneAfdM9GhkLR8BkZ0kc-1bFfx5ICt-0uusdwk/edit","5 Eco-Friendly Water Bottles to Help You Do More and Be Better")</f>
        <v>5 Eco-Friendly Water Bottles to Help You Do More and Be Better</v>
      </c>
      <c r="B105" s="60" t="s">
        <v>314</v>
      </c>
      <c r="C105" s="72" t="s">
        <v>1090</v>
      </c>
      <c r="H105" s="60" t="s">
        <v>1091</v>
      </c>
      <c r="I105" s="72" t="s">
        <v>1037</v>
      </c>
    </row>
    <row r="106" spans="1:29" ht="15.75" customHeight="1">
      <c r="A106" s="71" t="str">
        <f>HYPERLINK("https://docs.google.com/document/d/1haD8vFr5MqXRTcgiZJ4qsnK7a57ucaq9AQyMS13W8MM/edit","4 Social Media Practices Financial Technology Marketers Should Implement In 2019")</f>
        <v>4 Social Media Practices Financial Technology Marketers Should Implement In 2019</v>
      </c>
      <c r="B106" s="60" t="s">
        <v>1092</v>
      </c>
      <c r="C106" s="72" t="s">
        <v>1093</v>
      </c>
      <c r="H106" s="60" t="s">
        <v>1094</v>
      </c>
    </row>
    <row r="107" spans="1:29" ht="15.75" customHeight="1">
      <c r="A107" s="116" t="s">
        <v>1095</v>
      </c>
      <c r="B107" s="72" t="s">
        <v>615</v>
      </c>
      <c r="H107" s="60" t="s">
        <v>1096</v>
      </c>
    </row>
    <row r="108" spans="1:29" ht="15.75" customHeight="1">
      <c r="A108" s="71" t="str">
        <f>HYPERLINK("https://docs.google.com/document/d/166GMnAIgxnG5Ib208tr1H9qeqX3xwtev4w6Q3yyH5TQ/edit#","10 VALENTINE'S DAY GIFT IDEAS FOR TEACHERS")</f>
        <v>10 VALENTINE'S DAY GIFT IDEAS FOR TEACHERS</v>
      </c>
      <c r="B108" s="72" t="s">
        <v>249</v>
      </c>
      <c r="H108" s="60" t="s">
        <v>1097</v>
      </c>
    </row>
    <row r="109" spans="1:29" ht="15.75" customHeight="1">
      <c r="A109" s="11" t="str">
        <f>HYPERLINK("https://docs.google.com/document/d/1_PLEsz6gqRA4_yQDBAlB26ct_8vTWtzHFYeOE_vodbU/edit","What Is Digital Transformation In Healthcare")</f>
        <v>What Is Digital Transformation In Healthcare</v>
      </c>
      <c r="B109" s="3" t="s">
        <v>1098</v>
      </c>
      <c r="C109" s="3" t="s">
        <v>1003</v>
      </c>
      <c r="D109" s="18"/>
      <c r="E109" s="18"/>
      <c r="F109" s="18"/>
      <c r="G109" s="18"/>
      <c r="H109" s="61" t="s">
        <v>1099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5.75" customHeight="1">
      <c r="A110" s="71" t="str">
        <f>HYPERLINK("https://docs.google.com/document/d/12CdjK1ov1TwTHF1pmv7A859hMgxhQHF-Z14Xvn6_3J4/edit","5 heart monitors every person over 50 should consider buying ")</f>
        <v xml:space="preserve">5 heart monitors every person over 50 should consider buying </v>
      </c>
      <c r="H110" s="60" t="s">
        <v>1100</v>
      </c>
    </row>
    <row r="111" spans="1:29" ht="15.75" customHeight="1">
      <c r="A111" s="11" t="str">
        <f>HYPERLINK("https://docs.google.com/document/d/1PFh7ihtwLKA5BHxEwq2sQN8s92hfjsKOP-rBy4y8Ioo/edit","6 Things Every Lawyer Should Have in Their Office")</f>
        <v>6 Things Every Lawyer Should Have in Their Office</v>
      </c>
      <c r="H111" s="60" t="s">
        <v>1101</v>
      </c>
      <c r="I111" s="72" t="s">
        <v>1037</v>
      </c>
    </row>
    <row r="112" spans="1:29" ht="15.75" customHeight="1">
      <c r="A112" s="11" t="str">
        <f>HYPERLINK("https://docs.google.com/document/d/17Z9kYZmAvZE_isam4vVJXTVtC_DZA4cTuFqIzAz7cm8/edit","4 Awesome Partnerships AbbVie Forged Last Year")</f>
        <v>4 Awesome Partnerships AbbVie Forged Last Year</v>
      </c>
      <c r="H112" s="60" t="s">
        <v>1102</v>
      </c>
    </row>
    <row r="113" spans="1:29" ht="15.75" customHeight="1">
      <c r="A113" s="11" t="str">
        <f>HYPERLINK("https://docs.google.com/document/d/18sZCu3qi-few3b8kRrd6Add_nv8ry9tNPMd0k0tla7k/edit","How Can Hospitals Deal With A PR Crisis")</f>
        <v>How Can Hospitals Deal With A PR Crisis</v>
      </c>
      <c r="H113" s="60" t="s">
        <v>1103</v>
      </c>
    </row>
    <row r="114" spans="1:29" ht="15.75" customHeight="1">
      <c r="A114" s="71" t="str">
        <f>HYPERLINK("https://docs.google.com/document/d/1WYaANRuCME1fllwJdbv-wnNfsEu-5EuO4pmXie1vsFA/edit","Ten Awesome Companies You Didn’t Know Were Sued For ADA Website Compliance")</f>
        <v>Ten Awesome Companies You Didn’t Know Were Sued For ADA Website Compliance</v>
      </c>
      <c r="H114" s="60" t="s">
        <v>1104</v>
      </c>
    </row>
    <row r="115" spans="1:29" ht="15.75" customHeight="1">
      <c r="A115" s="71" t="str">
        <f>HYPERLINK("https://docs.google.com/document/d/1hKF-_YQtlVUyAY55zgRkBml_pW21KT_FH7OWqip00xg/edit","10 Companies That Give Just as Much as They Sell")</f>
        <v>10 Companies That Give Just as Much as They Sell</v>
      </c>
      <c r="B115" s="72" t="s">
        <v>1105</v>
      </c>
      <c r="C115" s="72" t="s">
        <v>1041</v>
      </c>
      <c r="H115" s="60" t="s">
        <v>1106</v>
      </c>
      <c r="I115" s="72" t="s">
        <v>1037</v>
      </c>
    </row>
    <row r="116" spans="1:29" ht="15.75" customHeight="1">
      <c r="A116" s="11" t="str">
        <f>HYPERLINK("https://docs.google.com/document/d/1zmF8evIp6oLF3CYqBTUgNAOVjUnFow_KaMLsr5Vmpv0/edit","How to Camp Like a Pro")</f>
        <v>How to Camp Like a Pro</v>
      </c>
      <c r="B116" s="3" t="s">
        <v>772</v>
      </c>
      <c r="C116" s="18"/>
      <c r="D116" s="18"/>
      <c r="E116" s="18"/>
      <c r="F116" s="18"/>
      <c r="G116" s="18"/>
      <c r="H116" s="61" t="s">
        <v>1107</v>
      </c>
      <c r="I116" s="72" t="s">
        <v>1037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5.75" customHeight="1">
      <c r="A117" s="11" t="str">
        <f>HYPERLINK("https://docs.google.com/document/d/1MfZijx5DesfJ0Z8S15v0X5SaByPHZtfA-XAVrFJmsqU/edit","How Can Artificial Intelligence Help Pharma In 2019")</f>
        <v>How Can Artificial Intelligence Help Pharma In 2019</v>
      </c>
      <c r="B117" s="3" t="s">
        <v>1108</v>
      </c>
      <c r="C117" s="3" t="s">
        <v>1003</v>
      </c>
      <c r="D117" s="18"/>
      <c r="E117" s="18"/>
      <c r="F117" s="18"/>
      <c r="G117" s="18"/>
      <c r="H117" s="61" t="s">
        <v>1109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5.75" customHeight="1">
      <c r="A118" s="71" t="str">
        <f>HYPERLINK("https://docs.google.com/document/d/18IHHN83dqTAeTIdRWazdmQzsxlzp2WMsPAjWB-2ba3g/edit","Four Free Strategies to Market Your App In 2019")</f>
        <v>Four Free Strategies to Market Your App In 2019</v>
      </c>
      <c r="B118" s="72" t="s">
        <v>1110</v>
      </c>
      <c r="H118" s="60" t="s">
        <v>1111</v>
      </c>
    </row>
    <row r="119" spans="1:29" ht="15.75" customHeight="1">
      <c r="A119" s="11" t="str">
        <f>HYPERLINK("https://docs.google.com/document/d/1MpclTkD__vmAFfDqkbFdwhFiufibnZLESmzpdrBJGMc/edit","How Ecommerce Companies Use Analytics To Convert Customers Online")</f>
        <v>How Ecommerce Companies Use Analytics To Convert Customers Online</v>
      </c>
      <c r="B119" s="3" t="s">
        <v>1112</v>
      </c>
      <c r="C119" s="18"/>
      <c r="D119" s="18"/>
      <c r="E119" s="18"/>
      <c r="F119" s="18"/>
      <c r="G119" s="18"/>
      <c r="H119" s="61" t="s">
        <v>1113</v>
      </c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5.75" customHeight="1">
      <c r="A120" s="11" t="str">
        <f>HYPERLINK("https://docs.google.com/document/d/1gcOO3UScmCAjMwJTFleb-ECnQNdh07g4slIf2QtUTPU/edit","Website ADA Compliance: A Beginners Guide")</f>
        <v>Website ADA Compliance: A Beginners Guide</v>
      </c>
      <c r="B120" s="61" t="s">
        <v>708</v>
      </c>
      <c r="C120" s="18"/>
      <c r="D120" s="18"/>
      <c r="E120" s="18"/>
      <c r="F120" s="18"/>
      <c r="G120" s="18"/>
      <c r="H120" s="61" t="s">
        <v>1114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5.75" customHeight="1">
      <c r="A121" s="71" t="str">
        <f>HYPERLINK("https://docs.google.com/document/d/1nxG1LwMSFN7ssDhZKGF6ry-fQgZQWdong1E97RMKkeo/edit","4 huge American companies sued over ADA website compliance")</f>
        <v>4 huge American companies sued over ADA website compliance</v>
      </c>
      <c r="B121" s="60" t="s">
        <v>1115</v>
      </c>
      <c r="H121" s="60" t="s">
        <v>1116</v>
      </c>
    </row>
    <row r="122" spans="1:29" ht="15.75" customHeight="1">
      <c r="A122" s="11" t="str">
        <f>HYPERLINK("https://docs.google.com/document/d/18s6PWH7CxF5bb464dTzdXIuzfFvduJrJBci1RUX9tcQ/edit","10 Healthtech Cardiovascular Companies to Watch")</f>
        <v>10 Healthtech Cardiovascular Companies to Watch</v>
      </c>
      <c r="B122" s="3" t="s">
        <v>1117</v>
      </c>
      <c r="C122" s="3" t="s">
        <v>1118</v>
      </c>
      <c r="D122" s="18"/>
      <c r="E122" s="18"/>
      <c r="F122" s="18"/>
      <c r="G122" s="18"/>
      <c r="H122" s="61" t="s">
        <v>1119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5.75" customHeight="1">
      <c r="A123" s="11" t="str">
        <f>HYPERLINK("https://docs.google.com/document/d/1TdthBAt-PtqQWQ3FNHyXUTgTC7Cl7K7j6nyqYvNk_uc/edit","4 Reasons Why Executives Should Pay Attention To Web Analytics")</f>
        <v>4 Reasons Why Executives Should Pay Attention To Web Analytics</v>
      </c>
      <c r="B123" s="61" t="s">
        <v>315</v>
      </c>
      <c r="C123" s="18"/>
      <c r="D123" s="18"/>
      <c r="E123" s="18"/>
      <c r="F123" s="18"/>
      <c r="G123" s="18"/>
      <c r="H123" s="61" t="s">
        <v>1120</v>
      </c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5.75" customHeight="1">
      <c r="A124" s="11" t="str">
        <f>HYPERLINK("https://docs.google.com/document/d/1FrAu4gA6HAO9Ucf-AXKz4dEu8_Z2RwxUiZiwCshmVYI/edit","5 Tips On How To Build A Health App That Goes Viral")</f>
        <v>5 Tips On How To Build A Health App That Goes Viral</v>
      </c>
      <c r="B124" s="61" t="s">
        <v>1121</v>
      </c>
      <c r="C124" s="18"/>
      <c r="D124" s="18"/>
      <c r="E124" s="18"/>
      <c r="F124" s="18"/>
      <c r="G124" s="18"/>
      <c r="H124" s="60" t="s">
        <v>1123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5.75" customHeight="1">
      <c r="A125" s="71" t="str">
        <f>HYPERLINK("https://docs.google.com/document/d/1KXEqvWNBfRMY8MrO4FmK9dtCet6929haOIz2ZdXy_NM/edit","6 Important Advances in Stem Cell Research")</f>
        <v>6 Important Advances in Stem Cell Research</v>
      </c>
      <c r="B125" s="60" t="s">
        <v>1124</v>
      </c>
      <c r="C125" s="72" t="s">
        <v>1125</v>
      </c>
    </row>
    <row r="126" spans="1:29" ht="15.75" customHeight="1">
      <c r="A126" s="36" t="str">
        <f>HYPERLINK("https://docs.google.com/document/d/1zavO7k9tU2dNTPYKvcBnip3wN3Xlm10aGZHCIitkfQg/edit","4 Marketing Tactics Every IT Company Should Leverage In 2019")</f>
        <v>4 Marketing Tactics Every IT Company Should Leverage In 2019</v>
      </c>
      <c r="B126" s="31"/>
      <c r="C126" s="102"/>
      <c r="D126" s="102"/>
      <c r="E126" s="102"/>
      <c r="F126" s="102"/>
      <c r="G126" s="102"/>
      <c r="H126" s="117" t="s">
        <v>1126</v>
      </c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</row>
    <row r="127" spans="1:29" ht="15.75" customHeight="1">
      <c r="A127" s="71" t="str">
        <f>HYPERLINK("https://docs.google.com/document/d/1FowCSamTGRGFmsoKUrKOCNmeNL9VXb2n3N226ljYxBI/edit","5 Web Analytic Metrics Healthcare Marketing Managers Should Track In 2019")</f>
        <v>5 Web Analytic Metrics Healthcare Marketing Managers Should Track In 2019</v>
      </c>
      <c r="B127" s="72" t="s">
        <v>1127</v>
      </c>
      <c r="C127" s="72" t="s">
        <v>1128</v>
      </c>
      <c r="H127" s="60" t="s">
        <v>1129</v>
      </c>
    </row>
    <row r="128" spans="1:29" ht="15.75" customHeight="1">
      <c r="A128" s="11" t="str">
        <f>HYPERLINK("https://docs.google.com/document/d/1t47Od3T2zvPTvwI6e83iEYCX2Li4tc8h9x9LgXGzB4E/edit#heading=h.jxt34qxrxczi"," 7 Health App Development Trends to Watch Out for in 2019")</f>
        <v xml:space="preserve"> 7 Health App Development Trends to Watch Out for in 2019</v>
      </c>
      <c r="B128" s="3" t="s">
        <v>1130</v>
      </c>
      <c r="C128" s="18"/>
      <c r="D128" s="18"/>
      <c r="E128" s="18"/>
      <c r="F128" s="18"/>
      <c r="G128" s="18"/>
      <c r="H128" s="61" t="s">
        <v>1131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5.75" customHeight="1">
      <c r="A129" s="11" t="str">
        <f>HYPERLINK("https://docs.google.com/document/d/1JzqqaBICUpQzRMd2ixHpF8fXAc1rtvpoRppcd4EG5kY/edit","5 Free Digital Marketing Techniques For Your Mobile App")</f>
        <v>5 Free Digital Marketing Techniques For Your Mobile App</v>
      </c>
      <c r="B129" s="3" t="s">
        <v>1132</v>
      </c>
      <c r="C129" s="18"/>
      <c r="D129" s="18"/>
      <c r="E129" s="18"/>
      <c r="F129" s="18"/>
      <c r="G129" s="18"/>
      <c r="H129" s="61" t="s">
        <v>1133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5.75" customHeight="1">
      <c r="A130" s="71" t="str">
        <f>HYPERLINK("https://docs.google.com/document/d/19vRil__fvQURe5tJrNNnZnckgpWWVl--zocJOWjYrS0/edit","6 Social Media Metrics You Need To Pay Attention To In 2019")</f>
        <v>6 Social Media Metrics You Need To Pay Attention To In 2019</v>
      </c>
      <c r="B130" s="72" t="s">
        <v>1134</v>
      </c>
      <c r="C130" s="72" t="s">
        <v>1007</v>
      </c>
      <c r="H130" s="60" t="s">
        <v>1135</v>
      </c>
    </row>
    <row r="131" spans="1:29" ht="15.75" customHeight="1">
      <c r="A131" s="11" t="str">
        <f>HYPERLINK("https://docs.google.com/document/d/1Bu-oM_OTvWKCVq4tCA7MP1JMtv4s4ht43VhFy8VrEBM/edit","9 COOL THINGS EVERY MARKETER SHOULD HAVE IN THEIR OFFICE")</f>
        <v>9 COOL THINGS EVERY MARKETER SHOULD HAVE IN THEIR OFFICE</v>
      </c>
      <c r="B131" s="32" t="s">
        <v>1136</v>
      </c>
      <c r="H131" s="60" t="s">
        <v>1137</v>
      </c>
      <c r="I131" s="72" t="s">
        <v>1037</v>
      </c>
    </row>
    <row r="132" spans="1:29" ht="15.75" customHeight="1">
      <c r="A132" s="11" t="str">
        <f>HYPERLINK("https://docs.google.com/document/d/1fxORniWomB1rt1CUD2yBqzKV3WJs-N3JZ1CapkyrhsQ/edit","Biggest News In 2018 From AbbVie")</f>
        <v>Biggest News In 2018 From AbbVie</v>
      </c>
      <c r="B132" s="61" t="s">
        <v>1140</v>
      </c>
      <c r="C132" s="3" t="s">
        <v>1003</v>
      </c>
      <c r="D132" s="18"/>
      <c r="E132" s="18"/>
      <c r="F132" s="18"/>
      <c r="G132" s="18"/>
      <c r="H132" s="61" t="s">
        <v>1141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5.75" customHeight="1">
      <c r="A133" s="71" t="str">
        <f>HYPERLINK("https://docs.google.com/document/d/1lR9NIumwsTvbtRLb-NxOLrgXeEicl2zwiX0K5xFGoXA/edit","Gym Essentials Every Person Working Out Should Have In Their Bag")</f>
        <v>Gym Essentials Every Person Working Out Should Have In Their Bag</v>
      </c>
      <c r="B133" s="3" t="s">
        <v>1142</v>
      </c>
      <c r="H133" s="60" t="s">
        <v>1143</v>
      </c>
      <c r="I133" s="72" t="s">
        <v>1037</v>
      </c>
    </row>
    <row r="134" spans="1:29" ht="15.75" customHeight="1">
      <c r="A134" s="11" t="str">
        <f>HYPERLINK("https://docs.google.com/document/d/1fZ4_57FLqBa9h978X2_R2kYKZYm4qIeT8SHHf1mAB_0/edit","Beyonce’s website sued for not being ADA compliant. Your company’s site could be next  ")</f>
        <v xml:space="preserve">Beyonce’s website sued for not being ADA compliant. Your company’s site could be next  </v>
      </c>
      <c r="B134" s="3" t="s">
        <v>1142</v>
      </c>
      <c r="C134" s="18"/>
      <c r="D134" s="18"/>
      <c r="E134" s="18"/>
      <c r="F134" s="18"/>
      <c r="G134" s="18"/>
      <c r="H134" s="61" t="s">
        <v>1144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5.75" customHeight="1">
      <c r="A135" s="71" t="str">
        <f>HYPERLINK("https://docs.google.com/document/d/1jgsFSONVWdLtHkVJFLRMztoTLz9PFSPgay0V_fvsSoc/edit","How Astaxanthin Is Good For Your Skincare")</f>
        <v>How Astaxanthin Is Good For Your Skincare</v>
      </c>
      <c r="B135" s="118" t="s">
        <v>1145</v>
      </c>
      <c r="H135" s="60" t="s">
        <v>1146</v>
      </c>
    </row>
    <row r="136" spans="1:29" ht="15.75" customHeight="1">
      <c r="A136" s="71" t="str">
        <f>HYPERLINK("https://docs.google.com/document/d/1BdPEPmEMXognquWtCNgqa1qvJRuxIIFMxmDs5du3g_E/edit","5 Telemedicine Apps You Should Know About in 2019")</f>
        <v>5 Telemedicine Apps You Should Know About in 2019</v>
      </c>
      <c r="B136" s="72" t="s">
        <v>1147</v>
      </c>
      <c r="H136" s="60" t="s">
        <v>1148</v>
      </c>
    </row>
    <row r="137" spans="1:29" ht="15.75" customHeight="1">
      <c r="A137" s="71" t="str">
        <f>HYPERLINK("https://docs.google.com/document/d/1-tR8Ga7ORv6_vQ_uC32-UaLXgkoVV5L5ZEnSEPcRP1w/edit","Benefits of Telemedicine")</f>
        <v>Benefits of Telemedicine</v>
      </c>
      <c r="B137" s="72" t="s">
        <v>1147</v>
      </c>
      <c r="H137" s="60" t="s">
        <v>1149</v>
      </c>
    </row>
    <row r="138" spans="1:29" ht="15.75" customHeight="1">
      <c r="A138" s="11" t="str">
        <f>HYPERLINK("https://docs.google.com/document/d/18iIi_kO6GxkhgcWp4oOZC9x5KmuYRJpIeg3zBOTVuss/edit","How Telemedicine Helps Patients in Remote Areas")</f>
        <v>How Telemedicine Helps Patients in Remote Areas</v>
      </c>
      <c r="C138" s="18"/>
      <c r="D138" s="18"/>
      <c r="E138" s="18"/>
      <c r="F138" s="18"/>
      <c r="G138" s="18"/>
      <c r="H138" s="61" t="s">
        <v>1150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5.75" customHeight="1">
      <c r="A139" s="11" t="str">
        <f>HYPERLINK("https://docs.google.com/document/d/1yb246PJn3y4tgV4eUA6rKGhKphsXLQ9znDEiVoU6ei4/edit","Effects of anxiety on heart disease")</f>
        <v>Effects of anxiety on heart disease</v>
      </c>
      <c r="B139" s="61" t="s">
        <v>1136</v>
      </c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5.75" customHeight="1">
      <c r="A140" s="71" t="str">
        <f>HYPERLINK("https://docs.google.com/document/d/1Ab0_f4t7ZLaZ9z_erpVdyg6i2goGOCpdNfHF1hBNwHk/edit","Why every development company in the healthcare field should become Hitrust certified ")</f>
        <v xml:space="preserve">Why every development company in the healthcare field should become Hitrust certified </v>
      </c>
      <c r="B140" s="72" t="s">
        <v>1153</v>
      </c>
      <c r="H140" s="60" t="s">
        <v>1154</v>
      </c>
    </row>
    <row r="141" spans="1:29" ht="15.75" customHeight="1">
      <c r="A141" s="11" t="str">
        <f>HYPERLINK("https://docs.google.com/document/d/1n_gMGXqS0yAM8xgZIwTcE5ysjr_XV2tYt0CLO3Zj2RM/edit","Medical Startups To Watch In 2019")</f>
        <v>Medical Startups To Watch In 2019</v>
      </c>
      <c r="B141" s="3" t="s">
        <v>1155</v>
      </c>
      <c r="C141" s="18"/>
      <c r="D141" s="18"/>
      <c r="E141" s="18"/>
      <c r="F141" s="18"/>
      <c r="G141" s="18"/>
      <c r="H141" s="61" t="s">
        <v>1156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5.75" customHeight="1">
      <c r="A142" s="71" t="str">
        <f>HYPERLINK("https://docs.google.com/document/d/1UQP8DRShar53LS9xEKG5Tqo0PQQhpEQ2MHYFdnwU6Os/edit","Just Pack It: 8 Items to Keep in Your Gym Bag")</f>
        <v>Just Pack It: 8 Items to Keep in Your Gym Bag</v>
      </c>
      <c r="B142" s="60" t="s">
        <v>1158</v>
      </c>
      <c r="C142" s="18"/>
      <c r="D142" s="18"/>
      <c r="E142" s="18"/>
      <c r="F142" s="18"/>
      <c r="G142" s="18"/>
      <c r="H142" s="61" t="s">
        <v>1159</v>
      </c>
      <c r="I142" s="3" t="s">
        <v>1037</v>
      </c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5.75" customHeight="1">
      <c r="A143" s="71" t="str">
        <f>HYPERLINK("https://docs.google.com/document/d/1WxWBPvxaqnyrHCM66pRWhK4QkYt-okIz8cZnN4FvIO8/edit","How exercise and lack thereof impacts your heart health")</f>
        <v>How exercise and lack thereof impacts your heart health</v>
      </c>
      <c r="B143" s="60" t="s">
        <v>1158</v>
      </c>
      <c r="C143" s="18"/>
      <c r="D143" s="18"/>
      <c r="E143" s="18"/>
      <c r="F143" s="18"/>
      <c r="G143" s="18"/>
      <c r="H143" s="61" t="s">
        <v>1160</v>
      </c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5.75" customHeight="1">
      <c r="A144" s="71" t="str">
        <f>HYPERLINK("https://docs.google.com/document/d/1YrZyGtKSpNDfYnJtXaY1kRUpxIlbvHKJF7y17wBvO3E/edit","How Astaxanthin Is Good For Your Skincare")</f>
        <v>How Astaxanthin Is Good For Your Skincare</v>
      </c>
      <c r="B144" s="72" t="s">
        <v>1161</v>
      </c>
      <c r="H144" s="60" t="s">
        <v>1162</v>
      </c>
    </row>
    <row r="145" spans="1:29" ht="15.75" customHeight="1">
      <c r="A145" s="71" t="str">
        <f>HYPERLINK("https://docs.google.com/document/d/13r2_TucTzPxkXOUV7EObco5BP-G76qDVEBrAYB_FN4E/edit","Weary, Worn, and Worthy:  10 Survival Items Every Teacher Needs in Their Classroom")</f>
        <v>Weary, Worn, and Worthy:  10 Survival Items Every Teacher Needs in Their Classroom</v>
      </c>
      <c r="B145" s="72" t="s">
        <v>1161</v>
      </c>
      <c r="C145" s="18"/>
      <c r="D145" s="18"/>
      <c r="E145" s="18"/>
      <c r="F145" s="18"/>
      <c r="G145" s="18"/>
      <c r="H145" s="61" t="s">
        <v>1163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5.75" customHeight="1">
      <c r="A146" s="11" t="str">
        <f>HYPERLINK("https://docs.google.com/document/d/1YMUl7zl0MGNeaHAUyucSf1TqyC445fGqQnGTtXwLqOk/edit","10 Items to Make Your Beach Day Perfect")</f>
        <v>10 Items to Make Your Beach Day Perfect</v>
      </c>
      <c r="B146" s="72" t="s">
        <v>1164</v>
      </c>
      <c r="C146" s="3" t="s">
        <v>1165</v>
      </c>
      <c r="D146" s="18"/>
      <c r="E146" s="18"/>
      <c r="F146" s="18"/>
      <c r="G146" s="18"/>
      <c r="H146" s="61" t="s">
        <v>1166</v>
      </c>
      <c r="I146" s="3" t="s">
        <v>1037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5.75" customHeight="1">
      <c r="A147" s="11" t="str">
        <f>HYPERLINK("https://docs.google.com/document/d/1ERz3QHmRGtTW6Jczj8X62wK4aAqIK5MgHClt12GuOTc/edit","10 Simple Steps to Healthier Habits")</f>
        <v>10 Simple Steps to Healthier Habits</v>
      </c>
      <c r="B147" s="72" t="s">
        <v>1167</v>
      </c>
      <c r="C147" s="18"/>
      <c r="D147" s="18"/>
      <c r="E147" s="18"/>
      <c r="F147" s="18"/>
      <c r="G147" s="18"/>
      <c r="H147" s="61" t="s">
        <v>1168</v>
      </c>
      <c r="I147" s="3" t="s">
        <v>1037</v>
      </c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5.75" customHeight="1">
      <c r="A148" s="71" t="str">
        <f>HYPERLINK("https://docs.google.com/document/d/1OZzonD8K0tPia4I56jEDxbWlVbq6U-21WKHHDLH9HVY/edit","How To Build A Health App Like A Pro")</f>
        <v>How To Build A Health App Like A Pro</v>
      </c>
      <c r="B148" s="72" t="s">
        <v>1169</v>
      </c>
      <c r="H148" s="60" t="s">
        <v>1170</v>
      </c>
    </row>
    <row r="149" spans="1:29" ht="15.75" customHeight="1">
      <c r="A149" s="11" t="str">
        <f>HYPERLINK("https://docs.google.com/document/d/1LzFkoAXXMtdE0WF6JJ_r_fTngU90hRcU3jGlN4IGl7w/edit","5 Health Benefits of Drinking More Water")</f>
        <v>5 Health Benefits of Drinking More Water</v>
      </c>
      <c r="B149" s="3" t="s">
        <v>1171</v>
      </c>
      <c r="C149" s="18"/>
      <c r="D149" s="18"/>
      <c r="E149" s="18"/>
      <c r="F149" s="18"/>
      <c r="G149" s="18"/>
      <c r="H149" s="61" t="s">
        <v>1172</v>
      </c>
      <c r="I149" s="3" t="s">
        <v>1037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5.75" customHeight="1">
      <c r="A150" s="71" t="str">
        <f>HYPERLINK("https://docs.google.com/document/d/1dwIzDkUJKb-QS3nCvheWTKtwww5kdQQGFniCZgCtGi0/edit","5 Telemedicine Apps You Should Know About in 2019")</f>
        <v>5 Telemedicine Apps You Should Know About in 2019</v>
      </c>
      <c r="B150" s="72" t="s">
        <v>1173</v>
      </c>
      <c r="C150" s="18"/>
      <c r="D150" s="18"/>
      <c r="E150" s="18"/>
      <c r="F150" s="18"/>
      <c r="G150" s="18"/>
      <c r="H150" s="61" t="s">
        <v>1174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5.75" customHeight="1">
      <c r="A151" s="71" t="str">
        <f>HYPERLINK("https://docs.google.com/document/d/1NG7zexUrF8AX3B-iAnoKocBMUFbZoso7nlPxr7ALwM0/edit#","7 Ways Music Can Serve as Medicine")</f>
        <v>7 Ways Music Can Serve as Medicine</v>
      </c>
      <c r="B151" s="60" t="s">
        <v>1175</v>
      </c>
      <c r="H151" s="60" t="s">
        <v>1176</v>
      </c>
    </row>
    <row r="152" spans="1:29" ht="15.75" customHeight="1">
      <c r="A152" s="11" t="str">
        <f>HYPERLINK("https://docs.google.com/document/d/1tnI-zRuz1Ui8zpOfnXUPZMohUTi98V2g5hGauFDQIlA/edit","The Promises That Artificial Intelligence Hold For Cardiology")</f>
        <v>The Promises That Artificial Intelligence Hold For Cardiology</v>
      </c>
      <c r="B152" s="61" t="s">
        <v>1177</v>
      </c>
      <c r="C152" s="3" t="s">
        <v>1178</v>
      </c>
      <c r="D152" s="18"/>
      <c r="E152" s="18"/>
      <c r="F152" s="18"/>
      <c r="G152" s="18"/>
      <c r="H152" s="61" t="s">
        <v>1179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5.75" customHeight="1">
      <c r="A153" s="11" t="str">
        <f>HYPERLINK("https://docs.google.com/document/d/1KHyLDx8WHdxqSrLoI7AwDEOJIInCeSoiVSU0E_R5tSM/edit#","How To Use Social Media To Get Downloads For Your App")</f>
        <v>How To Use Social Media To Get Downloads For Your App</v>
      </c>
      <c r="B153" s="61" t="s">
        <v>1182</v>
      </c>
      <c r="C153" s="3" t="s">
        <v>1183</v>
      </c>
      <c r="D153" s="18"/>
      <c r="E153" s="18"/>
      <c r="F153" s="18"/>
      <c r="G153" s="18"/>
      <c r="H153" s="61" t="s">
        <v>1184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5.75" customHeight="1">
      <c r="A154" s="11" t="str">
        <f>HYPERLINK("https://docs.google.com/document/d/1ibaFAmGQKGlC9XQ5G8P7CNFoWjomWrou72YXhNMCUxI/edit","How HITRUST Helps Organizations Stay Ahead of the Curve")</f>
        <v>How HITRUST Helps Organizations Stay Ahead of the Curve</v>
      </c>
      <c r="B154" s="3" t="s">
        <v>1185</v>
      </c>
      <c r="C154" s="18"/>
      <c r="D154" s="18"/>
      <c r="E154" s="18"/>
      <c r="F154" s="18"/>
      <c r="G154" s="18"/>
      <c r="H154" s="61" t="s">
        <v>1186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5.75" customHeight="1">
      <c r="A155" s="11" t="str">
        <f>HYPERLINK("https://docs.google.com/document/d/1dKOGBDRbIpyKQEqwFgyc2M4L3zPnoPpCa9UEqJwC7ak/edit","Astaxanthin – Nature’s Most Powerful Antioxidant")</f>
        <v>Astaxanthin – Nature’s Most Powerful Antioxidant</v>
      </c>
      <c r="B155" s="3" t="s">
        <v>1187</v>
      </c>
      <c r="C155" s="18"/>
      <c r="D155" s="18"/>
      <c r="E155" s="18"/>
      <c r="F155" s="18"/>
      <c r="G155" s="18"/>
      <c r="H155" s="61" t="s">
        <v>1188</v>
      </c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5.75" customHeight="1">
      <c r="A156" s="11" t="str">
        <f>HYPERLINK("https://docs.google.com/document/d/1Ab0_f4t7ZLaZ9z_erpVdyg6i2goGOCpdNfHF1hBNwHk/edit","Why every development company in the healthcare field should become Hitrust certified ")</f>
        <v xml:space="preserve">Why every development company in the healthcare field should become Hitrust certified </v>
      </c>
      <c r="B156" s="3" t="s">
        <v>1189</v>
      </c>
      <c r="C156" s="18"/>
      <c r="D156" s="18"/>
      <c r="E156" s="18"/>
      <c r="F156" s="18"/>
      <c r="G156" s="18"/>
      <c r="H156" s="61" t="s">
        <v>1190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5.75" customHeight="1">
      <c r="A157" s="71" t="str">
        <f>HYPERLINK("https://docs.google.com/document/d/1sI8j5Ruz3So-N9r18vvJuvgukvtxGBUKDojnqaHymJs/edit","The Most Popular Telemedicine Apps In America Today")</f>
        <v>The Most Popular Telemedicine Apps In America Today</v>
      </c>
      <c r="B157" s="72" t="s">
        <v>1191</v>
      </c>
      <c r="C157" s="18"/>
      <c r="D157" s="18"/>
      <c r="E157" s="18"/>
      <c r="F157" s="18"/>
      <c r="G157" s="18"/>
      <c r="H157" s="61" t="s">
        <v>1192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5.75" customHeight="1">
      <c r="A158" s="11" t="str">
        <f>HYPERLINK("https://docs.google.com/document/d/1sGrSecfQlC7C1BalTSue07HNYgA5H-JCJU1sKTlyQ5g/edit","10 Benefits of Telemedicine for Both Healthcare Providers and Their Patients")</f>
        <v>10 Benefits of Telemedicine for Both Healthcare Providers and Their Patients</v>
      </c>
      <c r="B158" s="3" t="s">
        <v>1193</v>
      </c>
      <c r="C158" s="18"/>
      <c r="D158" s="18"/>
      <c r="E158" s="18"/>
      <c r="F158" s="18"/>
      <c r="G158" s="18"/>
      <c r="H158" s="61" t="s">
        <v>1194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5.75" customHeight="1">
      <c r="A159" s="71" t="str">
        <f>HYPERLINK("https://docs.google.com/document/d/1PghxSm0scFTR8lfiydt2G87tDeKhYsmt2BupfPAIqv8/edit","5 Steps to Make Your Website ADA compliant")</f>
        <v>5 Steps to Make Your Website ADA compliant</v>
      </c>
      <c r="B159" s="72" t="s">
        <v>1195</v>
      </c>
      <c r="C159" s="3" t="s">
        <v>1196</v>
      </c>
      <c r="H159" s="60" t="s">
        <v>1197</v>
      </c>
    </row>
    <row r="160" spans="1:29" ht="15.75" customHeight="1">
      <c r="A160" s="71" t="str">
        <f>HYPERLINK("https://docs.google.com/document/d/1Aohgoozd7faBywngi3DzoY6IDnt3g6ifhmNSYEGJAEI/edit","Healthcare trends that will change the healthcare industry in 2019")</f>
        <v>Healthcare trends that will change the healthcare industry in 2019</v>
      </c>
      <c r="B160" s="72" t="s">
        <v>1198</v>
      </c>
      <c r="H160" s="60" t="s">
        <v>1199</v>
      </c>
    </row>
    <row r="161" spans="1:29" ht="15.75" customHeight="1">
      <c r="A161" s="11" t="str">
        <f>HYPERLINK("https://docs.google.com/document/d/1ZmvOH0pgcYQ2SAC-VQGuzSHK4R10kPGB4nDCl6Jw56I/edit","5 HIPAA Compliance Questions Every IT Vendor Must Answer")</f>
        <v>5 HIPAA Compliance Questions Every IT Vendor Must Answer</v>
      </c>
      <c r="B161" s="3" t="s">
        <v>1200</v>
      </c>
      <c r="C161" s="18"/>
      <c r="D161" s="18"/>
      <c r="E161" s="18"/>
      <c r="F161" s="18"/>
      <c r="G161" s="18"/>
      <c r="H161" s="61" t="s">
        <v>1201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5.75" customHeight="1">
      <c r="A162" s="11" t="str">
        <f>HYPERLINK("https://docs.google.com/document/d/14291vpXPRF2bJWLrwAyKeePH6oEjcGUn5fBfJZeRmZo/edit","10 Reasons to Take Astaxanthin")</f>
        <v>10 Reasons to Take Astaxanthin</v>
      </c>
      <c r="B162" s="72" t="s">
        <v>1202</v>
      </c>
      <c r="C162" s="3" t="s">
        <v>1196</v>
      </c>
      <c r="D162" s="18"/>
      <c r="E162" s="18"/>
      <c r="F162" s="18"/>
      <c r="G162" s="18"/>
      <c r="H162" s="61" t="s">
        <v>1203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5.75" customHeight="1">
      <c r="A163" s="11" t="str">
        <f>HYPERLINK("https://docs.google.com/document/d/1xH7ypdvZbkeqUeXLfFecZjk285ZpNUloRq2F5XiYLUc/edit","4 Social Media Tips for Software Companies")</f>
        <v>4 Social Media Tips for Software Companies</v>
      </c>
      <c r="B163" s="3" t="s">
        <v>1204</v>
      </c>
      <c r="C163" s="3" t="s">
        <v>1196</v>
      </c>
      <c r="D163" s="18"/>
      <c r="E163" s="18"/>
      <c r="F163" s="18"/>
      <c r="G163" s="18"/>
      <c r="H163" s="61" t="s">
        <v>1205</v>
      </c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5.75" customHeight="1">
      <c r="A164" s="11" t="str">
        <f>HYPERLINK("https://docs.google.com/document/d/103tCYwXF_5CL-SvyZsO-VNfgoedIKWK5kEJOJNzJEWo/edit","Why America should Legalize Pot")</f>
        <v>Why America should Legalize Pot</v>
      </c>
      <c r="B164" s="3" t="s">
        <v>1206</v>
      </c>
      <c r="C164" s="18"/>
      <c r="D164" s="18"/>
      <c r="E164" s="18"/>
      <c r="F164" s="18"/>
      <c r="G164" s="18"/>
      <c r="H164" s="61" t="s">
        <v>1207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5.75" customHeight="1">
      <c r="A165" s="71" t="str">
        <f>HYPERLINK("https://docs.google.com/document/d/1tVkxheLN6LPJxRM0J6cVaOY6Sb-7KqSofL_MtREUxwY/edit","How HITRUST Helps Healthcare Orgs Prevent Cyber Attacks 
")</f>
        <v>How HITRUST Helps Healthcare Orgs Prevent Cyber Attacks _x000D_</v>
      </c>
      <c r="B165" s="3" t="s">
        <v>1208</v>
      </c>
      <c r="C165" s="18"/>
      <c r="D165" s="18"/>
      <c r="E165" s="18"/>
      <c r="F165" s="18"/>
      <c r="G165" s="18"/>
      <c r="H165" s="61" t="s">
        <v>1209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5.75" customHeight="1">
      <c r="A166" s="11" t="str">
        <f>HYPERLINK("https://docs.google.com/document/d/1jnYI2O1Fbu4ArQx1kRXoch4aA8DWAPJo9tki8UKqrvE/edit","Congress Will Have a Hearing on Access to Banking Services by Marijuana Companies")</f>
        <v>Congress Will Have a Hearing on Access to Banking Services by Marijuana Companies</v>
      </c>
      <c r="B166" s="3" t="s">
        <v>1210</v>
      </c>
      <c r="C166" s="18"/>
      <c r="D166" s="18"/>
      <c r="E166" s="18"/>
      <c r="F166" s="18"/>
      <c r="G166" s="18"/>
      <c r="H166" s="61" t="s">
        <v>1211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5.75" customHeight="1">
      <c r="A167" s="11" t="str">
        <f>HYPERLINK("https://docs.google.com/document/d/1ZVC-5xufZMIPADnBRMRFPm-yNWnKqaC5sIjhXnEVq1Y/edit","Five states likely to legalize marijuana in 2019")</f>
        <v>Five states likely to legalize marijuana in 2019</v>
      </c>
      <c r="B167" s="3" t="s">
        <v>1212</v>
      </c>
      <c r="C167" s="18"/>
      <c r="D167" s="18"/>
      <c r="E167" s="18"/>
      <c r="F167" s="18"/>
      <c r="G167" s="18"/>
      <c r="H167" s="61" t="s">
        <v>1213</v>
      </c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5.75" customHeight="1">
      <c r="A168" s="11" t="str">
        <f>HYPERLINK("https://docs.google.com/document/d/1sVxEmhmoJ0GkeGKdyoVdMaTf1EbG7JhznLKKo2_u2dE/edit","Five types of patients that need telemedicine services")</f>
        <v>Five types of patients that need telemedicine services</v>
      </c>
      <c r="B168" s="61" t="s">
        <v>1214</v>
      </c>
      <c r="C168" s="18"/>
      <c r="D168" s="18"/>
      <c r="E168" s="18"/>
      <c r="F168" s="18"/>
      <c r="G168" s="18"/>
      <c r="H168" s="61" t="s">
        <v>1215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5.75" customHeight="1">
      <c r="A169" s="71" t="str">
        <f>HYPERLINK("https://docs.google.com/document/d/1cepIu3rhfwyXvoSDmOfqlPWEmr5uFTCCRj2zMPWwd3U/edit","4 Reasons Healthcare Executives Should Pay Attention To Web Analytics ")</f>
        <v xml:space="preserve">4 Reasons Healthcare Executives Should Pay Attention To Web Analytics </v>
      </c>
      <c r="B169" s="72" t="s">
        <v>370</v>
      </c>
      <c r="H169" s="60" t="s">
        <v>1216</v>
      </c>
    </row>
    <row r="170" spans="1:29" ht="15.75" customHeight="1">
      <c r="A170" s="11" t="str">
        <f>HYPERLINK("https://docs.google.com/document/d/14i3Vr9EoT6Rmg2U0LSQFUe1QDzOGcHHNlG287b8--uM/edit","What You Must Watch Out For Before Launching Your Medical Start Up")</f>
        <v>What You Must Watch Out For Before Launching Your Medical Start Up</v>
      </c>
      <c r="B170" s="3" t="s">
        <v>1217</v>
      </c>
      <c r="C170" s="3" t="s">
        <v>1218</v>
      </c>
      <c r="D170" s="18"/>
      <c r="E170" s="18"/>
      <c r="F170" s="18"/>
      <c r="G170" s="18"/>
      <c r="H170" s="61" t="s">
        <v>1219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5.75" customHeight="1">
      <c r="A171" s="11" t="str">
        <f>HYPERLINK("https://docs.google.com/document/d/1fP6HeoEWefHOxu8-bA6cWQ8KnS3eF5-eLyJRmt0krEI/edit","How To Improve Your Mobile App With Analytics")</f>
        <v>How To Improve Your Mobile App With Analytics</v>
      </c>
      <c r="B171" s="3" t="s">
        <v>1217</v>
      </c>
      <c r="C171" s="18"/>
      <c r="D171" s="18"/>
      <c r="E171" s="18"/>
      <c r="F171" s="18"/>
      <c r="G171" s="18"/>
      <c r="H171" s="61" t="s">
        <v>1220</v>
      </c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5.75" customHeight="1">
      <c r="A172" s="11" t="str">
        <f>HYPERLINK("https://docs.google.com/document/d/1lcr0FMLICDexHFiiHwHljICQ4XSBM6bEQVnW2vY5_1U/edit","5 Amazing Telemedicine Apps On the Market today")</f>
        <v>5 Amazing Telemedicine Apps On the Market today</v>
      </c>
      <c r="B172" s="3" t="s">
        <v>1221</v>
      </c>
      <c r="C172" s="3" t="s">
        <v>1196</v>
      </c>
      <c r="D172" s="18"/>
      <c r="E172" s="18"/>
      <c r="F172" s="18"/>
      <c r="G172" s="18"/>
      <c r="H172" s="61" t="s">
        <v>1222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5.75" customHeight="1">
      <c r="A173" s="11" t="str">
        <f>HYPERLINK("https://docs.google.com/document/d/1l6fwjmUivRRg7ODje9gTC0RNkFpnTy_EcjFvFVfUeCA/edit","Heart disease: factors contributing to its rise and how to combat those factors")</f>
        <v>Heart disease: factors contributing to its rise and how to combat those factors</v>
      </c>
      <c r="B173" s="3" t="s">
        <v>1223</v>
      </c>
      <c r="C173" s="3"/>
      <c r="D173" s="18"/>
      <c r="E173" s="18"/>
      <c r="F173" s="18"/>
      <c r="G173" s="18"/>
      <c r="H173" s="61" t="s">
        <v>1224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5.75" customHeight="1">
      <c r="A174" s="11" t="str">
        <f>HYPERLINK("https://docs.google.com/document/d/1wiX0nqP_YUwV9MZ_zUfKBBl8FPmRHNhmmlFb12s-DuQ/edit","Effects of anxiety on heart disease")</f>
        <v>Effects of anxiety on heart disease</v>
      </c>
      <c r="B174" s="3" t="s">
        <v>1225</v>
      </c>
      <c r="C174" s="18"/>
      <c r="D174" s="18"/>
      <c r="E174" s="18"/>
      <c r="F174" s="18"/>
      <c r="G174" s="18"/>
      <c r="H174" s="61" t="s">
        <v>1226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5.75" customHeight="1">
      <c r="A175" s="11" t="str">
        <f>HYPERLINK("https://docs.google.com/document/d/1-HVOsEf27y3RD6qCt-MSQtherMAVow5u85ly9_NyTkE/edit","4 Awesome Ways Blockchain Is Used In Healthcare")</f>
        <v>4 Awesome Ways Blockchain Is Used In Healthcare</v>
      </c>
      <c r="B175" s="3" t="s">
        <v>1227</v>
      </c>
      <c r="C175" s="18"/>
      <c r="D175" s="18"/>
      <c r="E175" s="18"/>
      <c r="F175" s="18"/>
      <c r="G175" s="18"/>
      <c r="H175" s="61" t="s">
        <v>1228</v>
      </c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5.75" customHeight="1">
      <c r="A176" s="11" t="str">
        <f>HYPERLINK("https://docs.google.com/document/d/15dSBEt-uRVzdBldUzodP2CGkvQ18Z_hU7NTnaOrBYuA/edit","Virtual Reality and the Future of Gaming")</f>
        <v>Virtual Reality and the Future of Gaming</v>
      </c>
      <c r="B176" s="3" t="s">
        <v>1229</v>
      </c>
      <c r="C176" s="18"/>
      <c r="D176" s="18"/>
      <c r="E176" s="18"/>
      <c r="F176" s="18"/>
      <c r="G176" s="18"/>
      <c r="H176" s="61" t="s">
        <v>1230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5.75" customHeight="1">
      <c r="A177" s="71" t="str">
        <f>HYPERLINK("https://docs.google.com/document/d/1oCMfOn1GfaoydTOhs99JXOsVlV4mmRLQD5M98zrEd5g/edit#heading=h.gjdgxs","Tricks, Tips, and Strategies on How to Be Competitive in the Mobile App Market")</f>
        <v>Tricks, Tips, and Strategies on How to Be Competitive in the Mobile App Market</v>
      </c>
      <c r="B177" s="72" t="s">
        <v>1231</v>
      </c>
      <c r="C177" s="3"/>
      <c r="H177" s="60" t="s">
        <v>1232</v>
      </c>
    </row>
    <row r="178" spans="1:29" ht="15.75" customHeight="1">
      <c r="A178" s="71" t="str">
        <f>HYPERLINK("https://docs.google.com/document/d/1Kt1fZr5mZKKkRM_tUibgpxClKKgqxk-icIHDflgbZwk/edit","How AI is changing Big Pharma")</f>
        <v>How AI is changing Big Pharma</v>
      </c>
      <c r="B178" s="72" t="s">
        <v>1233</v>
      </c>
      <c r="H178" s="60" t="s">
        <v>1234</v>
      </c>
    </row>
    <row r="179" spans="1:29" ht="15.75" customHeight="1">
      <c r="A179" s="11" t="str">
        <f>HYPERLINK("https://docs.google.com/document/d/1mUlIUHDE5bSWaeq8n31WcOowaQB0lG52pkIRDBqU2hU/edit","Avoid Website Compliance Mistakes Industry Giants like Amazon and Netflix are Making
")</f>
        <v>Avoid Website Compliance Mistakes Industry Giants like Amazon and Netflix are Making_x000D_</v>
      </c>
      <c r="B179" s="3" t="s">
        <v>1235</v>
      </c>
      <c r="C179" s="3" t="s">
        <v>1236</v>
      </c>
      <c r="D179" s="18"/>
      <c r="E179" s="18"/>
      <c r="F179" s="18"/>
      <c r="G179" s="18"/>
      <c r="H179" s="61" t="s">
        <v>1237</v>
      </c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5.75" customHeight="1">
      <c r="A180" s="71" t="str">
        <f>HYPERLINK("https://docs.google.com/document/d/1y0oWVPN7eczMwfDbB8hNJIz87tl7uTUpE-hUoJwX5cA/edit","Why Your Organization Should Commit to ADA Compliance")</f>
        <v>Why Your Organization Should Commit to ADA Compliance</v>
      </c>
      <c r="B180" s="72" t="s">
        <v>1238</v>
      </c>
      <c r="C180" s="72" t="s">
        <v>1239</v>
      </c>
      <c r="H180" s="60" t="s">
        <v>1240</v>
      </c>
    </row>
    <row r="181" spans="1:29" ht="15.75" customHeight="1">
      <c r="A181" s="11" t="str">
        <f>HYPERLINK("https://docs.google.com/document/d/1C_qQmRo_avh22kPb1fNNGc7IAdj8xQRwtnrljd9F98U/edit","Entrepreneurs and new technology in medicine")</f>
        <v>Entrepreneurs and new technology in medicine</v>
      </c>
      <c r="B181" s="3"/>
      <c r="C181" s="18"/>
      <c r="D181" s="18"/>
      <c r="E181" s="18"/>
      <c r="F181" s="18"/>
      <c r="G181" s="18"/>
      <c r="H181" s="61" t="s">
        <v>1241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5.75" customHeight="1">
      <c r="A182" s="11" t="str">
        <f>HYPERLINK("https://docs.google.com/document/d/1rtByQCz7nm1p70Ecy-Ov46SbiGnMqpOlaA0Kx33bKas/edit","Advances In Stem Cell Technology And Its Impact On Medicine")</f>
        <v>Advances In Stem Cell Technology And Its Impact On Medicine</v>
      </c>
      <c r="B182" s="3" t="s">
        <v>319</v>
      </c>
      <c r="C182" s="18"/>
      <c r="D182" s="18"/>
      <c r="E182" s="18"/>
      <c r="F182" s="18"/>
      <c r="G182" s="18"/>
      <c r="H182" s="61" t="s">
        <v>1242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5.75" customHeight="1">
      <c r="A183" s="11" t="str">
        <f>HYPERLINK("https://docs.google.com/document/d/1byjdRZ9QkBevU_VtMZ3MlEN5PbToBp1zeSi_pXBI4Bw/edit","6 Ways Your Website Is Ruining Your IT Marketing Efforts")</f>
        <v>6 Ways Your Website Is Ruining Your IT Marketing Efforts</v>
      </c>
      <c r="B183" s="3" t="s">
        <v>1243</v>
      </c>
      <c r="C183" s="18"/>
      <c r="D183" s="18"/>
      <c r="E183" s="18"/>
      <c r="F183" s="18"/>
      <c r="G183" s="18"/>
      <c r="H183" s="61" t="s">
        <v>1244</v>
      </c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5.75" customHeight="1">
      <c r="A184" s="11" t="str">
        <f>HYPERLINK("https://docs.google.com/document/d/1wWjwycjAsK21iIsKvNdnnZVS6k-JszA3qQH_IiPKotM/edit","How To Understand Your Market For Better Mobile App Adoption")</f>
        <v>How To Understand Your Market For Better Mobile App Adoption</v>
      </c>
      <c r="B184" s="72" t="s">
        <v>1246</v>
      </c>
      <c r="C184" s="18"/>
      <c r="D184" s="18"/>
      <c r="E184" s="18"/>
      <c r="F184" s="18"/>
      <c r="G184" s="18"/>
      <c r="H184" s="61" t="s">
        <v>1247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5.75" customHeight="1">
      <c r="A185" s="11" t="str">
        <f>HYPERLINK("https://docs.google.com/document/d/1xVH9IP_x1H47PP-6S_jdL0qPF5yaL3b-MORjv2amfKM/edit","4 Strategies That Will Help You Understand Your Market For Better Mobile App Adoption")</f>
        <v>4 Strategies That Will Help You Understand Your Market For Better Mobile App Adoption</v>
      </c>
      <c r="B185" s="72" t="s">
        <v>1248</v>
      </c>
      <c r="C185" s="18"/>
      <c r="D185" s="18"/>
      <c r="E185" s="18"/>
      <c r="F185" s="18"/>
      <c r="G185" s="18"/>
      <c r="H185" s="61" t="s">
        <v>1249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5.75" customHeight="1">
      <c r="A186" s="72" t="s">
        <v>1250</v>
      </c>
      <c r="H186" s="60" t="s">
        <v>1251</v>
      </c>
      <c r="I186" s="72" t="s">
        <v>1037</v>
      </c>
    </row>
    <row r="187" spans="1:29" ht="15.75" customHeight="1">
      <c r="A187" s="11" t="str">
        <f>HYPERLINK("https://docs.google.com/document/d/1eSgnEv_A2QeprmJOXifuUk0lnbQGZdEV45qEqpYJ9zM/edit","Tips for Building Successful mHealth Apps")</f>
        <v>Tips for Building Successful mHealth Apps</v>
      </c>
      <c r="B187" s="61" t="s">
        <v>275</v>
      </c>
      <c r="C187" s="3" t="s">
        <v>1252</v>
      </c>
      <c r="D187" s="18"/>
      <c r="E187" s="18"/>
      <c r="F187" s="18"/>
      <c r="G187" s="18"/>
      <c r="H187" s="61" t="s">
        <v>1253</v>
      </c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5.75" customHeight="1">
      <c r="A188" s="11" t="str">
        <f>HYPERLINK("https://docs.google.com/document/d/1QoiIYjgWracl7TWBRVbqVtOgAtFXD2pVSPhZgtCkRrQ/edit","The One IT Marketing Strategy You Should Be Focusing on in 2019")</f>
        <v>The One IT Marketing Strategy You Should Be Focusing on in 2019</v>
      </c>
      <c r="B188" s="72" t="s">
        <v>1254</v>
      </c>
      <c r="C188" s="3" t="s">
        <v>1255</v>
      </c>
      <c r="D188" s="18"/>
      <c r="E188" s="18"/>
      <c r="F188" s="18"/>
      <c r="G188" s="18"/>
      <c r="H188" s="61" t="s">
        <v>1256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5.75" customHeight="1">
      <c r="A189" s="11" t="str">
        <f>HYPERLINK("https://docs.google.com/document/d/1q6IItbc9Zawh9wZCTRug1AVVGC9muPYbmq00OD66Gz8/edit","Major partnerships in Pharma using AI")</f>
        <v>Major partnerships in Pharma using AI</v>
      </c>
      <c r="B189" s="3" t="s">
        <v>1257</v>
      </c>
      <c r="C189" s="18"/>
      <c r="D189" s="18"/>
      <c r="E189" s="18"/>
      <c r="F189" s="18"/>
      <c r="G189" s="18"/>
      <c r="H189" s="61" t="s">
        <v>1258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5.75" customHeight="1">
      <c r="A190" s="11" t="str">
        <f>HYPERLINK("https://docs.google.com/document/d/1C7am4LBNiRO81s1wGgSwcOEJrGXi1OV9JgI37WyNp_k/edit","How Banks Should Market Their Services to Millennials")</f>
        <v>How Banks Should Market Their Services to Millennials</v>
      </c>
      <c r="B190" s="61" t="s">
        <v>1259</v>
      </c>
      <c r="C190" s="3" t="s">
        <v>1260</v>
      </c>
      <c r="D190" s="18"/>
      <c r="E190" s="18"/>
      <c r="F190" s="18"/>
      <c r="G190" s="18"/>
      <c r="H190" s="61" t="s">
        <v>1261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5.75" customHeight="1">
      <c r="A191" s="72" t="s">
        <v>1262</v>
      </c>
      <c r="H191" s="60" t="s">
        <v>1263</v>
      </c>
    </row>
    <row r="192" spans="1:29" ht="15.75" customHeight="1">
      <c r="A192" s="11" t="str">
        <f>HYPERLINK("https://docs.google.com/document/d/1Dw3i6lyBqIq4cIijs4ThhVgB4NwYp7rZTXur4po2QC0/edit","15 Items to Pack for Your Next Global Excursion")</f>
        <v>15 Items to Pack for Your Next Global Excursion</v>
      </c>
      <c r="B192" s="3" t="s">
        <v>1264</v>
      </c>
      <c r="C192" s="18"/>
      <c r="D192" s="18"/>
      <c r="E192" s="18"/>
      <c r="F192" s="18"/>
      <c r="G192" s="18"/>
      <c r="H192" s="61" t="s">
        <v>1265</v>
      </c>
      <c r="I192" s="3" t="s">
        <v>1037</v>
      </c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5.75" customHeight="1">
      <c r="A193" s="11" t="str">
        <f>HYPERLINK("https://docs.google.com/document/d/1ITzINbGZhYwMp6pvv0lDTQtKYw7kPC43l0yr1bLdXeI/edit","How Telemedicine Is Restoring Patients’ Trust in Doctors")</f>
        <v>How Telemedicine Is Restoring Patients’ Trust in Doctors</v>
      </c>
      <c r="B193" s="3" t="s">
        <v>1266</v>
      </c>
      <c r="C193" s="18"/>
      <c r="D193" s="18"/>
      <c r="E193" s="18"/>
      <c r="F193" s="18"/>
      <c r="G193" s="18"/>
      <c r="H193" s="61" t="s">
        <v>1267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5.75" customHeight="1">
      <c r="A194" s="11" t="str">
        <f>HYPERLINK("https://docs.google.com/document/d/16vQak47wjPEInJYuOp616VlxK9eBgd5ILSZMU4Q_YvQ/edit","10 Gifts for the Eco-Conscious Friend")</f>
        <v>10 Gifts for the Eco-Conscious Friend</v>
      </c>
      <c r="B194" s="3" t="s">
        <v>1268</v>
      </c>
      <c r="C194" s="18"/>
      <c r="D194" s="18"/>
      <c r="E194" s="18"/>
      <c r="F194" s="18"/>
      <c r="G194" s="18"/>
      <c r="H194" s="61" t="s">
        <v>1269</v>
      </c>
      <c r="I194" s="3" t="s">
        <v>1037</v>
      </c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5.75" customHeight="1">
      <c r="A195" s="11" t="str">
        <f>HYPERLINK("https://docs.google.com/document/d/1DM4eBJRun9uZr8bRLSGWFwW9CiVWW_teOcofd434W94/edit","How To Get Your App Noticed With The Help Of An Agency")</f>
        <v>How To Get Your App Noticed With The Help Of An Agency</v>
      </c>
      <c r="B195" s="3" t="s">
        <v>1270</v>
      </c>
      <c r="C195" s="18"/>
      <c r="D195" s="18"/>
      <c r="E195" s="18"/>
      <c r="F195" s="18"/>
      <c r="G195" s="18"/>
      <c r="H195" s="61" t="s">
        <v>1271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5.75" customHeight="1">
      <c r="A196" s="11" t="str">
        <f>HYPERLINK("https://docs.google.com/document/d/1zEy_pwv-zK1q3w1yRWEabxrrMjRqyQzN_wwtwiS60O8/edit","Amazing Achievements in Healthcare This Year")</f>
        <v>Amazing Achievements in Healthcare This Year</v>
      </c>
      <c r="B196" s="3" t="s">
        <v>1272</v>
      </c>
      <c r="C196" s="3"/>
      <c r="D196" s="18"/>
      <c r="E196" s="18"/>
      <c r="F196" s="18"/>
      <c r="G196" s="18"/>
      <c r="H196" s="61" t="s">
        <v>1273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5.75" customHeight="1">
      <c r="A197" s="11" t="str">
        <f>HYPERLINK("https://docs.google.com/document/d/1Es8hqFMk8qiNyycWdFLMxZrA_28U74NYwrHcthmVORI/edit","7 Tactics to Hire Top Marketing Experts for Your IT Business")</f>
        <v>7 Tactics to Hire Top Marketing Experts for Your IT Business</v>
      </c>
      <c r="B197" s="3" t="s">
        <v>1274</v>
      </c>
      <c r="C197" s="18"/>
      <c r="D197" s="18"/>
      <c r="E197" s="18"/>
      <c r="F197" s="18"/>
      <c r="G197" s="18"/>
      <c r="H197" s="61" t="s">
        <v>1275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5.75" customHeight="1">
      <c r="A198" s="11" t="str">
        <f>HYPERLINK("https://docs.google.com/document/d/1OVhjIYTwGUFMFUh87i-DN-f613JeKfUmqZTS6W7jLwY/edit","IT Marketing Secrets To Attracting Top Talent")</f>
        <v>IT Marketing Secrets To Attracting Top Talent</v>
      </c>
      <c r="B198" s="3" t="s">
        <v>1276</v>
      </c>
      <c r="C198" s="18"/>
      <c r="D198" s="18"/>
      <c r="E198" s="18"/>
      <c r="F198" s="18"/>
      <c r="G198" s="18"/>
      <c r="H198" s="61" t="s">
        <v>1277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5.75" customHeight="1">
      <c r="A199" s="11" t="str">
        <f>HYPERLINK("https://docs.google.com/document/d/1Twe2znIEuk1-5fsfiPM1ikTv76Izj0lYtM0k_oiS8Y0/edit","Why Website ADA Compliance Is Beneficial For Any Business Out There")</f>
        <v>Why Website ADA Compliance Is Beneficial For Any Business Out There</v>
      </c>
      <c r="B199" s="3" t="s">
        <v>1278</v>
      </c>
      <c r="C199" s="3"/>
      <c r="D199" s="18"/>
      <c r="E199" s="18"/>
      <c r="F199" s="18"/>
      <c r="G199" s="18"/>
      <c r="H199" s="61" t="s">
        <v>1279</v>
      </c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5.75" customHeight="1">
      <c r="A200" s="11" t="str">
        <f>HYPERLINK("https://docs.google.com/document/d/11hLveYqsPga1Mh7PTdIK75H0kn7ygh_Pa8REPXCJXzs/edit","5 Content Marketing Strategies IT Marketers Should use in 2019")</f>
        <v>5 Content Marketing Strategies IT Marketers Should use in 2019</v>
      </c>
      <c r="B200" s="3" t="s">
        <v>1280</v>
      </c>
      <c r="C200" s="3" t="s">
        <v>1023</v>
      </c>
      <c r="D200" s="18"/>
      <c r="E200" s="18"/>
      <c r="F200" s="18"/>
      <c r="G200" s="18"/>
      <c r="H200" s="61" t="s">
        <v>1281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5.75" customHeight="1">
      <c r="A201" s="11" t="str">
        <f>HYPERLINK("https://docs.google.com/document/d/1fJHdp2NgqRcqvaWGZqu7p2rn0BUC3VWRstlt-v1SoOM/edit","Telemedicine Trends That Show How Promising This Technology Is")</f>
        <v>Telemedicine Trends That Show How Promising This Technology Is</v>
      </c>
      <c r="B201" s="3" t="s">
        <v>1282</v>
      </c>
      <c r="C201" s="18"/>
      <c r="D201" s="18"/>
      <c r="E201" s="18"/>
      <c r="F201" s="18"/>
      <c r="G201" s="18"/>
      <c r="H201" s="61" t="s">
        <v>1283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5.75" customHeight="1">
      <c r="A202" s="11" t="str">
        <f>HYPERLINK("https://docs.google.com/document/d/1Dyrbhr_Ri3__11Fy9adDBSz7GKOeNAIN1wfP79eKu1Q/edit","Telemedicine Malpractice Risks and How To Avoid Them")</f>
        <v>Telemedicine Malpractice Risks and How To Avoid Them</v>
      </c>
      <c r="B202" s="3" t="s">
        <v>195</v>
      </c>
      <c r="C202" s="18"/>
      <c r="D202" s="18"/>
      <c r="E202" s="18"/>
      <c r="F202" s="18"/>
      <c r="G202" s="18"/>
      <c r="H202" s="134" t="s">
        <v>1284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5.75" customHeight="1">
      <c r="A203" s="11" t="str">
        <f>HYPERLINK("https://docs.google.com/document/d/1-E_UBwZlZi-0RporDHNOvtZ6J44yG73GSR3yiZzmSUg/edit","Benefits of Astaxanthin for Skin Care")</f>
        <v>Benefits of Astaxanthin for Skin Care</v>
      </c>
      <c r="B203" s="18"/>
      <c r="C203" s="18"/>
      <c r="D203" s="18"/>
      <c r="E203" s="18"/>
      <c r="F203" s="18"/>
      <c r="G203" s="18"/>
      <c r="H203" s="61" t="s">
        <v>1285</v>
      </c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5" spans="1:29" ht="15.75" customHeight="1">
      <c r="A205" s="11" t="str">
        <f>HYPERLINK("https://docs.google.com/document/d/1QPMabcWw6evC7m_sgvOjUv6oWwI36VyKBNTOnl_1_X0/edit","5 Tips to Check Whether Your Site Is ADA Compliant in 2019")</f>
        <v>5 Tips to Check Whether Your Site Is ADA Compliant in 2019</v>
      </c>
      <c r="B205" s="3" t="s">
        <v>1286</v>
      </c>
      <c r="C205" s="18"/>
      <c r="D205" s="18"/>
      <c r="E205" s="18"/>
      <c r="F205" s="18"/>
      <c r="G205" s="18"/>
      <c r="H205" s="61" t="s">
        <v>1287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5.75" customHeight="1">
      <c r="A206" s="71" t="str">
        <f>HYPERLINK("https://docs.google.com/document/d/1-nnVD4pkbsAYrPxULbPH5P4WlUbPkNtQ-ElHG2uc8oE/edit","How to Make Your Website Accessible to Everyone (And Where to Get Started)")</f>
        <v>How to Make Your Website Accessible to Everyone (And Where to Get Started)</v>
      </c>
      <c r="C206" s="72"/>
      <c r="H206" s="61" t="s">
        <v>1288</v>
      </c>
    </row>
    <row r="207" spans="1:29" ht="15.75" customHeight="1">
      <c r="A207" s="11" t="str">
        <f>HYPERLINK("https://docs.google.com/document/d/1IatxdVkGAzzCGBo_nSldfkcK42zZO8_Ugy6-tAsSUTk/edit","A Skeptics Guide To Telehealth")</f>
        <v>A Skeptics Guide To Telehealth</v>
      </c>
      <c r="B207" s="3" t="s">
        <v>1289</v>
      </c>
      <c r="C207" s="18"/>
      <c r="D207" s="18"/>
      <c r="E207" s="18"/>
      <c r="F207" s="18"/>
      <c r="G207" s="18"/>
      <c r="H207" s="61" t="s">
        <v>1290</v>
      </c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5.75" customHeight="1">
      <c r="A208" s="71" t="str">
        <f>HYPERLINK("https://docs.google.com/document/d/1mrxT8h_gCQn2x1ip_mAV94kReqUP7nxcxf0OOf-s0Tg/edit","Could Blockchain Revolutionize The Healthcare Industry?")</f>
        <v>Could Blockchain Revolutionize The Healthcare Industry?</v>
      </c>
      <c r="B208" s="3" t="s">
        <v>1291</v>
      </c>
      <c r="C208" s="18"/>
      <c r="D208" s="18"/>
      <c r="E208" s="18"/>
      <c r="F208" s="18"/>
      <c r="G208" s="18"/>
      <c r="H208" s="61" t="s">
        <v>1292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5.75" customHeight="1">
      <c r="A209" s="11" t="str">
        <f>HYPERLINK("https://docs.google.com/document/d/1OanCvfyazfHhzZTxU3gAvJpyhe0kXq8LHbGvimlykJI/edit","8 Small Changes to Live a More Environmentally Friendly Lifestyle")</f>
        <v>8 Small Changes to Live a More Environmentally Friendly Lifestyle</v>
      </c>
      <c r="B209" s="3" t="s">
        <v>1293</v>
      </c>
      <c r="C209" s="18"/>
      <c r="D209" s="18"/>
      <c r="E209" s="18"/>
      <c r="F209" s="18"/>
      <c r="G209" s="18"/>
      <c r="H209" s="61" t="s">
        <v>1294</v>
      </c>
      <c r="I209" s="3" t="s">
        <v>1037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5.75" customHeight="1">
      <c r="A210" s="11" t="str">
        <f>HYPERLINK("https://docs.google.com/document/d/1eJCaG1LlqNlV0GJYhmcRfluKKDf4dOMm7jtW9yngmQ4/edit","5 Things You Didn't Know About Blockchain in Healthcare")</f>
        <v>5 Things You Didn't Know About Blockchain in Healthcare</v>
      </c>
      <c r="B210" s="3" t="s">
        <v>1295</v>
      </c>
      <c r="C210" s="3"/>
      <c r="D210" s="18"/>
      <c r="E210" s="18"/>
      <c r="F210" s="18"/>
      <c r="G210" s="18"/>
      <c r="H210" s="61" t="s">
        <v>1296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5.75" customHeight="1">
      <c r="A211" s="11" t="str">
        <f>HYPERLINK("https://docs.google.com/document/d/17l-lrnJIEYGia6MbyIVwXAbLeTie0CbF2CJzvpm6HwE/edit","From Patient Portals to Wearable Monitoring Devices and 5G Networks")</f>
        <v>From Patient Portals to Wearable Monitoring Devices and 5G Networks</v>
      </c>
      <c r="B211" s="3" t="s">
        <v>1297</v>
      </c>
      <c r="C211" s="18"/>
      <c r="D211" s="18"/>
      <c r="E211" s="18"/>
      <c r="F211" s="18"/>
      <c r="G211" s="18"/>
      <c r="H211" s="61" t="s">
        <v>1298</v>
      </c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5.75" customHeight="1">
      <c r="A212" s="11" t="str">
        <f>HYPERLINK("https://docs.google.com/document/d/1Io34t2t2PhhNoeHez_BszR12njW5wMTJKzUduSjbf94/edit","How Can Blockchain Help the Healthcare Industry")</f>
        <v>How Can Blockchain Help the Healthcare Industry</v>
      </c>
      <c r="B212" s="3" t="s">
        <v>1299</v>
      </c>
      <c r="C212" s="3"/>
      <c r="D212" s="18"/>
      <c r="E212" s="18"/>
      <c r="F212" s="18"/>
      <c r="G212" s="18"/>
      <c r="H212" s="61" t="s">
        <v>1300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5.75" customHeight="1">
      <c r="A213" s="71" t="str">
        <f>HYPERLINK("https://docs.google.com/document/d/1Sn1bL4ec6WKjBOcIhpd-fchHBeWIjSY48Fo9hpumr3M/edit","What Is ADA Compliance and What Does It Mean for Your Business Website?")</f>
        <v>What Is ADA Compliance and What Does It Mean for Your Business Website?</v>
      </c>
      <c r="B213" s="72" t="s">
        <v>1301</v>
      </c>
      <c r="H213" s="60" t="s">
        <v>1302</v>
      </c>
    </row>
    <row r="214" spans="1:29" ht="15.75" customHeight="1">
      <c r="A214" s="71" t="str">
        <f>HYPERLINK("https://docs.google.com/document/d/1DueYxGxdLWmBFjgw-D2ALXu4NtwfcugoW8oIf1Ii6dY/edit","4 of Blockchain Applications in Healthcare You Should Know About In 2019")</f>
        <v>4 of Blockchain Applications in Healthcare You Should Know About In 2019</v>
      </c>
      <c r="B214" s="72" t="s">
        <v>1303</v>
      </c>
      <c r="C214" s="72"/>
      <c r="H214" s="60" t="s">
        <v>1304</v>
      </c>
    </row>
    <row r="215" spans="1:29" ht="15.75" customHeight="1">
      <c r="A215" s="71" t="str">
        <f>HYPERLINK("https://docs.google.com/document/d/1tu6WXUPWRmf1IXW8E9mjkhosZY-kPWUk9ikAU2DQfac/edit","How to use Analytics to Improve your Company’s Web Experience")</f>
        <v>How to use Analytics to Improve your Company’s Web Experience</v>
      </c>
      <c r="B215" s="72" t="s">
        <v>1305</v>
      </c>
      <c r="C215" s="118"/>
      <c r="H215" s="60" t="s">
        <v>1306</v>
      </c>
    </row>
    <row r="216" spans="1:29" ht="15.75" customHeight="1">
      <c r="A216" s="71" t="str">
        <f>HYPERLINK("https://docs.google.com/document/d/1nhOjbcOqkXwISIpv3iNQUyqUWkxVtNZk3YokGNoFCqk/edit","Major Health Benefits of Astaxanthin You Should Know About in 2019")</f>
        <v>Major Health Benefits of Astaxanthin You Should Know About in 2019</v>
      </c>
      <c r="B216" s="72" t="s">
        <v>1307</v>
      </c>
      <c r="H216" s="60" t="s">
        <v>1308</v>
      </c>
    </row>
    <row r="217" spans="1:29" ht="15.75" customHeight="1">
      <c r="A217" s="71" t="str">
        <f>HYPERLINK("https://docs.google.com/document/d/1Alcishu488ozKLPDTrw47pBZ3oLxzjwQsQyk0Vykk_M/edit","10 ITEMS EVERY REAL ESTATE AGENT SHOULD HAVE ON THE JOB")</f>
        <v>10 ITEMS EVERY REAL ESTATE AGENT SHOULD HAVE ON THE JOB</v>
      </c>
      <c r="B217" s="72" t="s">
        <v>1309</v>
      </c>
      <c r="C217" s="18"/>
      <c r="D217" s="18"/>
      <c r="E217" s="18"/>
      <c r="F217" s="18"/>
      <c r="G217" s="18"/>
      <c r="H217" s="61" t="s">
        <v>1310</v>
      </c>
      <c r="I217" s="3" t="s">
        <v>1037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5.75" customHeight="1">
      <c r="A218" s="85" t="str">
        <f>HYPERLINK("https://docs.google.com/document/d/1vsQmhf9xaRSQc50humwEtxn_CiIdKd2kQQe1-KAL580/edit","Seven gifts for a new mom")</f>
        <v>Seven gifts for a new mom</v>
      </c>
      <c r="B218" s="139" t="s">
        <v>1311</v>
      </c>
      <c r="C218" s="88"/>
      <c r="D218" s="95"/>
      <c r="E218" s="95"/>
      <c r="F218" s="95"/>
      <c r="G218" s="95"/>
      <c r="H218" s="94" t="s">
        <v>1312</v>
      </c>
      <c r="I218" s="88" t="s">
        <v>1037</v>
      </c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</row>
    <row r="219" spans="1:29" ht="15.75" customHeight="1">
      <c r="A219" s="11" t="str">
        <f>HYPERLINK("https://docs.google.com/document/d/16YUVEMXT4hkwg3M4OK2DjTrhvBk4SA93sCvxHHjTvFg/edit","How to Make Your Website Accessible to All Online Users
")</f>
        <v>How to Make Your Website Accessible to All Online Users_x000D_</v>
      </c>
      <c r="B219" s="61" t="s">
        <v>1313</v>
      </c>
      <c r="C219" s="18"/>
      <c r="D219" s="18"/>
      <c r="E219" s="18"/>
      <c r="F219" s="18"/>
      <c r="G219" s="18"/>
      <c r="H219" s="61" t="s">
        <v>1314</v>
      </c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5.75" customHeight="1">
      <c r="A220" s="71" t="str">
        <f>HYPERLINK("https://docs.google.com/document/d/1Jo0-4IZQjU6gKP192HYxp4-r5XL_7z8bzibNoSUb3L8/edit","How To Live A Productive And Efficient Life As A Developer")</f>
        <v>How To Live A Productive And Efficient Life As A Developer</v>
      </c>
      <c r="B220" s="72" t="s">
        <v>1315</v>
      </c>
      <c r="H220" s="60" t="s">
        <v>1316</v>
      </c>
    </row>
    <row r="221" spans="1:29" ht="15.75" customHeight="1">
      <c r="A221" s="11" t="str">
        <f>HYPERLINK("https://docs.google.com/document/d/1-Q1KDoQMC9836u4nSgfo5lWtokRnzH1-HDUfRVQj9Zs/edit","4 Reasons Why Every US State Should Legalize Marijuana")</f>
        <v>4 Reasons Why Every US State Should Legalize Marijuana</v>
      </c>
      <c r="B221" s="3" t="s">
        <v>1317</v>
      </c>
      <c r="C221" s="18"/>
      <c r="D221" s="18"/>
      <c r="E221" s="18"/>
      <c r="F221" s="18"/>
      <c r="G221" s="18"/>
      <c r="H221" s="61" t="s">
        <v>1318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5.75" customHeight="1">
      <c r="A222" s="71" t="str">
        <f>HYPERLINK("https://docs.google.com/document/d/1Spyvlrdd8dtlJpZBYAVRyKoLcvWWpx0UdyrzrXpSbtY/edit","9 Social media marketing techniques that your IT Company is missing out on")</f>
        <v>9 Social media marketing techniques that your IT Company is missing out on</v>
      </c>
      <c r="B222" s="72" t="s">
        <v>1319</v>
      </c>
      <c r="C222" s="118" t="s">
        <v>1320</v>
      </c>
      <c r="H222" s="60" t="s">
        <v>1321</v>
      </c>
    </row>
    <row r="223" spans="1:29" ht="15.75" customHeight="1">
      <c r="A223" s="140" t="str">
        <f>HYPERLINK("https://docs.google.com/document/d/1VUrxmuLutatqBvhXB3szdRtYeL7POVrOvysV-XYH_RY/edit","Best telemedicine companies and what you can learn from them")</f>
        <v>Best telemedicine companies and what you can learn from them</v>
      </c>
      <c r="B223" s="3" t="s">
        <v>1322</v>
      </c>
      <c r="C223" s="141"/>
      <c r="D223" s="141"/>
      <c r="E223" s="141"/>
      <c r="F223" s="141"/>
      <c r="G223" s="141"/>
      <c r="H223" s="142" t="s">
        <v>1323</v>
      </c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</row>
    <row r="224" spans="1:29" ht="15.75" customHeight="1">
      <c r="A224" s="71" t="str">
        <f>HYPERLINK("https://docs.google.com/document/d/12gaw8erCgEulS6Uj8APdtz_zadcTu6OWOOFbfp25Mas/edit","7 unique gift ideas to surprise your girlfriend this spring")</f>
        <v>7 unique gift ideas to surprise your girlfriend this spring</v>
      </c>
      <c r="B224" s="60" t="s">
        <v>1324</v>
      </c>
      <c r="C224" s="72"/>
      <c r="H224" s="60" t="s">
        <v>1325</v>
      </c>
      <c r="I224" s="88" t="s">
        <v>1037</v>
      </c>
    </row>
    <row r="225" spans="1:29" ht="15.75" customHeight="1">
      <c r="A225" s="71" t="str">
        <f>HYPERLINK("https://docs.google.com/document/d/1hnikTX5GZqafGHgsjyTzRZ2Qjv7u19p91k8olKSC5to/edit?ts=5c82fe06","How to drink more water in 2019")</f>
        <v>How to drink more water in 2019</v>
      </c>
      <c r="B225" s="72" t="s">
        <v>1327</v>
      </c>
      <c r="C225" s="72" t="s">
        <v>1328</v>
      </c>
      <c r="H225" s="60" t="s">
        <v>1329</v>
      </c>
      <c r="I225" s="88" t="s">
        <v>1037</v>
      </c>
    </row>
    <row r="226" spans="1:29" ht="15.75" customHeight="1">
      <c r="A226" s="11" t="str">
        <f>HYPERLINK("https://docs.google.com/document/d/1ZvEW3iCLIafB00fW9xqjLfhNPu3VZlB9jvUVema858E/edit#","7 Healthcare development tips for heathcare startups ")</f>
        <v xml:space="preserve">7 Healthcare development tips for heathcare startups </v>
      </c>
      <c r="B226" s="3" t="s">
        <v>479</v>
      </c>
      <c r="C226" s="3" t="s">
        <v>1330</v>
      </c>
      <c r="D226" s="18"/>
      <c r="E226" s="18"/>
      <c r="F226" s="18"/>
      <c r="G226" s="18"/>
      <c r="H226" s="61" t="s">
        <v>1331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5.75" customHeight="1">
      <c r="A227" s="71" t="str">
        <f>HYPERLINK("https://docs.google.com/document/d/1kgviCXfQ4whnNqKQKyvyeqpgTLCZ0tDkwEOMl6k8jvI/edit","7 Artificial Intelligence Pharma Applications You Should Be Aware of in 2019")</f>
        <v>7 Artificial Intelligence Pharma Applications You Should Be Aware of in 2019</v>
      </c>
      <c r="B227" s="72" t="s">
        <v>1332</v>
      </c>
      <c r="C227" s="72"/>
      <c r="H227" s="60" t="s">
        <v>1333</v>
      </c>
    </row>
    <row r="228" spans="1:29" ht="15.75" customHeight="1">
      <c r="A228" s="71" t="str">
        <f>HYPERLINK("https://docs.google.com/document/d/1BnkxI_9SAVyBKfGV06Ke0HQMEJp0Oin9pwwn0_II628/edit","How a non-ADA compliant website makes you miss out on customers")</f>
        <v>How a non-ADA compliant website makes you miss out on customers</v>
      </c>
      <c r="B228" s="72" t="s">
        <v>1334</v>
      </c>
      <c r="C228" s="72"/>
      <c r="H228" s="60" t="s">
        <v>1335</v>
      </c>
    </row>
    <row r="229" spans="1:29" ht="15.75" customHeight="1">
      <c r="A229" s="11" t="str">
        <f>HYPERLINK("https://docs.google.com/document/d/1X4qZIiHAqNS8HFDVARXaXqcRz5fNrZU7IqetpzXdUYQ/edit"," 6 essentials for every entrepreneur")</f>
        <v xml:space="preserve"> 6 essentials for every entrepreneur</v>
      </c>
      <c r="B229" s="61" t="s">
        <v>1336</v>
      </c>
      <c r="C229" s="3"/>
      <c r="D229" s="18"/>
      <c r="E229" s="18"/>
      <c r="F229" s="18"/>
      <c r="G229" s="18"/>
      <c r="H229" s="61" t="s">
        <v>1337</v>
      </c>
      <c r="I229" s="88" t="s">
        <v>1037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5.75" customHeight="1">
      <c r="A230" s="71" t="str">
        <f>HYPERLINK("https://docs.google.com/document/d/14JIM7DyFkTe6eeKMgdaSKYA_6E3P13gXEJC_Bnrj9JA/edit","Actionable Tips for IT Companies to Market Their Companies Better in 2019")</f>
        <v>Actionable Tips for IT Companies to Market Their Companies Better in 2019</v>
      </c>
      <c r="B230" s="72" t="s">
        <v>1338</v>
      </c>
      <c r="C230" s="72"/>
      <c r="H230" s="60" t="s">
        <v>1339</v>
      </c>
    </row>
    <row r="231" spans="1:29" ht="15.75" customHeight="1">
      <c r="A231" s="71" t="str">
        <f>HYPERLINK("https://docs.google.com/document/d/1gWfhkJbVbY-A2g0E1vPXiWljpQ_v1nrdNwRUkb3kWIs/edit"," 8 unique gifts for marketing people")</f>
        <v xml:space="preserve"> 8 unique gifts for marketing people</v>
      </c>
      <c r="B231" s="116" t="s">
        <v>1340</v>
      </c>
      <c r="C231" s="72"/>
      <c r="H231" s="60" t="s">
        <v>1341</v>
      </c>
      <c r="I231" s="88" t="s">
        <v>1037</v>
      </c>
    </row>
    <row r="232" spans="1:29" ht="15.75" customHeight="1">
      <c r="A232" s="71" t="str">
        <f>HYPERLINK("https://docs.google.com/document/d/1wvdjIts6cV1KkXis1_x1FjTtZHBFEAVJgJcGcqlmWqo/edit","What an ADA Compliant Website Can Do For Your Business")</f>
        <v>What an ADA Compliant Website Can Do For Your Business</v>
      </c>
      <c r="B232" s="143" t="s">
        <v>1342</v>
      </c>
      <c r="C232" s="72" t="s">
        <v>1330</v>
      </c>
      <c r="H232" s="60" t="s">
        <v>1343</v>
      </c>
    </row>
    <row r="233" spans="1:29" ht="15.75" customHeight="1">
      <c r="A233" s="71" t="str">
        <f>HYPERLINK("https://docs.google.com/document/d/19x-p6QiadQZhtHUVIoMHexVmGX2hu_ER91K5fmliY_U/edit"," 9 unique gifts for everyone")</f>
        <v xml:space="preserve"> 9 unique gifts for everyone</v>
      </c>
      <c r="B233" s="72" t="s">
        <v>1344</v>
      </c>
      <c r="C233" s="72"/>
      <c r="H233" s="60" t="s">
        <v>1345</v>
      </c>
      <c r="I233" s="88" t="s">
        <v>1037</v>
      </c>
    </row>
    <row r="234" spans="1:29" ht="15.75" customHeight="1">
      <c r="A234" s="71" t="str">
        <f>HYPERLINK("https://docs.google.com/document/d/1gt9YTPDw3B4lbKdGzNKXrZNlFot91SdqgqwvowS8Hrk/edit","Insurance and Telemedicine: What Is Being Covered, And By Whom")</f>
        <v>Insurance and Telemedicine: What Is Being Covered, And By Whom</v>
      </c>
      <c r="B234" s="72" t="s">
        <v>302</v>
      </c>
      <c r="C234" s="72" t="s">
        <v>1330</v>
      </c>
      <c r="H234" s="60" t="s">
        <v>1346</v>
      </c>
    </row>
    <row r="235" spans="1:29" ht="15.75" customHeight="1">
      <c r="A235" s="11" t="str">
        <f>HYPERLINK("https://docs.google.com/document/d/15pGmV_0MRjkNUFARLSTkAetSR2e19sJWbXzhhis6L20/edit","6 ALEXA USE CASES EVERY HEALTHCARE EXECUTIVE SHOULD KNOW ABOUT IN 2019")</f>
        <v>6 ALEXA USE CASES EVERY HEALTHCARE EXECUTIVE SHOULD KNOW ABOUT IN 2019</v>
      </c>
      <c r="B235" s="3" t="s">
        <v>1347</v>
      </c>
      <c r="C235" s="3" t="s">
        <v>1348</v>
      </c>
      <c r="D235" s="18"/>
      <c r="E235" s="18"/>
      <c r="F235" s="18"/>
      <c r="G235" s="18"/>
      <c r="H235" s="61" t="s">
        <v>1349</v>
      </c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5.75" customHeight="1">
      <c r="A236" s="11" t="str">
        <f>HYPERLINK("https://docs.google.com/document/d/13F2dKDZqdp2c-THtuuFL8pm4V0n5qTKq2RlBoqTupws/edit","IT Marketing Tip For 2019")</f>
        <v>IT Marketing Tip For 2019</v>
      </c>
      <c r="B236" s="3" t="s">
        <v>1347</v>
      </c>
      <c r="C236" s="3" t="s">
        <v>1348</v>
      </c>
      <c r="D236" s="18"/>
      <c r="E236" s="18"/>
      <c r="F236" s="18"/>
      <c r="G236" s="18"/>
      <c r="H236" s="61" t="s">
        <v>1350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5.75" customHeight="1">
      <c r="A237" s="11" t="str">
        <f>HYPERLINK("https://docs.google.com/document/d/1_Fq2PEga6V64mGL01FVEqu81FI1lJDJBqKbDabQVzSw/edit","Unique gift ideas to buy in March")</f>
        <v>Unique gift ideas to buy in March</v>
      </c>
      <c r="B237" s="3" t="s">
        <v>1347</v>
      </c>
      <c r="C237" s="3" t="s">
        <v>1351</v>
      </c>
      <c r="D237" s="18"/>
      <c r="E237" s="18"/>
      <c r="F237" s="18"/>
      <c r="G237" s="18"/>
      <c r="H237" s="61" t="s">
        <v>1352</v>
      </c>
      <c r="I237" s="88" t="s">
        <v>1037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5.75" customHeight="1">
      <c r="A238" s="71" t="str">
        <f>HYPERLINK("https://docs.google.com/document/d/1BB3ZhvSgMxSpFeNdbpxSLqfMW9l2L5Sq8D2WJvU0y8M/edit","Why you need to hydrate after a run")</f>
        <v>Why you need to hydrate after a run</v>
      </c>
      <c r="B238" s="60" t="s">
        <v>536</v>
      </c>
      <c r="C238" s="72"/>
      <c r="H238" s="60" t="s">
        <v>1354</v>
      </c>
      <c r="I238" s="88" t="s">
        <v>1037</v>
      </c>
    </row>
    <row r="239" spans="1:29" ht="15.75" customHeight="1">
      <c r="A239" s="71" t="str">
        <f>HYPERLINK("https://docs.google.com/document/d/1guDjUweLJ3cKzqiL-868LDeCoUC9IiLldJvtRDDjqtE/edit"," Seven tips to save water")</f>
        <v xml:space="preserve"> Seven tips to save water</v>
      </c>
      <c r="B239" s="72" t="s">
        <v>1355</v>
      </c>
      <c r="H239" s="60" t="s">
        <v>1356</v>
      </c>
      <c r="I239" s="88" t="s">
        <v>1037</v>
      </c>
    </row>
    <row r="240" spans="1:29" ht="15.75" customHeight="1">
      <c r="A240" s="71" t="str">
        <f>HYPERLINK("https://docs.google.com/document/d/1vgZ9V3W9cwB8Is3voETNxLF1Gs7OVRSdTHVVp2HcLa0/edit","How To Build Healthcare Apps That Users Will Love")</f>
        <v>How To Build Healthcare Apps That Users Will Love</v>
      </c>
      <c r="B240" s="72" t="s">
        <v>1357</v>
      </c>
      <c r="C240" s="72"/>
      <c r="H240" s="60" t="s">
        <v>1358</v>
      </c>
    </row>
    <row r="241" spans="1:29" ht="15.75" customHeight="1">
      <c r="A241" s="71" t="str">
        <f>HYPERLINK("https://docs.google.com/document/d/1BBZKBaTtb7ShjwBaHwtYLTTOF4zYNCaJGhrwF9NPPWU/edit","Top 5 Strategies to Prepare a Healthcare Marketing Plan")</f>
        <v>Top 5 Strategies to Prepare a Healthcare Marketing Plan</v>
      </c>
      <c r="B241" s="72" t="s">
        <v>1359</v>
      </c>
      <c r="H241" s="60" t="s">
        <v>1360</v>
      </c>
    </row>
    <row r="242" spans="1:29" ht="15.75" customHeight="1">
      <c r="A242" s="11" t="str">
        <f>HYPERLINK("https://docs.google.com/document/d/1xHgG7R4pSaASr4gM8rkfwSjHWNwiOgigeAxEXw2EfHI/edit","Can Astanthin help patients suffering from Alzeimer's? ")</f>
        <v xml:space="preserve">Can Astanthin help patients suffering from Alzeimer's? </v>
      </c>
      <c r="B242" s="144" t="s">
        <v>1361</v>
      </c>
      <c r="C242" s="18"/>
      <c r="D242" s="18"/>
      <c r="E242" s="18"/>
      <c r="F242" s="18"/>
      <c r="G242" s="18"/>
      <c r="H242" s="61" t="s">
        <v>1362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5.75" customHeight="1">
      <c r="A243" s="71" t="str">
        <f>HYPERLINK("https://docs.google.com/document/d/1K2aUS39j0ZWzXahBJCSsk5TSvwbu63EzLuqj5EMLZF4/edit","7 Trendy, Modern Gifts Ideas")</f>
        <v>7 Trendy, Modern Gifts Ideas</v>
      </c>
      <c r="B243" s="109" t="s">
        <v>1363</v>
      </c>
      <c r="C243" s="72"/>
      <c r="H243" s="60" t="s">
        <v>1364</v>
      </c>
      <c r="I243" s="72" t="s">
        <v>1037</v>
      </c>
    </row>
    <row r="244" spans="1:29" ht="15.75" customHeight="1">
      <c r="A244" s="11" t="str">
        <f>HYPERLINK("https://docs.google.com/document/d/1Bgs7uWkc8cMXHASoCu1qsNY8iHoUTnzLUoe09IIVDAc/edit","Marketing “No Nos” For IT Companies – And What To Do Instead")</f>
        <v>Marketing “No Nos” For IT Companies – And What To Do Instead</v>
      </c>
      <c r="B244" s="18"/>
      <c r="C244" s="18"/>
      <c r="D244" s="18"/>
      <c r="E244" s="18"/>
      <c r="F244" s="18"/>
      <c r="G244" s="18"/>
      <c r="H244" s="61" t="s">
        <v>1365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5.75" customHeight="1">
      <c r="A245" s="11" t="str">
        <f>HYPERLINK("https://docs.google.com/document/d/1nrIPP9GMxiJzETQUqx3zXn18JXwcBOhA7O6Usl33UW0/edit#heading=h.u2e8yls527co","What Is the Astaxanthin Supplement Good For?")</f>
        <v>What Is the Astaxanthin Supplement Good For?</v>
      </c>
      <c r="B245" s="3" t="s">
        <v>1366</v>
      </c>
      <c r="C245" s="3" t="s">
        <v>1330</v>
      </c>
      <c r="D245" s="18"/>
      <c r="E245" s="18"/>
      <c r="F245" s="18"/>
      <c r="G245" s="18"/>
      <c r="H245" s="61" t="s">
        <v>1367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5.75" customHeight="1">
      <c r="A246" s="11" t="str">
        <f>HYPERLINK("https://docs.google.com/document/d/1OIDDVzDkuFLgVcmEjb46GoxzOUSNZSKy_yQY-wQPDXk/edit?ts=5c97dc4f","Best fitness trackers to buy in 2019")</f>
        <v>Best fitness trackers to buy in 2019</v>
      </c>
      <c r="B246" s="3" t="s">
        <v>1368</v>
      </c>
      <c r="C246" s="3"/>
      <c r="D246" s="18"/>
      <c r="E246" s="18"/>
      <c r="F246" s="18"/>
      <c r="G246" s="18"/>
      <c r="H246" s="61" t="s">
        <v>1369</v>
      </c>
      <c r="I246" s="3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5.75" customHeight="1">
      <c r="A247" s="11" t="str">
        <f>HYPERLINK("https://docs.google.com/document/d/1SfLPeFBem0wpM9cU2fVuJKPFcrhjzT6AQtv2T-dEzAw/edit","7 Customer Retention Marketing Tips For IT Companies")</f>
        <v>7 Customer Retention Marketing Tips For IT Companies</v>
      </c>
      <c r="B247" s="3" t="s">
        <v>1370</v>
      </c>
      <c r="C247" s="3"/>
      <c r="D247" s="18"/>
      <c r="E247" s="18"/>
      <c r="F247" s="18"/>
      <c r="G247" s="18"/>
      <c r="H247" s="61" t="s">
        <v>1371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5.75" customHeight="1">
      <c r="A248" s="11" t="str">
        <f>HYPERLINK("https://docs.google.com/document/d/1QoNI5gSeKp3uXcVmY7IiMFUFVJQ67fQp9kXohogjg_4/edit","Website ADA Compliance: What it is, How it Works and Why you Need to do it")</f>
        <v>Website ADA Compliance: What it is, How it Works and Why you Need to do it</v>
      </c>
      <c r="B248" s="3" t="s">
        <v>1372</v>
      </c>
      <c r="C248" s="3"/>
      <c r="D248" s="18"/>
      <c r="E248" s="18"/>
      <c r="F248" s="18"/>
      <c r="G248" s="18"/>
      <c r="H248" s="61" t="s">
        <v>1373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5.75" customHeight="1">
      <c r="A249" s="11" t="str">
        <f>HYPERLINK("https://docs.google.com/document/d/1tbmtVClGaz9SK-hIWV-__5qMAki2_j6myufAyyVJxrA/edit","7 Benefits Of Drinking More Water")</f>
        <v>7 Benefits Of Drinking More Water</v>
      </c>
      <c r="B249" s="3" t="s">
        <v>1374</v>
      </c>
      <c r="C249" s="3"/>
      <c r="D249" s="18"/>
      <c r="E249" s="18"/>
      <c r="F249" s="18"/>
      <c r="G249" s="18"/>
      <c r="H249" s="61" t="s">
        <v>1375</v>
      </c>
      <c r="I249" s="72" t="s">
        <v>1037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5.75" customHeight="1">
      <c r="A250" s="11" t="str">
        <f>HYPERLINK("https://docs.google.com/document/d/15OPPxXN6jSYQcofq7YuKt0Sz6OcqZXHQae4wF5X7DQo/edit","Cool Pedometers You Should Considering Buying In 2019")</f>
        <v>Cool Pedometers You Should Considering Buying In 2019</v>
      </c>
      <c r="B250" s="3" t="s">
        <v>1376</v>
      </c>
      <c r="C250" s="3"/>
      <c r="D250" s="18"/>
      <c r="E250" s="18"/>
      <c r="F250" s="18"/>
      <c r="G250" s="18"/>
      <c r="H250" s="61" t="s">
        <v>1377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5.75" customHeight="1">
      <c r="A251" s="71" t="str">
        <f>HYPERLINK("https://docs.google.com/document/d/1EeUid9Z544uuRJ0q2Bn71DSpQQxwj1UyZGfvnCr-3lI/edit","9 Last Minute Gift Ideas")</f>
        <v>9 Last Minute Gift Ideas</v>
      </c>
      <c r="B251" s="143" t="s">
        <v>1378</v>
      </c>
      <c r="H251" s="60" t="s">
        <v>1379</v>
      </c>
    </row>
    <row r="252" spans="1:29" ht="15.75" customHeight="1">
      <c r="A252" s="11" t="str">
        <f>HYPERLINK("https://docs.google.com/document/d/13V1rjlD5tp9ngUoDaNqe0zMVtXQlj5qEdDxOdGEK7Ro/edit#","ADA Compliance and Healthcare: How to Avoid a Web Accessibility Lawsuit")</f>
        <v>ADA Compliance and Healthcare: How to Avoid a Web Accessibility Lawsuit</v>
      </c>
      <c r="B252" s="3" t="s">
        <v>1380</v>
      </c>
      <c r="C252" s="3"/>
      <c r="D252" s="18"/>
      <c r="E252" s="18"/>
      <c r="F252" s="18"/>
      <c r="G252" s="18"/>
      <c r="H252" s="61" t="s">
        <v>1381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5.75" customHeight="1">
      <c r="A253" s="11" t="str">
        <f>HYPERLINK("https://docs.google.com/document/d/1xuarSdFjr-GMZZ2Da_-MmoTDc_LwzFTWWa-WheBgWhY/edit","Why Online Reputation Management For Doctors Is Essential In 2019")</f>
        <v>Why Online Reputation Management For Doctors Is Essential In 2019</v>
      </c>
      <c r="B253" s="3" t="s">
        <v>1382</v>
      </c>
      <c r="C253" s="3"/>
      <c r="D253" s="18"/>
      <c r="E253" s="18"/>
      <c r="F253" s="18"/>
      <c r="G253" s="18"/>
      <c r="H253" s="61" t="s">
        <v>1383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5.75" customHeight="1">
      <c r="A254" s="11" t="str">
        <f>HYPERLINK("https://docs.google.com/document/d/1l2Gi73CtkJR-tEK5kMLHL-E350N3HWeNDzEfs3GPRmk/edit?ts=5c964afb#heading=h.75xtb2e3gx8","Best marketing concepts to master in 2019")</f>
        <v>Best marketing concepts to master in 2019</v>
      </c>
      <c r="B254" s="3" t="s">
        <v>1384</v>
      </c>
      <c r="C254" s="3" t="s">
        <v>1385</v>
      </c>
      <c r="D254" s="18"/>
      <c r="E254" s="18"/>
      <c r="F254" s="18"/>
      <c r="G254" s="18"/>
      <c r="H254" s="61" t="s">
        <v>1386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5.75" customHeight="1">
      <c r="A255" s="11" t="str">
        <f>HYPERLINK("https://docs.google.com/document/d/1-mX0wUdJstOJ_uXvBUm8ezQLwHC7CGW9aDeCI3Txf-k/edit?ts=5c9530b7","Ten marketing terms every creative executive should know in 2019")</f>
        <v>Ten marketing terms every creative executive should know in 2019</v>
      </c>
      <c r="B255" s="3" t="s">
        <v>1387</v>
      </c>
      <c r="C255" s="3" t="s">
        <v>1388</v>
      </c>
      <c r="D255" s="18"/>
      <c r="E255" s="18"/>
      <c r="F255" s="18"/>
      <c r="G255" s="18"/>
      <c r="H255" s="61" t="s">
        <v>1389</v>
      </c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5.75" customHeight="1">
      <c r="A256" s="71" t="str">
        <f>HYPERLINK("https://docs.google.com/document/d/1RmP-VzLDkSsCWX74NAcectlxHXwIksROTePMcBkJe5s/edit","The Rise of Telehealth Technologies")</f>
        <v>The Rise of Telehealth Technologies</v>
      </c>
      <c r="B256" s="72" t="s">
        <v>1390</v>
      </c>
      <c r="H256" s="60" t="s">
        <v>1391</v>
      </c>
    </row>
    <row r="257" spans="1:29" ht="15.75" customHeight="1">
      <c r="A257" s="11" t="str">
        <f>HYPERLINK("https://docs.google.com/document/d/1of9m2fHAcs824iTRVl7FN6HDHutq47duo_-KME58Bd8/edit","8 Benefits of Drinking More Water")</f>
        <v>8 Benefits of Drinking More Water</v>
      </c>
      <c r="B257" s="61" t="s">
        <v>1392</v>
      </c>
      <c r="C257" s="18"/>
      <c r="D257" s="18"/>
      <c r="E257" s="18"/>
      <c r="F257" s="18"/>
      <c r="G257" s="18"/>
      <c r="H257" s="61" t="s">
        <v>1393</v>
      </c>
      <c r="I257" s="72" t="s">
        <v>1037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5.75" customHeight="1">
      <c r="A258" s="11" t="str">
        <f>HYPERLINK("https://docs.google.com/document/d/1sk-H6nwqlD1TTU-UW0adWJzVGUnkG_abSZkX2_Xz08k/edit","Best Rooftop Bars In The World")</f>
        <v>Best Rooftop Bars In The World</v>
      </c>
      <c r="B258" s="3" t="s">
        <v>1394</v>
      </c>
      <c r="C258" s="18"/>
      <c r="D258" s="18"/>
      <c r="E258" s="18"/>
      <c r="F258" s="18"/>
      <c r="G258" s="18"/>
      <c r="H258" s="61" t="s">
        <v>1395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5.75" customHeight="1">
      <c r="A259" s="71" t="str">
        <f>HYPERLINK("https://docs.google.com/document/d/1dx2BYPj3qY4WBcm9A8OMddh5Et7tqmvzjc7sXSi9uzs/edit","What is HITRUST and What Does It Mean for Development Companies? ")</f>
        <v xml:space="preserve">What is HITRUST and What Does It Mean for Development Companies? </v>
      </c>
      <c r="B259" s="72" t="s">
        <v>1396</v>
      </c>
      <c r="C259" s="146" t="s">
        <v>1397</v>
      </c>
      <c r="H259" s="60" t="s">
        <v>1398</v>
      </c>
    </row>
    <row r="260" spans="1:29" ht="15.75" customHeight="1">
      <c r="A260" s="11" t="str">
        <f>HYPERLINK("https://docs.google.com/document/d/1EgvDEiIeTyScYiNjQwi8-gm1hL4nxpq3GcHhIzpxwuk/edit","Why should your IT Company become HITRUST certified?")</f>
        <v>Why should your IT Company become HITRUST certified?</v>
      </c>
      <c r="B260" s="3" t="s">
        <v>1399</v>
      </c>
      <c r="C260" s="72" t="s">
        <v>1397</v>
      </c>
      <c r="D260" s="18"/>
      <c r="E260" s="18"/>
      <c r="F260" s="18"/>
      <c r="G260" s="18"/>
      <c r="H260" s="61" t="s">
        <v>1401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5.75" customHeight="1">
      <c r="A261" s="11" t="str">
        <f>HYPERLINK("https://docs.google.com/document/d/1H9EAEOi7cx-VQnw427LxOWr_jy-9ZJWoxfM-tUSWErM/edit","Why Having An ADA Noncompliant Website Isn’t Cost Effective")</f>
        <v>Why Having An ADA Noncompliant Website Isn’t Cost Effective</v>
      </c>
      <c r="B261" s="3" t="s">
        <v>1402</v>
      </c>
      <c r="C261" s="72" t="s">
        <v>1397</v>
      </c>
      <c r="D261" s="18"/>
      <c r="E261" s="18"/>
      <c r="F261" s="18"/>
      <c r="G261" s="18"/>
      <c r="H261" s="61" t="s">
        <v>1403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5.75" customHeight="1">
      <c r="A262" s="11" t="str">
        <f>HYPERLINK("https://docs.google.com/document/d/1QJtbU_WSHlTvXN3hyvw2hu6-kYcF3BetHrcaMNtg6B4/edit","6 Tips For Developing An IT Marketing Strategy")</f>
        <v>6 Tips For Developing An IT Marketing Strategy</v>
      </c>
      <c r="B262" s="3" t="s">
        <v>1404</v>
      </c>
      <c r="C262" s="3" t="s">
        <v>1405</v>
      </c>
      <c r="D262" s="18"/>
      <c r="E262" s="18"/>
      <c r="F262" s="18"/>
      <c r="G262" s="18"/>
      <c r="H262" s="61" t="s">
        <v>1406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5.75" customHeight="1">
      <c r="A263" s="71" t="str">
        <f>HYPERLINK("https://docs.google.com/document/d/1Mim1UZhG00vN75BzlBArfwhFohC86TPPbFyV-OkUO3k/edit","9 Technology Changes Impacting the Consumer Experience in Finance Today")</f>
        <v>9 Technology Changes Impacting the Consumer Experience in Finance Today</v>
      </c>
      <c r="H263" s="60" t="s">
        <v>1407</v>
      </c>
    </row>
    <row r="264" spans="1:29" ht="15.75" customHeight="1">
      <c r="A264" s="71" t="str">
        <f>HYPERLINK("https://docs.google.com/document/d/1DD8RXtq0QCBpbx8tWSd9Ba4Y4fFIxDZn1bWIjXNtR_I/edit?ts=5ca2254c#","How I stay hydrated on every flight")</f>
        <v>How I stay hydrated on every flight</v>
      </c>
      <c r="H264" s="60" t="s">
        <v>1408</v>
      </c>
      <c r="I264" s="72" t="s">
        <v>1037</v>
      </c>
    </row>
    <row r="265" spans="1:29" ht="15.75" customHeight="1">
      <c r="A265" s="71" t="str">
        <f>HYPERLINK("https://docs.google.com/document/d/1klEc3UXwBk4gTOkZKIXx6RPgSoW9W4XkMCUXNZVoOUk/edit?ts=5ca2256e#heading=h.d0xmz7wy0m4r","Best travel gear of 2019")</f>
        <v>Best travel gear of 2019</v>
      </c>
      <c r="H265" s="60" t="s">
        <v>1411</v>
      </c>
      <c r="I265" s="72" t="s">
        <v>1037</v>
      </c>
    </row>
    <row r="266" spans="1:29" ht="15.75" customHeight="1">
      <c r="A266" s="71" t="str">
        <f>HYPERLINK("https://docs.google.com/document/d/1Oaqc5EPpDEkilybK5KfpBqa0okZaaQSoFKeENJ2PO4M/edit?ts=5ca2257e#","What do stay at home moms do all day")</f>
        <v>What do stay at home moms do all day</v>
      </c>
      <c r="H266" s="60" t="s">
        <v>1412</v>
      </c>
      <c r="I266" s="72" t="s">
        <v>1037</v>
      </c>
    </row>
    <row r="267" spans="1:29" ht="15.75" customHeight="1">
      <c r="A267" s="11" t="str">
        <f>HYPERLINK("https://docs.google.com/document/d/1aH1GeE__-wkz-twFmKN5Df7o_vKFnF8Ps45GJ74ndtg/edit","How To Leverage Social Media To Get Visibility For Your Health Mobile App")</f>
        <v>How To Leverage Social Media To Get Visibility For Your Health Mobile App</v>
      </c>
      <c r="B267" s="3" t="s">
        <v>1414</v>
      </c>
      <c r="C267" s="18"/>
      <c r="D267" s="18"/>
      <c r="E267" s="18"/>
      <c r="F267" s="18"/>
      <c r="G267" s="18"/>
      <c r="H267" s="61" t="s">
        <v>1415</v>
      </c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5.75" customHeight="1">
      <c r="A268" s="11" t="str">
        <f>HYPERLINK("https://docs.google.com/document/d/13X2VEKtWUwhzJ90G4lvxUPS-OJb26N_1PYX4Xa6jwU4/edit","How To Deal With Healthcare PR In The Wake Of The Opioid Crisis")</f>
        <v>How To Deal With Healthcare PR In The Wake Of The Opioid Crisis</v>
      </c>
      <c r="B268" s="3" t="s">
        <v>1416</v>
      </c>
      <c r="C268" s="3" t="s">
        <v>1417</v>
      </c>
      <c r="D268" s="18"/>
      <c r="E268" s="18"/>
      <c r="F268" s="18"/>
      <c r="G268" s="18"/>
      <c r="H268" s="61" t="s">
        <v>1418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5.75" customHeight="1">
      <c r="A269" s="11" t="str">
        <f>HYPERLINK("https://docs.google.com/document/d/1IL3kQvjE1IxCSmAUMrI2X6Eu5E9tjWsZWpAaHZgz5uM/edit","6 Perfect Gifts to Keep Your Student Motivated Through Until Summer")</f>
        <v>6 Perfect Gifts to Keep Your Student Motivated Through Until Summer</v>
      </c>
      <c r="B269" s="3" t="s">
        <v>1420</v>
      </c>
      <c r="C269" s="18"/>
      <c r="D269" s="18"/>
      <c r="E269" s="18"/>
      <c r="F269" s="18"/>
      <c r="G269" s="18"/>
      <c r="H269" s="61" t="s">
        <v>1421</v>
      </c>
      <c r="I269" s="3" t="s">
        <v>1037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5.75" customHeight="1">
      <c r="A270" s="11" t="str">
        <f>HYPERLINK("https://docs.google.com/document/d/1FKsqvsN1w6s30_hVdvWMDLlla7OIx6YSB4Sv3wpXp8Y/edit","Celebrating Earth Day In Style This Year")</f>
        <v>Celebrating Earth Day In Style This Year</v>
      </c>
      <c r="B270" s="3" t="s">
        <v>1423</v>
      </c>
      <c r="C270" s="18"/>
      <c r="D270" s="18"/>
      <c r="E270" s="18"/>
      <c r="F270" s="18"/>
      <c r="G270" s="18"/>
      <c r="H270" s="61" t="s">
        <v>1424</v>
      </c>
      <c r="I270" s="3" t="s">
        <v>1037</v>
      </c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5.75" customHeight="1">
      <c r="A271" s="11" t="str">
        <f>HYPERLINK("https://docs.google.com/document/d/16ZduthBz8ZCwMzUJHq84VqHGzvuaA_U00rdB0sPsalQ/edit","10 Ways to Get Ready for Summer")</f>
        <v>10 Ways to Get Ready for Summer</v>
      </c>
      <c r="B271" s="3" t="s">
        <v>1425</v>
      </c>
      <c r="C271" s="18"/>
      <c r="D271" s="18"/>
      <c r="E271" s="18"/>
      <c r="F271" s="18"/>
      <c r="G271" s="18"/>
      <c r="H271" s="61" t="s">
        <v>1426</v>
      </c>
      <c r="I271" s="3" t="s">
        <v>1037</v>
      </c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5.75" customHeight="1">
      <c r="A272" s="11" t="str">
        <f>HYPERLINK("https://docs.google.com/document/d/1ZyFEL3F8XjRQkNoGepjg6tPHHknj1q8-fjQVGCOLSB4/edit","How Astaxanthin Helps With Weight Loss")</f>
        <v>How Astaxanthin Helps With Weight Loss</v>
      </c>
      <c r="B272" s="3" t="s">
        <v>1427</v>
      </c>
      <c r="C272" s="3" t="s">
        <v>1428</v>
      </c>
      <c r="D272" s="18"/>
      <c r="E272" s="18"/>
      <c r="F272" s="18"/>
      <c r="G272" s="18"/>
      <c r="H272" s="61" t="s">
        <v>1429</v>
      </c>
      <c r="I272" s="3" t="s">
        <v>1037</v>
      </c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5.75" customHeight="1">
      <c r="A273" s="11" t="str">
        <f>HYPERLINK("https://docs.google.com/document/d/16y38g3NbXArHmOOmjWIhlKHF4sGVz-5O_3b4AYTVF64/edit?ts=5c9530d0#heading=h.waeqvt63tk43","Eight cool gifts for girls you can buy today")</f>
        <v>Eight cool gifts for girls you can buy today</v>
      </c>
      <c r="B273" s="3" t="s">
        <v>1430</v>
      </c>
      <c r="C273" s="3" t="s">
        <v>1388</v>
      </c>
      <c r="D273" s="18"/>
      <c r="E273" s="18"/>
      <c r="F273" s="18"/>
      <c r="G273" s="18"/>
      <c r="H273" s="61" t="s">
        <v>1431</v>
      </c>
      <c r="I273" s="3" t="s">
        <v>1037</v>
      </c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5.75" customHeight="1">
      <c r="A274" s="11" t="str">
        <f>HYPERLINK("https://docs.google.com/document/d/1ISa9BKEq0WVdspQrK_U1qeW3SvZgLIjRowxMzeCQAvY/edit","10 Unique Gifts for Spring")</f>
        <v>10 Unique Gifts for Spring</v>
      </c>
      <c r="B274" s="3" t="s">
        <v>1432</v>
      </c>
      <c r="C274" s="18"/>
      <c r="D274" s="18"/>
      <c r="E274" s="18"/>
      <c r="F274" s="18"/>
      <c r="G274" s="18"/>
      <c r="H274" s="61" t="s">
        <v>1433</v>
      </c>
      <c r="I274" s="3" t="s">
        <v>1037</v>
      </c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5.75" customHeight="1">
      <c r="A275" s="11" t="str">
        <f>HYPERLINK("https://docs.google.com/document/d/1iSsUY8HzyO4vF_uRSooFJ5j9UfzTq_s9LFg-yO-a0bw/edit?ts=5c8fe496#heading=h.2gngwzsc56gl","9 cool gifts for boys")</f>
        <v>9 cool gifts for boys</v>
      </c>
      <c r="B275" s="147" t="s">
        <v>1434</v>
      </c>
      <c r="C275" s="3" t="s">
        <v>1385</v>
      </c>
      <c r="D275" s="18"/>
      <c r="E275" s="18"/>
      <c r="F275" s="18"/>
      <c r="G275" s="18"/>
      <c r="H275" s="61" t="s">
        <v>1435</v>
      </c>
      <c r="I275" s="3" t="s">
        <v>1037</v>
      </c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5.75" customHeight="1">
      <c r="A276" s="11" t="str">
        <f>HYPERLINK("https://docs.google.com/document/d/1ao21DC0F-4T54k96C1U8mIfvFMe-pyq2CL63NqfvVs0/edit?ts=5c977571#","Fitness essentials for a great workout")</f>
        <v>Fitness essentials for a great workout</v>
      </c>
      <c r="B276" s="3" t="s">
        <v>1436</v>
      </c>
      <c r="C276" s="3" t="s">
        <v>1385</v>
      </c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5.75" customHeight="1">
      <c r="A277" s="71" t="str">
        <f>HYPERLINK("https://docs.google.com/document/d/148QWZ0gWctQgaCOcIQAtX0YQR1T4KJYvXJgxL1YMLAQ/edit","HITRUST Security Framework: All You Need to Know")</f>
        <v>HITRUST Security Framework: All You Need to Know</v>
      </c>
      <c r="B277" s="3" t="s">
        <v>1437</v>
      </c>
      <c r="C277" s="3" t="s">
        <v>1330</v>
      </c>
      <c r="H277" s="60" t="s">
        <v>1438</v>
      </c>
    </row>
    <row r="278" spans="1:29" ht="15.75" customHeight="1">
      <c r="A278" s="71" t="str">
        <f>HYPERLINK("https://docs.google.com/document/d/1PcxHbwoqIGKhV01DGpLDFfVUZsJxiJNfHhtg9Oqlb3U/edit","Differences Between HIPAA and HITRUST Certifications: All You Need to Know")</f>
        <v>Differences Between HIPAA and HITRUST Certifications: All You Need to Know</v>
      </c>
      <c r="B278" s="148" t="s">
        <v>1440</v>
      </c>
      <c r="H278" s="60" t="s">
        <v>1441</v>
      </c>
    </row>
    <row r="279" spans="1:29" ht="15.75" customHeight="1">
      <c r="A279" s="71" t="str">
        <f>HYPERLINK("https://docs.google.com/document/d/18APXNpKdKlylL4aGAF5-5Ldsi5WlAFjVctejHeEq_o4/edit","Data-driven marketing: what it is and how does it work")</f>
        <v>Data-driven marketing: what it is and how does it work</v>
      </c>
      <c r="B279" s="72" t="s">
        <v>1442</v>
      </c>
      <c r="C279" s="72" t="s">
        <v>1443</v>
      </c>
      <c r="H279" s="60" t="s">
        <v>1444</v>
      </c>
      <c r="I279" s="72" t="s">
        <v>1445</v>
      </c>
    </row>
    <row r="280" spans="1:29" ht="15.75" customHeight="1">
      <c r="A280" s="149" t="str">
        <f>HYPERLINK("https://docs.google.com/document/d/1Ijigmhs1QsgW0tdeJKCQBwAZqLyXpyoD4lVZh1hJvRY/edit","Connected Health And The Patient Experience Is the Future of Healthcare")</f>
        <v>Connected Health And The Patient Experience Is the Future of Healthcare</v>
      </c>
      <c r="B280" s="150" t="s">
        <v>1446</v>
      </c>
      <c r="H280" s="60" t="s">
        <v>1447</v>
      </c>
      <c r="I280" s="72" t="s">
        <v>1448</v>
      </c>
    </row>
    <row r="281" spans="1:29" ht="15.75" customHeight="1">
      <c r="A281" s="71" t="str">
        <f>HYPERLINK("https://docs.google.com/document/d/1ezPc-Sj4Fe48gkbljYO6IyToJIoRb4_0Sc0TahM8tWw/edit#","7 Tips to Develop an Amazing Medical App")</f>
        <v>7 Tips to Develop an Amazing Medical App</v>
      </c>
      <c r="B281" s="72" t="s">
        <v>1449</v>
      </c>
      <c r="C281" s="72" t="s">
        <v>1450</v>
      </c>
      <c r="H281" s="60" t="s">
        <v>1451</v>
      </c>
      <c r="I281" s="72" t="s">
        <v>1452</v>
      </c>
    </row>
    <row r="282" spans="1:29" ht="15.75" customHeight="1">
      <c r="A282" s="11" t="str">
        <f>HYPERLINK("https://docs.google.com/document/d/1gboqSa4hL1fKjxxzIoQUGiQmRfb1BJVdFOuOsbinPvQ/edit","Most effective online marketing strategies in 2019")</f>
        <v>Most effective online marketing strategies in 2019</v>
      </c>
      <c r="B282" s="61" t="s">
        <v>1453</v>
      </c>
      <c r="C282" s="72" t="s">
        <v>1445</v>
      </c>
      <c r="H282" s="60" t="s">
        <v>1454</v>
      </c>
      <c r="I282" s="72" t="s">
        <v>1445</v>
      </c>
    </row>
    <row r="283" spans="1:29" ht="15.75" customHeight="1">
      <c r="A283" s="11" t="str">
        <f>HYPERLINK("https://docs.google.com/document/d/1kYKP8dLlatQl6OJ-3gH_j9Seer8i3EzYM0GWKj8S_wI/edit#","How to market a medical device like a pro")</f>
        <v>How to market a medical device like a pro</v>
      </c>
      <c r="B283" s="61" t="s">
        <v>1455</v>
      </c>
      <c r="C283" s="72" t="s">
        <v>1445</v>
      </c>
      <c r="H283" s="60" t="s">
        <v>1456</v>
      </c>
      <c r="I283" s="72" t="s">
        <v>1445</v>
      </c>
    </row>
    <row r="284" spans="1:29" ht="15.75" customHeight="1">
      <c r="A284" s="11" t="str">
        <f>HYPERLINK("https://docs.google.com/document/d/1IgTrUTREXeGC36Hzh-u_YDW23IaR6hTnaHU6mwmWiK8/edit","5 tips to measure the ROI of your marketing effort")</f>
        <v>5 tips to measure the ROI of your marketing effort</v>
      </c>
      <c r="B284" s="61" t="s">
        <v>488</v>
      </c>
      <c r="C284" s="72" t="s">
        <v>1445</v>
      </c>
      <c r="H284" s="60" t="s">
        <v>1457</v>
      </c>
      <c r="I284" s="72" t="s">
        <v>1445</v>
      </c>
    </row>
    <row r="285" spans="1:29" ht="15.75" customHeight="1">
      <c r="A285" s="11" t="str">
        <f>HYPERLINK("https://docs.google.com/document/d/1puCXn0h1gA3-TgshMDo-K8uSJYMBYUnzPcKwuHt7xTc/edit#","How to leverage social media to get visibility online")</f>
        <v>How to leverage social media to get visibility online</v>
      </c>
      <c r="B285" s="61" t="s">
        <v>1458</v>
      </c>
      <c r="C285" s="72" t="s">
        <v>1445</v>
      </c>
      <c r="H285" s="60" t="s">
        <v>1459</v>
      </c>
      <c r="I285" s="72" t="s">
        <v>1445</v>
      </c>
    </row>
    <row r="286" spans="1:29" ht="15.75" customHeight="1">
      <c r="A286" s="11" t="str">
        <f>HYPERLINK("https://docs.google.com/document/d/11-KrZwD-Y7Cjm3QlJKebpFXuXpHBCK8eBpF1jifZftI/edit#","9 Social media marketing techniques that your IT company is missing out on  ")</f>
        <v xml:space="preserve">9 Social media marketing techniques that your IT company is missing out on  </v>
      </c>
      <c r="B286" s="61" t="s">
        <v>196</v>
      </c>
      <c r="C286" s="72" t="s">
        <v>1445</v>
      </c>
      <c r="H286" s="60" t="s">
        <v>1461</v>
      </c>
      <c r="I286" s="72" t="s">
        <v>1445</v>
      </c>
    </row>
    <row r="287" spans="1:29" ht="15.75" customHeight="1">
      <c r="A287" s="71" t="str">
        <f>HYPERLINK("https://docs.google.com/document/d/1Oaqc5EPpDEkilybK5KfpBqa0okZaaQSoFKeENJ2PO4M/edit?ts=5ca2257e#","What do stay at home moms do all day?")</f>
        <v>What do stay at home moms do all day?</v>
      </c>
      <c r="B287" s="61" t="s">
        <v>1453</v>
      </c>
      <c r="H287" s="60" t="s">
        <v>1462</v>
      </c>
      <c r="I287" s="72" t="s">
        <v>1037</v>
      </c>
    </row>
    <row r="288" spans="1:29" ht="15.75" customHeight="1">
      <c r="A288" s="71" t="str">
        <f>HYPERLINK("https://docs.google.com/document/d/1dvMG4J14I7Tnsw1KsfB-tF5AHQpNzyMn_JEmb0Vy8zc/edit#","5 insulated water bottles you should know about in 2019")</f>
        <v>5 insulated water bottles you should know about in 2019</v>
      </c>
      <c r="B288" s="61" t="s">
        <v>1455</v>
      </c>
      <c r="C288" s="72" t="s">
        <v>1463</v>
      </c>
      <c r="H288" s="60" t="s">
        <v>1464</v>
      </c>
      <c r="I288" s="72" t="s">
        <v>1037</v>
      </c>
    </row>
    <row r="289" spans="1:9" ht="15.75" customHeight="1">
      <c r="A289" s="71" t="str">
        <f>HYPERLINK("https://docs.google.com/document/d/1yZVSAATwkdZVpEdzhYlo00cFSqRNuIzd1IRyoXf2H-s/edit#","5 things I never go to the gym without")</f>
        <v>5 things I never go to the gym without</v>
      </c>
      <c r="B289" s="151" t="s">
        <v>1465</v>
      </c>
      <c r="H289" s="60" t="s">
        <v>1466</v>
      </c>
      <c r="I289" s="72" t="s">
        <v>1037</v>
      </c>
    </row>
    <row r="290" spans="1:9" ht="15.75" customHeight="1">
      <c r="A290" s="11" t="str">
        <f>HYPERLINK("https://docs.google.com/document/d/1UiY1aoxHHXB8lBmBHlo6Y4oM9Lwiw3aGckcHlDHijsw/edit","Rare conditions can be managed using telemedicine")</f>
        <v>Rare conditions can be managed using telemedicine</v>
      </c>
      <c r="B290" s="116" t="s">
        <v>488</v>
      </c>
      <c r="C290" s="18"/>
      <c r="H290" s="60" t="s">
        <v>1467</v>
      </c>
    </row>
    <row r="291" spans="1:9" ht="15.75" customHeight="1">
      <c r="A291" s="71" t="str">
        <f>HYPERLINK("https://docs.google.com/document/d/1p7yTwyocH-q1dLZhARl8IQ05Pwc90aYTFsv8x973xDE/edit","6 Health Reasons Why You Should Eat More Salmon")</f>
        <v>6 Health Reasons Why You Should Eat More Salmon</v>
      </c>
      <c r="B291" s="60" t="s">
        <v>272</v>
      </c>
      <c r="C291" s="72" t="s">
        <v>1468</v>
      </c>
      <c r="H291" s="60" t="s">
        <v>1469</v>
      </c>
    </row>
    <row r="292" spans="1:9" ht="15.75" customHeight="1">
      <c r="A292" s="71" t="str">
        <f>HYPERLINK("https://docs.google.com/document/d/1vRErMTuKRjbsMgWUtSApDr9DXvamW-2woCt2MAPO7X4/edit#heading=h.4j6uk21wu8dc","What Exactly Is Data-Driven Marketing?")</f>
        <v>What Exactly Is Data-Driven Marketing?</v>
      </c>
      <c r="B292" s="72" t="s">
        <v>1470</v>
      </c>
      <c r="C292" s="72" t="s">
        <v>1445</v>
      </c>
      <c r="H292" s="60" t="s">
        <v>1471</v>
      </c>
      <c r="I292" s="72" t="s">
        <v>1445</v>
      </c>
    </row>
    <row r="293" spans="1:9" ht="15.75" customHeight="1">
      <c r="A293" s="71" t="str">
        <f>HYPERLINK("https://docs.google.com/document/d/1eU9mzQXkWjIHvefh6-f43Qu4Ym_wAVan1I3VNsR8ko8/edit#","5 Actionable Tips to a Data-Driven Content Marketing Strategy")</f>
        <v>5 Actionable Tips to a Data-Driven Content Marketing Strategy</v>
      </c>
      <c r="B293" s="72" t="s">
        <v>1472</v>
      </c>
      <c r="C293" s="72" t="s">
        <v>1445</v>
      </c>
      <c r="H293" s="60" t="s">
        <v>1473</v>
      </c>
      <c r="I293" s="72" t="s">
        <v>1445</v>
      </c>
    </row>
    <row r="294" spans="1:9" ht="15.75" customHeight="1">
      <c r="A294" s="71" t="str">
        <f>HYPERLINK("https://docs.google.com/document/d/1mKnGLbCgUFz3n0CSKZ6eyuFpKkrBJPgbqcc6Wh0snT0/edit#","6 ways to be more eco-friendly &amp; a better person")</f>
        <v>6 ways to be more eco-friendly &amp; a better person</v>
      </c>
      <c r="B294" s="72" t="s">
        <v>1474</v>
      </c>
      <c r="H294" s="60" t="s">
        <v>1475</v>
      </c>
      <c r="I294" s="72" t="s">
        <v>1037</v>
      </c>
    </row>
    <row r="295" spans="1:9" ht="15.75" customHeight="1">
      <c r="A295" s="71" t="str">
        <f>HYPERLINK("https://docs.google.com/document/d/13s9OXc8hBhiGL5KhSOdUI2WmuDMD5NzOhXL9Yr-apXY/edit","The Evolution of ADA Compliance and What It Means in the Digital Age")</f>
        <v>The Evolution of ADA Compliance and What It Means in the Digital Age</v>
      </c>
      <c r="B295" s="116" t="s">
        <v>644</v>
      </c>
      <c r="C295" s="72" t="s">
        <v>1330</v>
      </c>
      <c r="H295" s="60" t="s">
        <v>1476</v>
      </c>
    </row>
    <row r="296" spans="1:9" ht="15.75" customHeight="1">
      <c r="A296" s="11" t="str">
        <f>HYPERLINK("https://docs.google.com/document/d/1FVn38GclvKv4efHluwVljsUKJqwcczcGbfbmREZv2uY/edit","6 Things You Didn’t Know About Mobile App Marketing In 2019")</f>
        <v>6 Things You Didn’t Know About Mobile App Marketing In 2019</v>
      </c>
      <c r="B296" s="61" t="s">
        <v>269</v>
      </c>
      <c r="C296" s="72" t="s">
        <v>1445</v>
      </c>
      <c r="H296" s="60" t="s">
        <v>1477</v>
      </c>
    </row>
    <row r="297" spans="1:9" ht="15.75" customHeight="1">
      <c r="A297" s="71" t="str">
        <f>HYPERLINK("https://docs.google.com/document/d/1xQj35Rmj0OoSfMxTzvjMcvDYapo2qxu0xlKU8k6_RAw/edit","Cool Marketing Strategies to Grow your B2B Businesses in 2019")</f>
        <v>Cool Marketing Strategies to Grow your B2B Businesses in 2019</v>
      </c>
      <c r="B297" s="61" t="s">
        <v>1478</v>
      </c>
      <c r="C297" s="72" t="s">
        <v>1445</v>
      </c>
      <c r="H297" s="60" t="s">
        <v>1479</v>
      </c>
    </row>
    <row r="298" spans="1:9" ht="15.75" customHeight="1">
      <c r="A298" s="71" t="str">
        <f>HYPERLINK("https://docs.google.com/document/d/1OxFStSBHc6pV7Ym0-0Iubtf6Rm5hQmUA_yjOEp_t6vs/edit#","5 Ways I stay in shape in shape while working out at home")</f>
        <v>5 Ways I stay in shape in shape while working out at home</v>
      </c>
      <c r="B298" s="72" t="s">
        <v>348</v>
      </c>
      <c r="H298" s="60" t="s">
        <v>1480</v>
      </c>
    </row>
    <row r="299" spans="1:9" ht="15.75" customHeight="1">
      <c r="A299" s="149" t="str">
        <f>HYPERLINK("https://docs.google.com/document/d/1-w_t1pzYsG7MX4JClqTqpQOMSWba11KBFpIThQf83lo/edit","9 New Medical Technologies Doctors Should Be Aware of in 2019")</f>
        <v>9 New Medical Technologies Doctors Should Be Aware of in 2019</v>
      </c>
      <c r="B299" s="60" t="s">
        <v>248</v>
      </c>
      <c r="H299" s="60" t="s">
        <v>1482</v>
      </c>
      <c r="I299" s="72" t="s">
        <v>1448</v>
      </c>
    </row>
    <row r="300" spans="1:9" ht="15.75" customHeight="1">
      <c r="A300" s="71" t="str">
        <f>HYPERLINK("https://docs.google.com/document/d/1bKiUrnxLR2LNhiNwP5-BD0B5l8LkKP-3VT_mbzNz0H0/edit","6 strategies to market your mobile app after launch
 ")</f>
        <v xml:space="preserve">6 strategies to market your mobile app after launch_x000D_ </v>
      </c>
      <c r="B300" s="60" t="s">
        <v>248</v>
      </c>
      <c r="C300" s="3" t="s">
        <v>1445</v>
      </c>
      <c r="H300" s="60" t="s">
        <v>1483</v>
      </c>
      <c r="I300" s="72" t="s">
        <v>1445</v>
      </c>
    </row>
    <row r="301" spans="1:9" ht="15.75" customHeight="1">
      <c r="A301" s="71" t="str">
        <f>HYPERLINK("https://docs.google.com/document/d/1NA7XrTyoOESgQPNBT8_gJ0BGHMBhyus7F-ZhJXDc2mA/edit","App Marketing Tips To Try Out In 2019")</f>
        <v>App Marketing Tips To Try Out In 2019</v>
      </c>
      <c r="B301" s="72" t="s">
        <v>1484</v>
      </c>
      <c r="H301" s="60" t="s">
        <v>1485</v>
      </c>
      <c r="I301" s="72" t="s">
        <v>1445</v>
      </c>
    </row>
    <row r="302" spans="1:9" ht="15.75" customHeight="1">
      <c r="A302" s="149" t="str">
        <f>HYPERLINK("https://docs.google.com/document/d/13OBcyhmObhcPJC--3_hK5p0gSA_xfUHX27aoExIqjAs/edit","Why Medical Device Software Is The Future of Healthcare, as we know it")</f>
        <v>Why Medical Device Software Is The Future of Healthcare, as we know it</v>
      </c>
      <c r="B302" s="150" t="s">
        <v>1486</v>
      </c>
      <c r="H302" s="60" t="s">
        <v>1487</v>
      </c>
      <c r="I302" s="72" t="s">
        <v>1448</v>
      </c>
    </row>
    <row r="303" spans="1:9" ht="15.75" customHeight="1">
      <c r="A303" s="71" t="str">
        <f>HYPERLINK("https://docs.google.com/document/d/1c_DIMsJJv-Q_kZXiQkz-RCVcJ6-wcR6rQ1Fq-cmLfC4/edit","6 things to do after you launch a new app")</f>
        <v>6 things to do after you launch a new app</v>
      </c>
      <c r="B303" s="60" t="s">
        <v>1488</v>
      </c>
      <c r="H303" s="60" t="s">
        <v>1489</v>
      </c>
      <c r="I303" s="72" t="s">
        <v>1445</v>
      </c>
    </row>
    <row r="304" spans="1:9" ht="15.75" customHeight="1">
      <c r="A304" s="71" t="str">
        <f>HYPERLINK("https://docs.google.com/document/d/1wCxR43cs4KCGkQq4SGyCz-Ioq73ArcTdaK5dyZ_YULc/edit","9 Amazing Software Medical Devices Reshaping the Healthcare Industry In 2019")</f>
        <v>9 Amazing Software Medical Devices Reshaping the Healthcare Industry In 2019</v>
      </c>
      <c r="B304" s="150" t="s">
        <v>1490</v>
      </c>
      <c r="H304" s="60" t="s">
        <v>1491</v>
      </c>
      <c r="I304" s="72" t="s">
        <v>1445</v>
      </c>
    </row>
    <row r="305" spans="1:29" ht="15.75" customHeight="1">
      <c r="A305" s="71" t="str">
        <f>HYPERLINK("https://docs.google.com/document/d/1tkWpiV1s-4qG4RUZ0kM6Hgg-wtcSY164ndilw-BiU6s/edit#heading=h.cs2q4vg9bsfy","How to become a green gym enthusiast in 5 simple steps")</f>
        <v>How to become a green gym enthusiast in 5 simple steps</v>
      </c>
      <c r="B305" s="72" t="s">
        <v>1492</v>
      </c>
      <c r="H305" s="60" t="s">
        <v>1493</v>
      </c>
      <c r="I305" s="72" t="s">
        <v>1037</v>
      </c>
    </row>
    <row r="306" spans="1:29" ht="15.75" customHeight="1">
      <c r="A306" s="71" t="str">
        <f>HYPERLINK("https://docs.google.com/document/d/1qQ9ozAflSWdSYjZN4B1xVF-uNWNoUlFIT9jITEJZGOM/edit#","9 gift ideas for travelers")</f>
        <v>9 gift ideas for travelers</v>
      </c>
      <c r="B306" s="152" t="s">
        <v>1494</v>
      </c>
      <c r="H306" s="60" t="s">
        <v>1495</v>
      </c>
      <c r="I306" s="72" t="s">
        <v>1037</v>
      </c>
    </row>
    <row r="307" spans="1:29" ht="15.75" customHeight="1">
      <c r="A307" s="71" t="str">
        <f>HYPERLINK("https://docs.google.com/document/d/12GZL3BStkFilp6CAUPUKjYrur5Zmy5UjXlfKJe2cOaE/edit?ts=5ca0de5c#","Stainless Steel Bottles to keep your coffee hot")</f>
        <v>Stainless Steel Bottles to keep your coffee hot</v>
      </c>
      <c r="B307" s="72" t="s">
        <v>1496</v>
      </c>
      <c r="C307" s="3" t="s">
        <v>1330</v>
      </c>
      <c r="H307" s="60" t="s">
        <v>1497</v>
      </c>
      <c r="I307" s="72" t="s">
        <v>1037</v>
      </c>
    </row>
    <row r="308" spans="1:29" ht="15.75" customHeight="1">
      <c r="A308" s="71" t="str">
        <f>HYPERLINK("https://docs.google.com/document/d/1cqtPGYP6VVfce22YOi_eQnauIV6incJy4DKfpDR4NdE/edit","5 AWESOME GIFTS FOR YOUR GIRLFRIEND")</f>
        <v>5 AWESOME GIFTS FOR YOUR GIRLFRIEND</v>
      </c>
      <c r="B308" s="72"/>
      <c r="C308" s="72"/>
      <c r="H308" s="60" t="s">
        <v>1498</v>
      </c>
      <c r="I308" s="72" t="s">
        <v>1037</v>
      </c>
    </row>
    <row r="309" spans="1:29" ht="15.75" customHeight="1">
      <c r="A309" s="71" t="str">
        <f>HYPERLINK("https://docs.google.com/document/d/1yVw1B0LExk_bCO6Evt6gLrHIlSeG7ctZMhOE0wUzlEM/edit","11 Most Innovative Health Apps In 2019")</f>
        <v>11 Most Innovative Health Apps In 2019</v>
      </c>
      <c r="B309" s="72" t="s">
        <v>1499</v>
      </c>
      <c r="C309" s="3"/>
      <c r="H309" s="60" t="s">
        <v>1500</v>
      </c>
      <c r="I309" s="72" t="s">
        <v>1448</v>
      </c>
    </row>
    <row r="310" spans="1:29" ht="15.75" customHeight="1">
      <c r="A310" s="71" t="str">
        <f>HYPERLINK("https://docs.google.com/document/d/16oQASAy3rueKSdIXnWXz6CEk1O8lzrvcVAe4nBLaWIw/edit","7 Groundbreaking Medical Devices from CES 2019 ")</f>
        <v xml:space="preserve">7 Groundbreaking Medical Devices from CES 2019 </v>
      </c>
      <c r="B310" s="72" t="s">
        <v>214</v>
      </c>
      <c r="C310" s="72" t="s">
        <v>1501</v>
      </c>
      <c r="H310" s="60" t="s">
        <v>1502</v>
      </c>
      <c r="I310" s="72" t="s">
        <v>1448</v>
      </c>
    </row>
    <row r="311" spans="1:29" ht="15.75" customHeight="1">
      <c r="A311" s="71" t="str">
        <f>HYPERLINK("https://docs.google.com/document/d/1lij9yXAV-ynm62VcUmsuMEVkHBCAEQOQe7egHEmtMEw/edit","11 Examples of How Voice Technology Is Taking over Healthcare")</f>
        <v>11 Examples of How Voice Technology Is Taking over Healthcare</v>
      </c>
      <c r="B311" s="72" t="s">
        <v>1503</v>
      </c>
      <c r="H311" s="60" t="s">
        <v>1504</v>
      </c>
      <c r="I311" s="72" t="s">
        <v>1448</v>
      </c>
    </row>
    <row r="312" spans="1:29" ht="15.75" customHeight="1">
      <c r="A312" s="71" t="str">
        <f>HYPERLINK("https://docs.google.com/document/d/1EwJmEUWNwiqjinayTcVfJnbgoUZma8hWIfrnXxcjw2s/edit","5 Marketing trends that help with brand awareness")</f>
        <v>5 Marketing trends that help with brand awareness</v>
      </c>
      <c r="B312" s="72" t="s">
        <v>1505</v>
      </c>
      <c r="D312" s="18"/>
      <c r="E312" s="18"/>
      <c r="F312" s="18"/>
      <c r="G312" s="18"/>
      <c r="H312" s="61" t="s">
        <v>1506</v>
      </c>
      <c r="I312" s="72" t="s">
        <v>1445</v>
      </c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5.75" customHeight="1">
      <c r="A313" s="71" t="str">
        <f>HYPERLINK("https://docs.google.com/document/d/1nMDHesWM5HVCq_rC2VD5_mYyJAemrvPm3DDAD7EJVLs/edit#","Tips for a perfectly optimized landing page")</f>
        <v>Tips for a perfectly optimized landing page</v>
      </c>
      <c r="B313" s="72" t="s">
        <v>1507</v>
      </c>
      <c r="H313" s="60" t="s">
        <v>1508</v>
      </c>
      <c r="I313" s="72" t="s">
        <v>1445</v>
      </c>
    </row>
    <row r="314" spans="1:29" ht="15.75" customHeight="1">
      <c r="A314" s="71" t="str">
        <f>HYPERLINK("https://docs.google.com/document/d/1TxuQv0Le6gqh7sGSk3Et91pU9ycmpHdR9ajjGRxBLbc/edit#","A simple workout exercise schedule for stay at home moms")</f>
        <v>A simple workout exercise schedule for stay at home moms</v>
      </c>
      <c r="B314" s="72" t="s">
        <v>702</v>
      </c>
      <c r="H314" s="60" t="s">
        <v>1509</v>
      </c>
      <c r="I314" s="72" t="s">
        <v>1037</v>
      </c>
    </row>
    <row r="315" spans="1:29" ht="15.75" customHeight="1">
      <c r="A315" s="71" t="str">
        <f>HYPERLINK("https://docs.google.com/document/d/1mkewjTl-IkImORGCnK95D8k8Kr6GLCNpTWWoxinBL18/edit#","Modern Gifts for Every Budget")</f>
        <v>Modern Gifts for Every Budget</v>
      </c>
      <c r="B315" s="72" t="s">
        <v>1511</v>
      </c>
      <c r="D315" s="18"/>
      <c r="E315" s="18"/>
      <c r="F315" s="18"/>
      <c r="G315" s="18"/>
      <c r="H315" s="61" t="s">
        <v>1512</v>
      </c>
      <c r="I315" s="72" t="s">
        <v>1037</v>
      </c>
      <c r="J315" s="3" t="s">
        <v>1513</v>
      </c>
      <c r="K315" s="72" t="s">
        <v>1514</v>
      </c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5.75" customHeight="1">
      <c r="A316" s="71" t="str">
        <f>HYPERLINK("https://docs.google.com/document/d/1Bu_9jOc6DUqN_eKkSLb4lzSUsmOJVyOo86-KJ_VKGPE/edit#heading=h.q3tc3rllxlsx","5 reasons Why I started a Business Podcast")</f>
        <v>5 reasons Why I started a Business Podcast</v>
      </c>
      <c r="B316" s="60" t="s">
        <v>1515</v>
      </c>
      <c r="C316" s="72" t="s">
        <v>1516</v>
      </c>
      <c r="H316" s="60" t="s">
        <v>1517</v>
      </c>
      <c r="J316" s="72" t="s">
        <v>1518</v>
      </c>
    </row>
    <row r="317" spans="1:29" ht="15.75" customHeight="1">
      <c r="A317" s="71" t="str">
        <f>HYPERLINK("https://docs.google.com/document/d/1VFBFRZ6U4kEKCv_x7PzK7-EuJuNZaTWZBgijjYEbcv8/edit","A Look at Fitbit: Selecting the Best and Brightest")</f>
        <v>A Look at Fitbit: Selecting the Best and Brightest</v>
      </c>
      <c r="B317" s="72" t="s">
        <v>1519</v>
      </c>
      <c r="H317" s="60" t="s">
        <v>1520</v>
      </c>
    </row>
    <row r="318" spans="1:29" ht="15.75" customHeight="1">
      <c r="A318" s="71" t="str">
        <f>HYPERLINK("https://docs.google.com/document/d/1a5RCMwZxkOS0C5bZiNGH6ZaYwqrGmVa6Y3-86xjts0w/edit#","Why telehealth technologies continue to become more and more popular")</f>
        <v>Why telehealth technologies continue to become more and more popular</v>
      </c>
      <c r="B318" s="72" t="s">
        <v>1521</v>
      </c>
      <c r="C318" s="72" t="s">
        <v>1522</v>
      </c>
      <c r="H318" s="60" t="s">
        <v>1523</v>
      </c>
    </row>
    <row r="319" spans="1:29" ht="15.75" customHeight="1">
      <c r="A319" s="71" t="str">
        <f>HYPERLINK("https://docs.google.com/document/d/1wJFTVZ1NR5SlsMuY_omcYVJPMF9_jfFkgF4NYd0IzQ8/edit#","Why Alexa for business is the future of workplace productivity ")</f>
        <v xml:space="preserve">Why Alexa for business is the future of workplace productivity </v>
      </c>
      <c r="B319" s="72" t="s">
        <v>276</v>
      </c>
      <c r="H319" s="60" t="s">
        <v>1524</v>
      </c>
    </row>
    <row r="320" spans="1:29" ht="15.75" customHeight="1">
      <c r="A320" s="71" t="str">
        <f>HYPERLINK("https://docs.google.com/document/d/1IHaJvRhTmnJwIaV4fj-jf-0cee_2cjepTAANSZsXAXA/edit#","Ten unique gifts for friends this spring")</f>
        <v>Ten unique gifts for friends this spring</v>
      </c>
      <c r="B320" s="72" t="s">
        <v>1525</v>
      </c>
      <c r="H320" s="60" t="s">
        <v>1526</v>
      </c>
      <c r="I320" s="72" t="s">
        <v>1037</v>
      </c>
      <c r="J320" s="72" t="s">
        <v>1513</v>
      </c>
      <c r="K320" s="72" t="s">
        <v>1514</v>
      </c>
    </row>
    <row r="321" spans="1:29" ht="15.75" customHeight="1">
      <c r="A321" s="71" t="str">
        <f>HYPERLINK("https://docs.google.com/document/d/11c6JrEI8MjWYZsTmTqMUEb1zMVdp7ue5-WJgPfUymt8/edit","Five things I have in my work from home office")</f>
        <v>Five things I have in my work from home office</v>
      </c>
      <c r="H321" s="60" t="s">
        <v>1527</v>
      </c>
      <c r="I321" s="72" t="s">
        <v>1037</v>
      </c>
    </row>
    <row r="322" spans="1:29" ht="15.75" customHeight="1">
      <c r="A322" s="71" t="str">
        <f>HYPERLINK("https://docs.google.com/document/d/1a4rwgQhc7oLpZHhOzC105UyM1dLj31AUvzx3fjWs-fU/edit","5 Things Every Hospital CEO Should Know About Cybersecurity")</f>
        <v>5 Things Every Hospital CEO Should Know About Cybersecurity</v>
      </c>
      <c r="H322" s="60" t="s">
        <v>1528</v>
      </c>
      <c r="I322" s="72" t="s">
        <v>1448</v>
      </c>
    </row>
    <row r="323" spans="1:29" ht="15.75" customHeight="1">
      <c r="A323" s="71" t="str">
        <f>HYPERLINK("https://docs.google.com/document/d/1X_O8zWDlvo_SVLTpgQTS2kAQPNMmLaMnpMxVHRtezkk/edit","How brands make people care")</f>
        <v>How brands make people care</v>
      </c>
      <c r="H323" s="60" t="s">
        <v>1529</v>
      </c>
      <c r="I323" s="72" t="s">
        <v>1445</v>
      </c>
    </row>
    <row r="324" spans="1:29" ht="15.75" customHeight="1">
      <c r="A324" s="71" t="str">
        <f>HYPERLINK("https://docs.google.com/document/d/1jI8ZkeEEIdUM0roofuMp4t11gSO2mOvj9ZqZK-WjO1M/edit","Great gifts for a girlfriend who doesn't want anything")</f>
        <v>Great gifts for a girlfriend who doesn't want anything</v>
      </c>
      <c r="H324" s="60" t="s">
        <v>1530</v>
      </c>
      <c r="I324" s="72" t="s">
        <v>1037</v>
      </c>
      <c r="J324" s="72" t="s">
        <v>1531</v>
      </c>
      <c r="K324" s="72" t="s">
        <v>1513</v>
      </c>
    </row>
    <row r="325" spans="1:29" ht="15.75" customHeight="1">
      <c r="A325" s="71" t="str">
        <f>HYPERLINK("https://docs.google.com/document/d/1BiIbG831ghiSXHggGlmOePQe3AlK9NU1NW0ZVVG1T2o/edit","5 Things Every Geek Should Own")</f>
        <v>5 Things Every Geek Should Own</v>
      </c>
      <c r="H325" s="60" t="s">
        <v>1532</v>
      </c>
      <c r="I325" s="72" t="s">
        <v>1037</v>
      </c>
      <c r="J325" s="72" t="s">
        <v>1531</v>
      </c>
      <c r="K325" s="72" t="s">
        <v>1513</v>
      </c>
    </row>
    <row r="326" spans="1:29" ht="15.75" customHeight="1">
      <c r="A326" s="71" t="str">
        <f>HYPERLINK("https://docs.google.com/document/d/1xlr9zbt-h1WW-28AXVeyxq6NnKhpWTXYqgk_EPz-T_U/edit","6 B2B Marketing Mistakes Every Company Makes")</f>
        <v>6 B2B Marketing Mistakes Every Company Makes</v>
      </c>
      <c r="H326" s="60" t="s">
        <v>1533</v>
      </c>
    </row>
    <row r="327" spans="1:29" ht="15.75" customHeight="1">
      <c r="A327" s="71" t="str">
        <f>HYPERLINK("https://docs.google.com/document/d/1aScYFC-hat5OqP3tMSe5j5d5ahgg5LZ-B2m6jflRo_4/edit","More Seniors Are Warming Up To Telemedicine")</f>
        <v>More Seniors Are Warming Up To Telemedicine</v>
      </c>
      <c r="H327" s="60" t="s">
        <v>1534</v>
      </c>
      <c r="I327" s="72" t="s">
        <v>1535</v>
      </c>
    </row>
    <row r="328" spans="1:29" ht="15.75" customHeight="1">
      <c r="A328" s="71" t="str">
        <f>HYPERLINK("https://docs.google.com/document/d/12QwMBXeBbx29FLuJRqEPKw9kCByRWgjJcyCvNe0QpL4/edit#","Telemedicine - the fastest way to grow your health business")</f>
        <v>Telemedicine - the fastest way to grow your health business</v>
      </c>
      <c r="H328" s="60" t="s">
        <v>1536</v>
      </c>
      <c r="I328" s="72" t="s">
        <v>1518</v>
      </c>
    </row>
    <row r="329" spans="1:29" ht="15.75" customHeight="1">
      <c r="A329" s="71" t="str">
        <f>HYPERLINK("https://docs.google.com/document/d/19zAps_ezhysp6adII9Ow4r12BWHEasfO8yARc-_1zsQ/edit","8 Fabulous Gifts for the Tea Lover")</f>
        <v>8 Fabulous Gifts for the Tea Lover</v>
      </c>
      <c r="H329" s="60" t="s">
        <v>1537</v>
      </c>
      <c r="I329" s="72" t="s">
        <v>1037</v>
      </c>
    </row>
    <row r="330" spans="1:29" ht="15.75" customHeight="1">
      <c r="A330" s="71" t="str">
        <f>HYPERLINK("https://docs.google.com/document/d/1CKwIdmgVUilMpvgFqSUh4o1RrzUjq3ouIlF-fo-nDpg/edit","Why We Need To Streamline IT Marketing")</f>
        <v>Why We Need To Streamline IT Marketing</v>
      </c>
      <c r="H330" s="60" t="s">
        <v>1539</v>
      </c>
      <c r="I330" s="72" t="s">
        <v>1445</v>
      </c>
    </row>
    <row r="331" spans="1:29" ht="15.75" customHeight="1">
      <c r="A331" s="71" t="str">
        <f>HYPERLINK("https://docs.google.com/document/d/1ftUVm0zJoWZsGWOBc7rOJtcEzF6iY95MeLzfpd4kG9A/edit","My Packing Guide for an Awesome Trip to Africa")</f>
        <v>My Packing Guide for an Awesome Trip to Africa</v>
      </c>
      <c r="H331" s="60" t="s">
        <v>1540</v>
      </c>
      <c r="I331" s="72" t="s">
        <v>1037</v>
      </c>
    </row>
    <row r="332" spans="1:29" ht="15.75" customHeight="1">
      <c r="A332" s="11" t="str">
        <f>HYPERLINK("https://docs.google.com/document/d/1irZ-qDzcRpGXDGjGPoEJkUJUpZPyR7c8XRPjd0wIho4/edit","Wearables - A New Tool to Fight Chronic Diseases")</f>
        <v>Wearables - A New Tool to Fight Chronic Diseases</v>
      </c>
      <c r="B332" s="3" t="s">
        <v>1541</v>
      </c>
      <c r="C332" s="3" t="s">
        <v>1542</v>
      </c>
      <c r="D332" s="18"/>
      <c r="E332" s="18"/>
      <c r="F332" s="18"/>
      <c r="G332" s="18"/>
      <c r="H332" s="61" t="s">
        <v>1543</v>
      </c>
      <c r="I332" s="3" t="s">
        <v>1448</v>
      </c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5.75" customHeight="1">
      <c r="A333" s="11" t="str">
        <f>HYPERLINK("https://docs.google.com/document/d/1U-oPB8eIQjnXhINqBBPKwOyAg3mqq2hznK2P3arFji4/edit","9 Ways Patients’ Demands are Fueling the Digital Revolution")</f>
        <v>9 Ways Patients’ Demands are Fueling the Digital Revolution</v>
      </c>
      <c r="B333" s="3" t="s">
        <v>1544</v>
      </c>
      <c r="C333" s="3" t="s">
        <v>1545</v>
      </c>
      <c r="D333" s="18"/>
      <c r="E333" s="18"/>
      <c r="F333" s="18"/>
      <c r="G333" s="18"/>
      <c r="H333" s="61" t="s">
        <v>1546</v>
      </c>
      <c r="I333" s="3" t="s">
        <v>1448</v>
      </c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5.75" customHeight="1">
      <c r="A334" s="71" t="str">
        <f>HYPERLINK("https://docs.google.com/document/d/190mcH7x5SmilUwz3_jOnKChkvQ_yGpgQUs_Qb5fHnSo/edit","5 Things Every Executive Should Know about Data-Driven Marketing")</f>
        <v>5 Things Every Executive Should Know about Data-Driven Marketing</v>
      </c>
      <c r="H334" s="60" t="s">
        <v>1547</v>
      </c>
      <c r="I334" s="72" t="s">
        <v>1445</v>
      </c>
    </row>
    <row r="335" spans="1:29" ht="15.75" customHeight="1">
      <c r="A335" s="71" t="str">
        <f>HYPERLINK("https://docs.google.com/document/d/1yqJhHBxV1n4HLd3XoEsFDR-1qTglxVqSfsXT8cK0_zs/edit","Digital Trends Healthcare PR Experts Should Know About In 2019")</f>
        <v>Digital Trends Healthcare PR Experts Should Know About In 2019</v>
      </c>
      <c r="C335" s="72" t="s">
        <v>1548</v>
      </c>
      <c r="H335" s="60" t="s">
        <v>1549</v>
      </c>
      <c r="I335" s="72" t="s">
        <v>1445</v>
      </c>
    </row>
    <row r="336" spans="1:29" ht="15.75" customHeight="1">
      <c r="A336" s="71" t="str">
        <f>HYPERLINK("https://docs.google.com/document/d/1cdH82RioSVJNNC6EyYdTC9oSgp8-_xSwmW7N4ca006M/edit","5 Awesome Gifts for the Gym Enthusiast")</f>
        <v>5 Awesome Gifts for the Gym Enthusiast</v>
      </c>
      <c r="B336" s="72" t="s">
        <v>1550</v>
      </c>
      <c r="H336" s="60" t="s">
        <v>1551</v>
      </c>
      <c r="I336" s="72" t="s">
        <v>1037</v>
      </c>
    </row>
    <row r="337" spans="1:29" ht="15.75" customHeight="1">
      <c r="A337" s="71" t="str">
        <f>HYPERLINK("https://docs.google.com/document/d/19rGhyOYZ8gThe2TGwr7vydSsoBcZgZG87MJR5obF2uU/edit#","Innovative treatments for heart patients")</f>
        <v>Innovative treatments for heart patients</v>
      </c>
      <c r="B337" s="72" t="s">
        <v>1552</v>
      </c>
      <c r="C337" s="72" t="s">
        <v>1125</v>
      </c>
      <c r="H337" s="60" t="s">
        <v>1553</v>
      </c>
    </row>
    <row r="338" spans="1:29" ht="15.75" customHeight="1">
      <c r="A338" s="71" t="str">
        <f>HYPERLINK("https://docs.google.com/document/d/13TJXiluZ9s9BbffHM5mO-Yhf0uWxNAu7ZoMVaUZBgFE/edit","6 things you need if you love coffee")</f>
        <v>6 things you need if you love coffee</v>
      </c>
      <c r="B338" s="72" t="s">
        <v>1554</v>
      </c>
      <c r="H338" s="60" t="s">
        <v>1555</v>
      </c>
      <c r="I338" s="72" t="s">
        <v>1037</v>
      </c>
    </row>
    <row r="339" spans="1:29" ht="15.75" customHeight="1">
      <c r="A339" s="11" t="str">
        <f>HYPERLINK("https://docs.google.com/document/d/1PhU56CAGZG-XropiwH3aqQIYl-c3BYmEYf1EFUkr2hs/edit?ts=5c964af0#","Fitbit Trackers - which one is the best")</f>
        <v>Fitbit Trackers - which one is the best</v>
      </c>
      <c r="B339" s="72" t="s">
        <v>1554</v>
      </c>
      <c r="C339" s="61" t="s">
        <v>1557</v>
      </c>
      <c r="D339" s="18"/>
      <c r="E339" s="18"/>
      <c r="F339" s="18"/>
      <c r="G339" s="18"/>
      <c r="H339" s="61" t="s">
        <v>1558</v>
      </c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5.75" customHeight="1">
      <c r="A340" s="11" t="str">
        <f>HYPERLINK("https://docs.google.com/document/d/1b7qA0lQmaj5510aMY-UcrQAHvV8b1VfJ1yfznJNMuJA/edit","5 Things You Should Know About Healthcare Marketing In 2019")</f>
        <v>5 Things You Should Know About Healthcare Marketing In 2019</v>
      </c>
      <c r="B340" s="3" t="s">
        <v>627</v>
      </c>
      <c r="C340" s="3"/>
      <c r="D340" s="18"/>
      <c r="E340" s="18"/>
      <c r="F340" s="18"/>
      <c r="G340" s="18"/>
      <c r="H340" s="61" t="s">
        <v>1559</v>
      </c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5.75" customHeight="1">
      <c r="A341" s="71" t="str">
        <f>HYPERLINK("https://docs.google.com/document/d/1W3d5iOa7oBgiRXu_ded_FXzR2miHkUzmBRU2Onu0t9s/edit#","Five things to do to become more eco-friendly ")</f>
        <v xml:space="preserve">Five things to do to become more eco-friendly </v>
      </c>
      <c r="B341" s="72" t="s">
        <v>1552</v>
      </c>
      <c r="H341" s="60" t="s">
        <v>1560</v>
      </c>
      <c r="I341" s="72" t="s">
        <v>1037</v>
      </c>
    </row>
    <row r="342" spans="1:29" ht="15.75" customHeight="1">
      <c r="A342" s="11" t="str">
        <f>HYPERLINK("https://docs.google.com/document/d/1kf5Qa2IxgWDohh6Abxqz-KYhuuADUpNgY7uNs6WNE68/edit?ts=5c97758e#","Top modern home products this year")</f>
        <v>Top modern home products this year</v>
      </c>
      <c r="B342" s="72" t="s">
        <v>1561</v>
      </c>
      <c r="C342" s="61" t="s">
        <v>1557</v>
      </c>
      <c r="D342" s="18"/>
      <c r="E342" s="18"/>
      <c r="F342" s="18"/>
      <c r="G342" s="18"/>
      <c r="H342" s="61" t="s">
        <v>1562</v>
      </c>
      <c r="I342" s="3" t="s">
        <v>1037</v>
      </c>
      <c r="J342" s="3" t="s">
        <v>1531</v>
      </c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5.75" customHeight="1">
      <c r="A343" s="11" t="str">
        <f>HYPERLINK("https://docs.google.com/document/d/1JrgkP33AsMH_NP9fGjMzsHfY9mEZQwidKiGW1-I7_Ng/edit","What Is HITRUST? A Quick Overview Of Healthcare’s Top Security Framework")</f>
        <v>What Is HITRUST? A Quick Overview Of Healthcare’s Top Security Framework</v>
      </c>
      <c r="B343" s="3" t="s">
        <v>1563</v>
      </c>
      <c r="C343" s="18"/>
      <c r="D343" s="18"/>
      <c r="E343" s="18"/>
      <c r="F343" s="18"/>
      <c r="G343" s="18"/>
      <c r="H343" s="61" t="s">
        <v>1564</v>
      </c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5.75" customHeight="1">
      <c r="A344" s="71" t="str">
        <f>HYPERLINK("https://docs.google.com/document/d/13iZ_ak-jn142u4pHo5_UfTsTWXfyecmpxyrEVAluWkQ/edit","My favorite camping gear for 2019")</f>
        <v>My favorite camping gear for 2019</v>
      </c>
      <c r="H344" s="60" t="s">
        <v>1566</v>
      </c>
      <c r="I344" s="3" t="s">
        <v>1037</v>
      </c>
    </row>
    <row r="345" spans="1:29" ht="15.75" customHeight="1">
      <c r="A345" s="71" t="str">
        <f>HYPERLINK("https://docs.google.com/document/d/1fDXoROE1IuzuSwf1sgHsER3Z4imfsuX4GT1WlVaGqKc/edit","7 Ways To Drink More Water Everyday")</f>
        <v>7 Ways To Drink More Water Everyday</v>
      </c>
      <c r="H345" s="60" t="s">
        <v>1567</v>
      </c>
      <c r="I345" s="3" t="s">
        <v>1037</v>
      </c>
    </row>
    <row r="346" spans="1:29" ht="15.75" customHeight="1">
      <c r="A346" s="71" t="str">
        <f>HYPERLINK("https://docs.google.com/document/d/1OSI6JUHrpcxpe5xHw-Ru4oUoDSAxMoelsFWNvwhnVss/edit","8 Reasons To Take Astaxanthin Everyday")</f>
        <v>8 Reasons To Take Astaxanthin Everyday</v>
      </c>
      <c r="H346" s="60" t="s">
        <v>1568</v>
      </c>
    </row>
    <row r="347" spans="1:29" ht="15.75" customHeight="1">
      <c r="A347" s="11" t="str">
        <f>HYPERLINK("https://docs.google.com/document/d/1m8RdZsQtk1wrjQxfDayMa4L0kztmKc54q0f2KeHGk-0/edit","Report Shows Disney Dethrones Apple as the Most Intimate Brand in the World")</f>
        <v>Report Shows Disney Dethrones Apple as the Most Intimate Brand in the World</v>
      </c>
      <c r="B347" s="3" t="s">
        <v>1569</v>
      </c>
      <c r="C347" s="18"/>
      <c r="D347" s="18"/>
      <c r="E347" s="18"/>
      <c r="F347" s="18"/>
      <c r="G347" s="18"/>
      <c r="H347" s="61" t="s">
        <v>1570</v>
      </c>
      <c r="I347" s="3" t="s">
        <v>1037</v>
      </c>
      <c r="J347" s="3" t="s">
        <v>1445</v>
      </c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5.75" customHeight="1">
      <c r="A348" s="71" t="str">
        <f>HYPERLINK("https://docs.google.com/document/d/1Ng9muwgGLDDdNqSFfsO1CVa3acVRzpvpZjVWeG2S0gg/edit","10 Gifts to Keep Your Mom Healthy")</f>
        <v>10 Gifts to Keep Your Mom Healthy</v>
      </c>
      <c r="B348" s="72" t="s">
        <v>1574</v>
      </c>
      <c r="H348" s="60" t="s">
        <v>1575</v>
      </c>
      <c r="I348" s="3" t="s">
        <v>1037</v>
      </c>
    </row>
    <row r="349" spans="1:29" ht="15.75" customHeight="1">
      <c r="A349" s="71" t="str">
        <f>HYPERLINK("https://docs.google.com/document/d/1jOF1tRl1oNFLeSqgkogp0xrG2EXUzHcAPegxZjI-R0w/edit","8 Amazing Graduation Gifts")</f>
        <v>8 Amazing Graduation Gifts</v>
      </c>
      <c r="B349" s="154" t="s">
        <v>1578</v>
      </c>
      <c r="H349" s="60" t="s">
        <v>1582</v>
      </c>
      <c r="I349" s="72" t="s">
        <v>1037</v>
      </c>
      <c r="J349" s="72" t="s">
        <v>1531</v>
      </c>
      <c r="K349" s="72" t="s">
        <v>1513</v>
      </c>
    </row>
    <row r="350" spans="1:29" ht="15.75" customHeight="1">
      <c r="A350" s="11" t="str">
        <f>HYPERLINK("https://docs.google.com/document/d/1XnJS0moFlBtRslEMWX8HeHBHlWuYA8nYtN7mAQwNFoo/edit","15 Statistics That Prove Connected Health is The Next Big Thing in Healthcare")</f>
        <v>15 Statistics That Prove Connected Health is The Next Big Thing in Healthcare</v>
      </c>
      <c r="B350" s="61" t="s">
        <v>235</v>
      </c>
      <c r="C350" s="3" t="s">
        <v>1448</v>
      </c>
      <c r="D350" s="18"/>
      <c r="E350" s="18"/>
      <c r="F350" s="18"/>
      <c r="G350" s="18"/>
      <c r="H350" s="61" t="s">
        <v>1587</v>
      </c>
      <c r="I350" s="3" t="s">
        <v>1448</v>
      </c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5.75" customHeight="1">
      <c r="A351" s="11" t="str">
        <f>HYPERLINK("https://docs.google.com/document/d/1zEIkvkUnwfoM6Vko1VNxlRAuPxkiG7M1WoEupGLQEKk/edit#","5 New Applications of Telemedicine You Need to Know About")</f>
        <v>5 New Applications of Telemedicine You Need to Know About</v>
      </c>
      <c r="B351" s="61" t="s">
        <v>1458</v>
      </c>
      <c r="C351" s="18"/>
      <c r="D351" s="18"/>
      <c r="E351" s="18"/>
      <c r="F351" s="18"/>
      <c r="G351" s="18"/>
      <c r="H351" s="61" t="s">
        <v>1593</v>
      </c>
      <c r="I351" s="3" t="s">
        <v>1448</v>
      </c>
      <c r="J351" s="3" t="s">
        <v>1518</v>
      </c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5.75" customHeight="1">
      <c r="A352" s="11" t="str">
        <f>HYPERLINK("https://docs.google.com/document/d/1hnPrWLt4O7NKZjcWscHkkD6dM0CJLflCFGrjpp6klXQ/edit","When Working Super Hard Leads To Success
")</f>
        <v>When Working Super Hard Leads To Success_x000D_</v>
      </c>
      <c r="B352" s="3"/>
      <c r="C352" s="3" t="s">
        <v>91</v>
      </c>
      <c r="D352" s="3" t="s">
        <v>1596</v>
      </c>
      <c r="E352" s="3" t="s">
        <v>1597</v>
      </c>
      <c r="F352" s="3" t="s">
        <v>726</v>
      </c>
      <c r="G352" s="3" t="s">
        <v>1598</v>
      </c>
      <c r="H352" s="61" t="s">
        <v>1599</v>
      </c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5.75" customHeight="1">
      <c r="A353" s="71" t="str">
        <f>HYPERLINK("https://docs.google.com/document/d/1j1zMTO2I4RPdgPSW7tDETgin-aJGQpdOCDFe4HdysUI/edit","6 marketing strategies every B2B business should experiment with this year")</f>
        <v>6 marketing strategies every B2B business should experiment with this year</v>
      </c>
      <c r="B353" s="72" t="s">
        <v>1606</v>
      </c>
      <c r="C353" s="3" t="s">
        <v>1330</v>
      </c>
      <c r="H353" s="60" t="s">
        <v>1607</v>
      </c>
      <c r="I353" s="72" t="s">
        <v>1445</v>
      </c>
    </row>
    <row r="354" spans="1:29" ht="15.75" customHeight="1">
      <c r="A354" s="71" t="str">
        <f>HYPERLINK("https://docs.google.com/document/d/1EocqUFqqj83vQcTbgsHTkkNMiIO0hcuRgcQoZTpdnCA/edit","What Restaurant Owners Should Know About ADA Compliance")</f>
        <v>What Restaurant Owners Should Know About ADA Compliance</v>
      </c>
      <c r="B354" s="72" t="s">
        <v>1611</v>
      </c>
      <c r="H354" s="60" t="s">
        <v>1612</v>
      </c>
    </row>
    <row r="355" spans="1:29" ht="15.75" customHeight="1">
      <c r="A355" s="71" t="str">
        <f>HYPERLINK("https://docs.google.com/document/d/1p-L03x_RCX0Bq4wQCtK2uEHaDDVxHdh_KDssmA556Xo/edit","5 ways to help the environment")</f>
        <v>5 ways to help the environment</v>
      </c>
      <c r="B355" s="72" t="s">
        <v>1614</v>
      </c>
      <c r="H355" s="60" t="s">
        <v>1615</v>
      </c>
      <c r="I355" s="72" t="s">
        <v>1037</v>
      </c>
    </row>
    <row r="356" spans="1:29" ht="15.75" customHeight="1">
      <c r="A356" s="71" t="str">
        <f>HYPERLINK("https://docs.google.com/document/d/1WQfnludVlCUQOzwuzNgwyu0nXxNRzgE0eM8qQ-URkWY/edit","5 Things to Take to the Gym With You")</f>
        <v>5 Things to Take to the Gym With You</v>
      </c>
      <c r="B356" s="72" t="s">
        <v>1618</v>
      </c>
      <c r="H356" s="60" t="s">
        <v>1619</v>
      </c>
      <c r="I356" s="72" t="s">
        <v>1037</v>
      </c>
      <c r="J356" s="72" t="s">
        <v>1513</v>
      </c>
    </row>
    <row r="357" spans="1:29" ht="15.75" customHeight="1">
      <c r="A357" s="71" t="str">
        <f>HYPERLINK("https://docs.google.com/document/d/1mt2Ubpd5NpcTOWS2VcjrlNKJr4d40sM0sNbFRgyYx04/edit","How to Use Social Media to Market Your Hotel")</f>
        <v>How to Use Social Media to Market Your Hotel</v>
      </c>
      <c r="B357" s="72" t="s">
        <v>1620</v>
      </c>
      <c r="H357" s="60" t="s">
        <v>1621</v>
      </c>
    </row>
    <row r="358" spans="1:29" ht="15.75" customHeight="1">
      <c r="A358" s="71" t="str">
        <f>HYPERLINK("https://docs.google.com/document/d/1cCwlBr5cB2rvr4YCIuJfWf3HmfpGy-n4WeZ0P75ILXI/edit#heading=h.ic28rqf6ukvz","7 tips to skip meals while traveling in Europe")</f>
        <v>7 tips to skip meals while traveling in Europe</v>
      </c>
      <c r="H358" s="60" t="s">
        <v>1622</v>
      </c>
      <c r="I358" s="72" t="s">
        <v>1037</v>
      </c>
    </row>
    <row r="359" spans="1:29" ht="15.75" customHeight="1">
      <c r="A359" s="71" t="str">
        <f>HYPERLINK("https://docs.google.com/document/d/1NqIZom37yP81pHhi3e4PuFbRLU-icAtlQaj6yoJ9oiU/edit#heading=h.lbc9xa32fh4n","Seven things I carry with me in my pilates bag")</f>
        <v>Seven things I carry with me in my pilates bag</v>
      </c>
      <c r="B359" s="72" t="s">
        <v>1623</v>
      </c>
      <c r="H359" s="60" t="s">
        <v>1624</v>
      </c>
      <c r="I359" s="72" t="s">
        <v>1037</v>
      </c>
    </row>
    <row r="360" spans="1:29" ht="15.75" customHeight="1">
      <c r="A360" s="71" t="str">
        <f>HYPERLINK("https://docs.google.com/document/d/18GP2sWDBWYLYBPB9QWvmV5WH55aIXLTDxFdsgKjgosQ/edit","How Hard Is it to Build a Mobile App?")</f>
        <v>How Hard Is it to Build a Mobile App?</v>
      </c>
      <c r="B360" s="72" t="s">
        <v>1623</v>
      </c>
      <c r="H360" s="60" t="s">
        <v>1625</v>
      </c>
    </row>
    <row r="361" spans="1:29" ht="15.75" customHeight="1">
      <c r="A361" s="71" t="str">
        <f>HYPERLINK("https://docs.google.com/document/d/102GFbP_7i0ZVWJP1RAsFtf2UmpQWkreiB6oFdKbdbho/edit","Great Hotel Rooftops in the US with a View")</f>
        <v>Great Hotel Rooftops in the US with a View</v>
      </c>
      <c r="B361" s="72" t="s">
        <v>249</v>
      </c>
      <c r="C361" s="3"/>
      <c r="H361" s="60" t="s">
        <v>1626</v>
      </c>
      <c r="I361" s="72" t="s">
        <v>1627</v>
      </c>
    </row>
    <row r="362" spans="1:29" ht="15.75" customHeight="1">
      <c r="A362" s="11" t="str">
        <f>HYPERLINK("https://docs.google.com/document/d/1PwpCWesEmVWUIjuOvD-gme3Pc6s2qqCeSABlRZV6Ubw/edit#","Why every development company should become Hitrust certified today")</f>
        <v>Why every development company should become Hitrust certified today</v>
      </c>
      <c r="B362" s="3" t="s">
        <v>1628</v>
      </c>
      <c r="C362" s="3" t="s">
        <v>1330</v>
      </c>
      <c r="D362" s="18"/>
      <c r="E362" s="18"/>
      <c r="F362" s="18"/>
      <c r="G362" s="18"/>
      <c r="H362" s="61" t="s">
        <v>1629</v>
      </c>
      <c r="I362" s="3" t="s">
        <v>1448</v>
      </c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5.75" customHeight="1">
      <c r="A363" s="71" t="str">
        <f>HYPERLINK("https://docs.google.com/document/d/1yfgUDAyO3jIZoSe7nLaLPfA2i89JNGE4ovLnPXS6cK4/edit#","5 reasons you should only drink from BPA free water bottles")</f>
        <v>5 reasons you should only drink from BPA free water bottles</v>
      </c>
      <c r="B363" s="72" t="s">
        <v>1630</v>
      </c>
      <c r="G363" s="18"/>
      <c r="H363" s="61" t="s">
        <v>1631</v>
      </c>
      <c r="I363" s="3" t="s">
        <v>1037</v>
      </c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5.75" customHeight="1">
      <c r="A364" s="71" t="str">
        <f>HYPERLINK("https://docs.google.com/document/d/1N8mz9iaEnQTj5PAHIe23dxIHmUbz1YAANttAWnb_mvM/edit","10 Things You Need for a Fabulous Bollywood Movie Marathon Night")</f>
        <v>10 Things You Need for a Fabulous Bollywood Movie Marathon Night</v>
      </c>
      <c r="B364" s="72" t="s">
        <v>1632</v>
      </c>
      <c r="H364" s="60" t="s">
        <v>1633</v>
      </c>
      <c r="I364" s="3" t="s">
        <v>1037</v>
      </c>
    </row>
    <row r="365" spans="1:29" ht="15.75" customHeight="1">
      <c r="A365" s="71" t="str">
        <f>HYPERLINK("https://docs.google.com/document/d/1pVQPCqeilYbMKTU9Q-v0s5b7PdX7da1HjL4FwGLGUfU/edit#","What to bring with you to the beach")</f>
        <v>What to bring with you to the beach</v>
      </c>
      <c r="B365" s="72" t="s">
        <v>1634</v>
      </c>
      <c r="H365" s="60" t="s">
        <v>1635</v>
      </c>
      <c r="I365" s="72" t="s">
        <v>1037</v>
      </c>
    </row>
    <row r="366" spans="1:29" ht="15.75" customHeight="1">
      <c r="A366" s="71" t="str">
        <f>HYPERLINK("https://docs.google.com/document/d/1AX3oCtpB5SX6KyEQN7KKm6zCkXqpJqJdWqKlla1Z898/edit","Five things to do to become more eco-friendly")</f>
        <v>Five things to do to become more eco-friendly</v>
      </c>
      <c r="B366" s="72" t="s">
        <v>1636</v>
      </c>
      <c r="H366" s="60" t="s">
        <v>1637</v>
      </c>
      <c r="I366" s="72" t="s">
        <v>1037</v>
      </c>
    </row>
    <row r="367" spans="1:29" ht="15.75" customHeight="1">
      <c r="A367" s="71" t="str">
        <f>HYPERLINK("https://docs.google.com/document/d/1-7WDbSn5ZOjLKxhtfTdpcba7b1JC67twI9TjiJ57niY/edit","Quick guide to choosing the right water bottle")</f>
        <v>Quick guide to choosing the right water bottle</v>
      </c>
      <c r="B367" s="72" t="s">
        <v>1639</v>
      </c>
      <c r="H367" s="60" t="s">
        <v>1640</v>
      </c>
      <c r="I367" s="72" t="s">
        <v>1037</v>
      </c>
    </row>
    <row r="368" spans="1:29" ht="15.75" customHeight="1">
      <c r="A368" s="71" t="str">
        <f>HYPERLINK("https://docs.google.com/document/d/1RlhcdS5ocHpfmMreMXW8eeMyRXYhmXojvLGQmKvXi_0/edit","5 Vitamins To Take To Live A Longer Life")</f>
        <v>5 Vitamins To Take To Live A Longer Life</v>
      </c>
      <c r="B368" s="72" t="s">
        <v>1639</v>
      </c>
      <c r="H368" s="60" t="s">
        <v>1642</v>
      </c>
    </row>
    <row r="369" spans="1:29" ht="15.75" customHeight="1">
      <c r="A369" s="71" t="str">
        <f>HYPERLINK("https://docs.google.com/document/d/1iWn_g9DXzZKtc-otgsKvgE9BIq8cb_9CGumxW4CvmGQ/edit","Big Data In Healthcare: How It Works")</f>
        <v>Big Data In Healthcare: How It Works</v>
      </c>
      <c r="B369" s="72" t="s">
        <v>1643</v>
      </c>
      <c r="H369" s="60" t="s">
        <v>1644</v>
      </c>
    </row>
    <row r="370" spans="1:29" ht="15.75" customHeight="1">
      <c r="A370" s="71" t="str">
        <f>HYPERLINK("https://docs.google.com/document/d/1cImr_8q8Q1E1ZhZ5XHEDgja6HpnZNHMFw7uP9tO6UU0/edit","Famous companies sued over website ADA compliance")</f>
        <v>Famous companies sued over website ADA compliance</v>
      </c>
      <c r="B370" s="72" t="s">
        <v>1647</v>
      </c>
      <c r="H370" s="60" t="s">
        <v>1648</v>
      </c>
    </row>
    <row r="371" spans="1:29" ht="15.75" customHeight="1">
      <c r="A371" s="71" t="str">
        <f>HYPERLINK("https://docs.google.com/document/d/10wdOW-UmGG95XPKx_0jeLfaQb9PEm5m45QMJaqNAn5k/edit","Should Parents Give Multivitamins to Their Kids")</f>
        <v>Should Parents Give Multivitamins to Their Kids</v>
      </c>
      <c r="B371" s="72" t="s">
        <v>1647</v>
      </c>
      <c r="H371" s="60" t="s">
        <v>1650</v>
      </c>
    </row>
    <row r="372" spans="1:29" ht="15.75" customHeight="1">
      <c r="A372" s="71" t="str">
        <f>HYPERLINK("https://docs.google.com/document/d/1NdMXawp5KnsTo8JJSCscEaVT8rKXO3Q6TMFx3Lw5Vb0/edit","6 reasons why you should take multivitamins in 2019")</f>
        <v>6 reasons why you should take multivitamins in 2019</v>
      </c>
      <c r="H372" s="60" t="s">
        <v>1651</v>
      </c>
    </row>
    <row r="373" spans="1:29" ht="15.75" customHeight="1">
      <c r="A373" s="71" t="str">
        <f>HYPERLINK("https://docs.google.com/document/d/1MHiqx8gMfcUrJHVjzAcgSBArB7MxtFWmMGwha-mAQww/edit","Amazing Kids Gear For 2019")</f>
        <v>Amazing Kids Gear For 2019</v>
      </c>
      <c r="B373" s="72" t="s">
        <v>1653</v>
      </c>
      <c r="H373" s="60" t="s">
        <v>1654</v>
      </c>
      <c r="I373" s="72" t="s">
        <v>1037</v>
      </c>
    </row>
    <row r="374" spans="1:29" ht="15.75" customHeight="1">
      <c r="A374" s="71" t="str">
        <f>HYPERLINK("https://docs.google.com/document/d/1nwGzBigeMwXHBHY9X0E_xPtsKsJ1RZBe3VTOX-Erbhg/edit","Everything You Need to Know About Multivitamins")</f>
        <v>Everything You Need to Know About Multivitamins</v>
      </c>
      <c r="B374" s="72" t="s">
        <v>1653</v>
      </c>
      <c r="H374" s="60" t="s">
        <v>1656</v>
      </c>
    </row>
    <row r="375" spans="1:29" ht="15.75" customHeight="1">
      <c r="A375" s="71" t="str">
        <f>HYPERLINK("https://docs.google.com/document/d/19GSGOgEvW1rCH4uI_MFjRGkPLYYOfgFegTgZ2OgjxO8/edit","Five things to pack for your concert season")</f>
        <v>Five things to pack for your concert season</v>
      </c>
      <c r="B375" s="72" t="s">
        <v>1417</v>
      </c>
      <c r="H375" s="60" t="s">
        <v>1657</v>
      </c>
      <c r="I375" s="72" t="s">
        <v>1037</v>
      </c>
    </row>
    <row r="376" spans="1:29" ht="15.75" customHeight="1">
      <c r="A376" s="11" t="str">
        <f>HYPERLINK("https://docs.google.com/document/d/1htFgYTu4ZwuHReSZCrh6T1WJ6AZ6XX-3iuXHMX_OupI/edit","How to Prepare for college")</f>
        <v>How to Prepare for college</v>
      </c>
      <c r="B376" s="159" t="s">
        <v>1658</v>
      </c>
      <c r="H376" s="60" t="s">
        <v>1659</v>
      </c>
      <c r="I376" s="72" t="s">
        <v>1037</v>
      </c>
    </row>
    <row r="377" spans="1:29" ht="15.75" customHeight="1">
      <c r="A377" s="71" t="str">
        <f>HYPERLINK("https://docs.google.com/document/d/1EpESgbnxuoPObWa1BX-PRQQwwmGj1fMf-Mznac_1CgI/edit","Healthcare Apps: Most Common Examples Today")</f>
        <v>Healthcare Apps: Most Common Examples Today</v>
      </c>
      <c r="B377" s="159" t="s">
        <v>1658</v>
      </c>
      <c r="H377" s="60" t="s">
        <v>1662</v>
      </c>
      <c r="I377" s="72" t="s">
        <v>1448</v>
      </c>
    </row>
    <row r="378" spans="1:29" ht="15.75" customHeight="1">
      <c r="A378" s="71" t="str">
        <f>HYPERLINK("https://docs.google.com/document/d/1XlFA-hh2ca-iTpuqjzsQeGaiS69i_TLTWLGMBykP9HU/edit","5 Signs You Need To Consider A Scoliosis Brace For Your Child")</f>
        <v>5 Signs You Need To Consider A Scoliosis Brace For Your Child</v>
      </c>
      <c r="B378" s="72" t="s">
        <v>1664</v>
      </c>
      <c r="H378" s="60" t="s">
        <v>1665</v>
      </c>
    </row>
    <row r="379" spans="1:29" ht="15.75" customHeight="1">
      <c r="A379" s="71" t="str">
        <f>HYPERLINK("https://docs.google.com/document/d/1hnoiGxKhc3E4hS9GppRF1jbHYYffUaDyL1qwiLONRu4/edit","Productivity Hacks To Become A Better Marketer")</f>
        <v>Productivity Hacks To Become A Better Marketer</v>
      </c>
      <c r="B379" s="72" t="s">
        <v>1667</v>
      </c>
      <c r="H379" s="60" t="s">
        <v>1668</v>
      </c>
    </row>
    <row r="380" spans="1:29" ht="15.75" customHeight="1">
      <c r="A380" s="71" t="str">
        <f>HYPERLINK("https://docs.google.com/document/d/1L_TET0OSN_mCh7HaClY-y43mIkvjprB-y-yO-R2T81Y/edit#heading=h.1d0z3kw5iklt","7 smartest AI-apps I've used so far")</f>
        <v>7 smartest AI-apps I've used so far</v>
      </c>
      <c r="B380" s="3" t="s">
        <v>1669</v>
      </c>
      <c r="C380" s="18"/>
      <c r="D380" s="18"/>
      <c r="E380" s="18"/>
      <c r="F380" s="18"/>
      <c r="G380" s="18"/>
      <c r="H380" s="61" t="s">
        <v>1670</v>
      </c>
      <c r="I380" s="3" t="s">
        <v>1671</v>
      </c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5.75" customHeight="1">
      <c r="A381" s="71" t="str">
        <f>HYPERLINK("https://docs.google.com/document/d/136fzsOoiNQNnprojzUzUu5zYtELTv-hCJvIKdpF36y4/edit","How To Choose A Pedometer On A Budget")</f>
        <v>How To Choose A Pedometer On A Budget</v>
      </c>
      <c r="B381" s="72" t="s">
        <v>1672</v>
      </c>
      <c r="H381" s="60" t="s">
        <v>1673</v>
      </c>
    </row>
    <row r="382" spans="1:29" ht="15.75" customHeight="1">
      <c r="A382" s="71" t="str">
        <f>HYPERLINK("https://docs.google.com/document/d/1tJcInJwjcK5gMVn8wu8svaNvJexmlQgf4mhy9aW2gp4/edit","5 Sales and Marketing Tips for Startups to Try Out in 2019")</f>
        <v>5 Sales and Marketing Tips for Startups to Try Out in 2019</v>
      </c>
      <c r="B382" s="72" t="s">
        <v>1674</v>
      </c>
      <c r="H382" s="60" t="s">
        <v>1675</v>
      </c>
      <c r="I382" s="72" t="s">
        <v>1445</v>
      </c>
    </row>
    <row r="383" spans="1:29" ht="15.75" customHeight="1">
      <c r="A383" s="71" t="str">
        <f>HYPERLINK("https://docs.google.com/document/d/1OaDFKN0z2J5VhF1LHbxFBTSGaZKX9Vv8KgElP0QC340/edit","10 Things Every Marketer Should Have in Their Office")</f>
        <v>10 Things Every Marketer Should Have in Their Office</v>
      </c>
      <c r="B383" s="72" t="s">
        <v>218</v>
      </c>
      <c r="H383" s="60" t="s">
        <v>1677</v>
      </c>
      <c r="I383" s="72" t="s">
        <v>1679</v>
      </c>
    </row>
    <row r="384" spans="1:29" ht="15.75" customHeight="1">
      <c r="A384" s="71" t="str">
        <f>HYPERLINK("https://docs.google.com/document/d/13_5cb_v-io3rZSg5iMbMJSpxcU7Bgq58AABNTHuediQ/edit","20 Statistics That Prove Connected Health Is The Next Big Thing In Healthcare
")</f>
        <v>20 Statistics That Prove Connected Health Is The Next Big Thing In Healthcare_x000D_</v>
      </c>
      <c r="B384" s="72" t="s">
        <v>1680</v>
      </c>
      <c r="H384" s="60" t="s">
        <v>1682</v>
      </c>
      <c r="I384" s="72" t="s">
        <v>1448</v>
      </c>
    </row>
    <row r="385" spans="1:29" ht="15.75" customHeight="1">
      <c r="A385" s="11" t="str">
        <f>HYPERLINK("https://docs.google.com/document/d/1UqchL_7D1QiF1bzebYvRMZ1rGvJFqDMybPbNBVpWzaU/edit","7 Easy And Fun Ways To Drink More Water Everyday")</f>
        <v>7 Easy And Fun Ways To Drink More Water Everyday</v>
      </c>
      <c r="B385" s="72" t="s">
        <v>1683</v>
      </c>
      <c r="H385" s="60" t="s">
        <v>1684</v>
      </c>
      <c r="I385" s="72" t="s">
        <v>1037</v>
      </c>
    </row>
    <row r="386" spans="1:29" ht="15.75" customHeight="1">
      <c r="A386" s="71" t="str">
        <f>HYPERLINK("https://docs.google.com/document/d/19xzjQPFajSYi_-jmd9ZQgMIjygaZr0VhlShZfuyDCc8/edit?ts=5cc0b24f","What restaurant website owners should know about ADA compliance")</f>
        <v>What restaurant website owners should know about ADA compliance</v>
      </c>
      <c r="B386" s="72" t="s">
        <v>1683</v>
      </c>
      <c r="H386" s="60" t="s">
        <v>1685</v>
      </c>
    </row>
    <row r="387" spans="1:29" ht="15.75" customHeight="1">
      <c r="A387" s="71" t="str">
        <f>HYPERLINK("https://docs.google.com/document/d/1uASKgafFyMmKp2aBeaYykxoEynosmH4i5eWdSx-tCrA/edit","5 storytelling techniques for IT marketers")</f>
        <v>5 storytelling techniques for IT marketers</v>
      </c>
      <c r="B387" s="72" t="s">
        <v>1688</v>
      </c>
      <c r="H387" s="60" t="s">
        <v>1689</v>
      </c>
      <c r="I387" s="72" t="s">
        <v>1445</v>
      </c>
    </row>
    <row r="388" spans="1:29" ht="15.75" customHeight="1">
      <c r="A388" s="71" t="str">
        <f>HYPERLINK("https://docs.google.com/document/d/1Kp9YinaUMQlm61GyFhWqYTrB6rgBaWYGMfBgcgpvwzA/edit","12 Things to Own if You are a Clumsy Man
")</f>
        <v>12 Things to Own if You are a Clumsy Man_x000D_</v>
      </c>
      <c r="B388" s="72" t="s">
        <v>1688</v>
      </c>
      <c r="H388" s="60" t="s">
        <v>1691</v>
      </c>
      <c r="I388" s="72" t="s">
        <v>1037</v>
      </c>
    </row>
    <row r="389" spans="1:29" ht="15.75" customHeight="1">
      <c r="A389" s="71" t="str">
        <f>HYPERLINK("https://docs.google.com/document/d/1DNGvQdyiaxPk_YWNRZuPH1tztm9_RGnU6nxcAe3tQ28/edit","6 things I didn't know I needed, but I now LOVE")</f>
        <v>6 things I didn't know I needed, but I now LOVE</v>
      </c>
      <c r="B389" s="72" t="s">
        <v>1693</v>
      </c>
      <c r="H389" s="60" t="s">
        <v>1694</v>
      </c>
      <c r="I389" s="72" t="s">
        <v>1679</v>
      </c>
    </row>
    <row r="390" spans="1:29" ht="15.75" customHeight="1">
      <c r="A390" s="71" t="str">
        <f>HYPERLINK("https://docs.google.com/document/d/17NQnauoaD_tuHHXRkLN1-qMYEP6iLRUKTFkeQ7VcOXA/edit","5 Perfect Gifts to Keep Your Student Motivated Through Until Summer")</f>
        <v>5 Perfect Gifts to Keep Your Student Motivated Through Until Summer</v>
      </c>
      <c r="B390" s="72" t="s">
        <v>1696</v>
      </c>
      <c r="H390" s="60" t="s">
        <v>1697</v>
      </c>
      <c r="I390" s="72" t="s">
        <v>1679</v>
      </c>
    </row>
    <row r="391" spans="1:29" ht="15.75" customHeight="1">
      <c r="A391" s="71" t="str">
        <f>HYPERLINK("https://docs.google.com/document/d/1m1yR8v9UyOw4RyyO48mc2aDqzA1MTlLiv8LdjG2MGFY/edit","Side effects of mutivitamins you should know about")</f>
        <v>Side effects of mutivitamins you should know about</v>
      </c>
      <c r="B391" s="72" t="s">
        <v>1696</v>
      </c>
      <c r="H391" s="60" t="s">
        <v>1698</v>
      </c>
    </row>
    <row r="392" spans="1:29" ht="15.75" customHeight="1">
      <c r="A392" s="71" t="str">
        <f>HYPERLINK("https://docs.google.com/document/d/1_iwd7V0FK3ih8ZocpId9YJUvQPEkVL3huLrebIFdIAA/edit","7 Reasons Why You Should Take Multivitamins Every Day")</f>
        <v>7 Reasons Why You Should Take Multivitamins Every Day</v>
      </c>
      <c r="B392" s="3" t="s">
        <v>1699</v>
      </c>
      <c r="C392" s="18"/>
      <c r="D392" s="18"/>
      <c r="E392" s="18"/>
      <c r="F392" s="18"/>
      <c r="G392" s="18"/>
      <c r="H392" s="61" t="s">
        <v>1700</v>
      </c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5.75" customHeight="1">
      <c r="A393" s="71" t="str">
        <f>HYPERLINK("https://docs.google.com/document/d/1NIHaoDISkMj2-a9E7iyuIDdy7mlQCmeTGeYd_z0EM8w/edit","5 marketing tips to sell without selling")</f>
        <v>5 marketing tips to sell without selling</v>
      </c>
      <c r="B393" s="72" t="s">
        <v>1702</v>
      </c>
      <c r="H393" s="60" t="s">
        <v>1703</v>
      </c>
      <c r="I393" s="72" t="s">
        <v>1445</v>
      </c>
    </row>
    <row r="394" spans="1:29" ht="15.75" customHeight="1">
      <c r="A394" s="11" t="str">
        <f>HYPERLINK("https://docs.google.com/document/d/1HYqnLMXlpFELpy_FPBi65Nu0ItkobPqgNp0pY5l-KeM/edit","8 Products To Buy For Life")</f>
        <v>8 Products To Buy For Life</v>
      </c>
      <c r="B394" s="72" t="s">
        <v>1702</v>
      </c>
      <c r="C394" s="18"/>
      <c r="D394" s="18"/>
      <c r="E394" s="18"/>
      <c r="F394" s="18"/>
      <c r="G394" s="18"/>
      <c r="H394" s="61" t="s">
        <v>1704</v>
      </c>
      <c r="I394" s="3" t="s">
        <v>1037</v>
      </c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5.75" customHeight="1">
      <c r="A395" s="71" t="str">
        <f>HYPERLINK("https://docs.google.com/document/d/1r31qjBxq_40Cnf-NQAzDSWH_05m-Guz04rt4uerXzsc/edit","9 Things you can do to be Healthy Around the Office")</f>
        <v>9 Things you can do to be Healthy Around the Office</v>
      </c>
      <c r="B395" s="72" t="s">
        <v>1705</v>
      </c>
      <c r="H395" s="60" t="s">
        <v>1706</v>
      </c>
      <c r="I395" s="3" t="s">
        <v>1037</v>
      </c>
    </row>
    <row r="396" spans="1:29" ht="15.75" customHeight="1">
      <c r="A396" s="11" t="str">
        <f>HYPERLINK("https://docs.google.com/document/d/13Z4wSwSTRyahU0Fbpi6nqto2lwS6PZik4lVpyhFwccA/edit","How to Travel Comfortably on Your First Trip to Europe")</f>
        <v>How to Travel Comfortably on Your First Trip to Europe</v>
      </c>
      <c r="B396" s="3" t="s">
        <v>1707</v>
      </c>
      <c r="H396" s="60" t="s">
        <v>1708</v>
      </c>
      <c r="I396" s="3" t="s">
        <v>1037</v>
      </c>
    </row>
    <row r="397" spans="1:29" ht="15.75" customHeight="1">
      <c r="A397" s="71" t="str">
        <f>HYPERLINK("https://docs.google.com/document/d/1RiDVkDA59x9p6Os2tCw9a_xRO27CJ9mtLtDjt-xi9jU/edit"," 6 Alexa skills making employees more productive")</f>
        <v xml:space="preserve"> 6 Alexa skills making employees more productive</v>
      </c>
      <c r="B397" s="72" t="s">
        <v>1709</v>
      </c>
      <c r="H397" s="60" t="s">
        <v>1710</v>
      </c>
      <c r="I397" s="72" t="s">
        <v>1445</v>
      </c>
    </row>
    <row r="398" spans="1:29" ht="15.75" customHeight="1">
      <c r="A398" s="11" t="str">
        <f>HYPERLINK("https://docs.google.com/document/d/1WaU0OmI7KLWg1e1Eka36ghzA5CjHBLr1vCVrl9DLdTE/edit","Best Gear For Hiking In 2019")</f>
        <v>Best Gear For Hiking In 2019</v>
      </c>
      <c r="B398" s="3" t="s">
        <v>1711</v>
      </c>
      <c r="C398" s="18"/>
      <c r="D398" s="18"/>
      <c r="E398" s="18"/>
      <c r="F398" s="18"/>
      <c r="G398" s="18"/>
      <c r="H398" s="61" t="s">
        <v>1712</v>
      </c>
      <c r="I398" s="3" t="s">
        <v>1037</v>
      </c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5.75" customHeight="1">
      <c r="A399" s="71" t="str">
        <f>HYPERLINK("https://docs.google.com/document/d/1n6GOg5NavpwWflzBKd1U6DYdpDB98isskq25MIm7ynw/edit","5 Things Meant for Travel That You Can Use Every Day")</f>
        <v>5 Things Meant for Travel That You Can Use Every Day</v>
      </c>
      <c r="B399" s="72" t="s">
        <v>1713</v>
      </c>
      <c r="H399" s="60" t="s">
        <v>1714</v>
      </c>
      <c r="I399" s="3" t="s">
        <v>1037</v>
      </c>
    </row>
    <row r="400" spans="1:29" ht="15.75" customHeight="1">
      <c r="A400" s="71" t="str">
        <f>HYPERLINK("https://docs.google.com/document/d/1tcr7_txYL52oYxy0p-iR1cRvvlsoLjD--vE2eSFny9g/edit","5 great gift ideas for colleagues ")</f>
        <v xml:space="preserve">5 great gift ideas for colleagues </v>
      </c>
      <c r="B400" s="72" t="s">
        <v>309</v>
      </c>
      <c r="H400" s="60" t="s">
        <v>1715</v>
      </c>
      <c r="I400" s="72" t="s">
        <v>1679</v>
      </c>
    </row>
    <row r="401" spans="1:29" ht="15.75" customHeight="1">
      <c r="A401" s="71" t="str">
        <f>HYPERLINK("https://docs.google.com/document/d/1B4XXYZTsCikk9-nPEGdKNV03nQPFiL38Rn5cZc2bPuA/edit","Marketing Tips To Improve Your App’s Visibility in 2019 ")</f>
        <v xml:space="preserve">Marketing Tips To Improve Your App’s Visibility in 2019 </v>
      </c>
      <c r="B401" s="72" t="s">
        <v>309</v>
      </c>
      <c r="E401" s="18"/>
      <c r="F401" s="18"/>
      <c r="G401" s="18"/>
      <c r="H401" s="61" t="s">
        <v>1716</v>
      </c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5.75" customHeight="1">
      <c r="A402" s="71" t="str">
        <f>HYPERLINK("https://docs.google.com/document/d/1gdq3UfmMAAbF239BIrj0sMUy7Lhw0AEzAAeGAZClows/edit","Best B2B IT Marketing Strategies for 2019")</f>
        <v>Best B2B IT Marketing Strategies for 2019</v>
      </c>
      <c r="B402" s="72" t="s">
        <v>299</v>
      </c>
      <c r="H402" s="60" t="s">
        <v>1717</v>
      </c>
      <c r="I402" s="72" t="s">
        <v>1445</v>
      </c>
    </row>
    <row r="403" spans="1:29" ht="15.75" customHeight="1">
      <c r="A403" s="71" t="str">
        <f>HYPERLINK("https://docs.google.com/document/d/1T7e5HAIrFxcFHaSBSWAF70uaa6KAziRcsE3e_U0DZQM/edit","3 Tips on How to Optimize Your Mobile App")</f>
        <v>3 Tips on How to Optimize Your Mobile App</v>
      </c>
      <c r="B403" s="72" t="s">
        <v>1718</v>
      </c>
      <c r="E403" s="18"/>
      <c r="F403" s="18"/>
      <c r="G403" s="18"/>
      <c r="H403" s="61" t="s">
        <v>1719</v>
      </c>
      <c r="I403" s="72" t="s">
        <v>1445</v>
      </c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5.75" customHeight="1">
      <c r="A404" s="71" t="str">
        <f>HYPERLINK("https://docs.google.com/document/d/1VlEmtuGNLIpO1Md8uJz2aU0Z3O_z9Bz67gKynxmE98U/edit","Winning marketing strategies for every B2B business ")</f>
        <v xml:space="preserve">Winning marketing strategies for every B2B business </v>
      </c>
      <c r="B404" s="72" t="s">
        <v>1720</v>
      </c>
      <c r="E404" s="18"/>
      <c r="F404" s="18"/>
      <c r="G404" s="18"/>
      <c r="H404" s="61" t="s">
        <v>1721</v>
      </c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5.75" customHeight="1">
      <c r="A405" s="71" t="str">
        <f>HYPERLINK("https://docs.google.com/document/d/10yA6cIdEiafkXT05MQJTjwtdrPh6DYU0b0t0azjcZ5U/edit?ts=5cb11af1","Kool8 water bottle - why this is my new favorite bottle ever ")</f>
        <v xml:space="preserve">Kool8 water bottle - why this is my new favorite bottle ever </v>
      </c>
      <c r="E405" s="18"/>
      <c r="F405" s="18"/>
      <c r="G405" s="18"/>
      <c r="H405" s="61" t="s">
        <v>1722</v>
      </c>
      <c r="I405" s="3" t="s">
        <v>1037</v>
      </c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5.75" customHeight="1">
      <c r="A406" s="71" t="str">
        <f>HYPERLINK("https://docs.google.com/document/d/1So62IOzTer0fnOSNviFRGMotlXI__PvWfHJiSFuuZS4/edit"," 6 strategies to get customers for your small business in 2019")</f>
        <v xml:space="preserve"> 6 strategies to get customers for your small business in 2019</v>
      </c>
      <c r="B406" s="72" t="s">
        <v>1723</v>
      </c>
      <c r="H406" s="60" t="s">
        <v>1724</v>
      </c>
      <c r="I406" s="72" t="s">
        <v>1445</v>
      </c>
    </row>
    <row r="407" spans="1:29" ht="15.75" customHeight="1">
      <c r="A407" s="71" t="str">
        <f>HYPERLINK("https://docs.google.com/document/d/1rZt4Tylj-BwOEwj1sG-W9ThaM79GROXgVVfVW5oTi6I/edit","Three Amazing Digital Marketing Strategies Every Hotel Owner Should Try Out in 2019")</f>
        <v>Three Amazing Digital Marketing Strategies Every Hotel Owner Should Try Out in 2019</v>
      </c>
      <c r="B407" s="72" t="s">
        <v>1725</v>
      </c>
      <c r="E407" s="18"/>
      <c r="F407" s="18"/>
      <c r="G407" s="18"/>
      <c r="H407" s="61" t="s">
        <v>1726</v>
      </c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5.75" customHeight="1">
      <c r="A408" s="71" t="str">
        <f>HYPERLINK("https://docs.google.com/document/d/1ClUDfBZ0ipOfopSFwdlQwdaMPipsyOUTECrPi6CVE1g/edit","Benefits of Telemedicine for Small Businesses")</f>
        <v>Benefits of Telemedicine for Small Businesses</v>
      </c>
      <c r="B408" s="72" t="s">
        <v>1725</v>
      </c>
      <c r="H408" s="60" t="s">
        <v>1727</v>
      </c>
      <c r="I408" s="72" t="s">
        <v>1518</v>
      </c>
    </row>
    <row r="409" spans="1:29" ht="15.75" customHeight="1">
      <c r="A409" s="71" t="str">
        <f>HYPERLINK("https://docs.google.com/document/d/1T8OSgqV1MTz-mo5Y5nYYvUNQo5jRPAB4-D1xGMRQz78/edit","Gift Guide for the Stay at Home Mom")</f>
        <v>Gift Guide for the Stay at Home Mom</v>
      </c>
      <c r="B409" s="72" t="s">
        <v>1725</v>
      </c>
      <c r="H409" s="60" t="s">
        <v>1728</v>
      </c>
      <c r="I409" s="72" t="s">
        <v>1679</v>
      </c>
    </row>
    <row r="410" spans="1:29" ht="15.75" customHeight="1">
      <c r="A410" s="71" t="str">
        <f>HYPERLINK("https://docs.google.com/document/d/1okCSddoW-wp3lh2Ps5RRCOCeMGiKXHHAvn8j6tKJDx0/edit","How to choose your first pedometer?")</f>
        <v>How to choose your first pedometer?</v>
      </c>
      <c r="B410" s="72" t="s">
        <v>1729</v>
      </c>
      <c r="H410" s="60" t="s">
        <v>1730</v>
      </c>
      <c r="I410" s="72" t="s">
        <v>1731</v>
      </c>
    </row>
    <row r="411" spans="1:29" ht="15.75" customHeight="1">
      <c r="A411" s="71" t="str">
        <f>HYPERLINK("https://docs.google.com/document/d/1GUk7ZKzvuj1clIuApYzKkJHFMnSX4T2xjTM8LddfN1M/edit","7 things you should buy for your grandmother")</f>
        <v>7 things you should buy for your grandmother</v>
      </c>
      <c r="B411" s="72" t="s">
        <v>1729</v>
      </c>
      <c r="H411" s="60" t="s">
        <v>1732</v>
      </c>
      <c r="I411" s="72" t="s">
        <v>1679</v>
      </c>
    </row>
    <row r="412" spans="1:29" ht="15.75" customHeight="1">
      <c r="A412" s="71" t="str">
        <f>HYPERLINK("https://docs.google.com/document/d/1Osigmq7KRBFrT2iBcZsnG6qufiz9q9R18zu5u0iVoU8/edit","Why Every AI Company In Healthcare Should Become HITRUST Certified")</f>
        <v>Why Every AI Company In Healthcare Should Become HITRUST Certified</v>
      </c>
      <c r="B412" s="72" t="s">
        <v>1733</v>
      </c>
      <c r="H412" s="60" t="s">
        <v>1734</v>
      </c>
      <c r="I412" s="72" t="s">
        <v>1448</v>
      </c>
    </row>
    <row r="413" spans="1:29" ht="15.75" customHeight="1">
      <c r="A413" s="71" t="str">
        <f>HYPERLINK("https://docs.google.com/document/d/1AUJxoW7rBDd7fXAnVhJB62ns_ALpJHGj-KIkZnDCObI/edit","Why Every Hotel Should Invest in Content Marketing This Year")</f>
        <v>Why Every Hotel Should Invest in Content Marketing This Year</v>
      </c>
      <c r="B413" s="72" t="s">
        <v>1735</v>
      </c>
      <c r="H413" s="60" t="s">
        <v>1736</v>
      </c>
    </row>
    <row r="414" spans="1:29" ht="15.75" customHeight="1">
      <c r="A414" s="11" t="str">
        <f>HYPERLINK("https://docs.google.com/document/d/1oRoZ6GPL-Ba4dk9P_aY4Y4FmcgtkWn_HVtjAEleHhxw/edit","How To Use Analytics To Improve Your Web Experience")</f>
        <v>How To Use Analytics To Improve Your Web Experience</v>
      </c>
      <c r="B414" s="3" t="s">
        <v>1737</v>
      </c>
      <c r="C414" s="3"/>
      <c r="D414" s="18"/>
      <c r="E414" s="18"/>
      <c r="F414" s="18"/>
      <c r="G414" s="18"/>
      <c r="H414" s="61" t="s">
        <v>1738</v>
      </c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5.75" customHeight="1">
      <c r="A415" s="71" t="str">
        <f>HYPERLINK("https://docs.google.com/document/d/13gBmQpC2OCH-FJr8h8FgnNFpPASkUg4h_X2_tv53_ts/edit#","5 strategies to improve traffic to your small business website")</f>
        <v>5 strategies to improve traffic to your small business website</v>
      </c>
      <c r="B415" s="72" t="s">
        <v>1739</v>
      </c>
      <c r="H415" s="60" t="s">
        <v>1740</v>
      </c>
    </row>
    <row r="416" spans="1:29" ht="15.75" customHeight="1">
      <c r="A416" s="71" t="str">
        <f>HYPERLINK("https://docs.google.com/document/d/1R1HV75DtMK69MXu5Q6T_6PPl2_wIER8IYuuziVotfgw/edit","AI’s Impact On Clinical Data")</f>
        <v>AI’s Impact On Clinical Data</v>
      </c>
      <c r="B416" s="72" t="s">
        <v>1741</v>
      </c>
      <c r="H416" s="60" t="s">
        <v>1742</v>
      </c>
    </row>
    <row r="417" spans="1:29" ht="15.75" customHeight="1">
      <c r="A417" s="71" t="str">
        <f>HYPERLINK("https://docs.google.com/document/d/12LbA-DpcOHTCkTwPApvCJGl2MYm1RMm9AeY2G0pDt8M/edit","What Every Hotel Manager Should Know About ADA Compliance")</f>
        <v>What Every Hotel Manager Should Know About ADA Compliance</v>
      </c>
      <c r="B417" s="72" t="s">
        <v>1744</v>
      </c>
      <c r="H417" s="60" t="s">
        <v>1745</v>
      </c>
    </row>
    <row r="418" spans="1:29" ht="15.75" customHeight="1">
      <c r="A418" s="11" t="str">
        <f>HYPERLINK("https://docs.google.com/document/d/1ssA3R2B8dIMzI9sjfN31gqJqMBasARsiZ90hUK3ISGE/edit","5 Healthy Foods You Should Eat If You Suffer from Depression")</f>
        <v>5 Healthy Foods You Should Eat If You Suffer from Depression</v>
      </c>
      <c r="B418" s="3" t="s">
        <v>1746</v>
      </c>
      <c r="C418" s="18"/>
      <c r="D418" s="18"/>
      <c r="E418" s="18"/>
      <c r="F418" s="18"/>
      <c r="G418" s="18"/>
      <c r="H418" s="61" t="s">
        <v>1747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5.75" customHeight="1">
      <c r="A419" s="71" t="str">
        <f>HYPERLINK("https://docs.google.com/document/d/1LeGZoUHeLP-Hz90JgdmdrRRemTv5ryc7_8KQkzBymB4/edit","7 Really Cool Gifts for Women You Should Consider Buying This Summer")</f>
        <v>7 Really Cool Gifts for Women You Should Consider Buying This Summer</v>
      </c>
      <c r="B419" s="72" t="s">
        <v>1748</v>
      </c>
      <c r="H419" s="60" t="s">
        <v>1749</v>
      </c>
      <c r="I419" s="72" t="s">
        <v>1679</v>
      </c>
    </row>
    <row r="420" spans="1:29" ht="15.75" customHeight="1">
      <c r="A420" s="11" t="str">
        <f>HYPERLINK("https://docs.google.com/document/d/1CWt9QFrjJvBThxK1x7BOgKbCocmgV1OOz5GiF11vMfo/edit","5 design tips every healthcare organization should abide by in 2019")</f>
        <v>5 design tips every healthcare organization should abide by in 2019</v>
      </c>
      <c r="B420" s="3" t="s">
        <v>169</v>
      </c>
      <c r="C420" s="18"/>
      <c r="D420" s="18"/>
      <c r="E420" s="18"/>
      <c r="F420" s="18"/>
      <c r="G420" s="18"/>
      <c r="H420" s="61" t="s">
        <v>1750</v>
      </c>
      <c r="I420" s="3" t="s">
        <v>1445</v>
      </c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5.75" customHeight="1">
      <c r="A421" s="71" t="str">
        <f>HYPERLINK("https://docs.google.com/document/d/10JVqCGCzSJuN91T41O2gGa1_rzSeIm1_1JfI7lWMVqY/edit","American Coffee Shop Closes after 3rd ADA Lawsuit")</f>
        <v>American Coffee Shop Closes after 3rd ADA Lawsuit</v>
      </c>
      <c r="B421" s="72" t="s">
        <v>1751</v>
      </c>
      <c r="H421" s="60" t="s">
        <v>1752</v>
      </c>
    </row>
    <row r="422" spans="1:29" ht="15.75" customHeight="1">
      <c r="A422" s="11" t="str">
        <f>HYPERLINK("https://docs.google.com/document/d/1KoXemAs6-lVqx8TVuuJBJOFO3J6rt_qC_aexNwQWgAs/edit","15 Fun and Unique Gift Ideas for Boys")</f>
        <v>15 Fun and Unique Gift Ideas for Boys</v>
      </c>
      <c r="B422" s="72" t="s">
        <v>1754</v>
      </c>
      <c r="H422" s="60" t="s">
        <v>1755</v>
      </c>
    </row>
    <row r="423" spans="1:29" ht="15.75" customHeight="1">
      <c r="A423" s="71" t="str">
        <f>HYPERLINK("https://docs.google.com/document/d/1kmY6DhxsFnas08hep6rJKIOYL0nSoos5EaXeI_p17eE/edit#heading=h.pvut9b6tu3my","Why do adults take multivitamins?")</f>
        <v>Why do adults take multivitamins?</v>
      </c>
      <c r="B423" s="72" t="s">
        <v>1754</v>
      </c>
      <c r="H423" s="60" t="s">
        <v>1756</v>
      </c>
    </row>
    <row r="424" spans="1:29" ht="15.75" customHeight="1">
      <c r="A424" s="71" t="str">
        <f>HYPERLINK("https://docs.google.com/document/d/1apWNXteczxr6pNcquChIiloZ0PrGvWuwzL5I-0Sml4g/edit","6 Sleek Presents for your Birthday")</f>
        <v>6 Sleek Presents for your Birthday</v>
      </c>
      <c r="B424" s="72" t="s">
        <v>1757</v>
      </c>
      <c r="H424" s="60" t="s">
        <v>1758</v>
      </c>
      <c r="I424" s="72" t="s">
        <v>1679</v>
      </c>
    </row>
    <row r="425" spans="1:29" ht="15.75" customHeight="1">
      <c r="A425" s="71" t="str">
        <f>HYPERLINK("https://docs.google.com/document/d/17cM-yQvPDsLp3GIY540SgwQklzAzuMcTKLBGgUu-36g/edit","10 Reasons Why Multivitamins Are Great for your Child")</f>
        <v>10 Reasons Why Multivitamins Are Great for your Child</v>
      </c>
      <c r="B425" s="72" t="s">
        <v>1757</v>
      </c>
      <c r="H425" s="60" t="s">
        <v>1759</v>
      </c>
    </row>
    <row r="426" spans="1:29" ht="15.75" customHeight="1">
      <c r="A426" s="71" t="str">
        <f>HYPERLINK("https://docs.google.com/document/d/1A3JmSNg33uUd0ZJXfLyG_rjXxIsZ3BAnpfjFLcPCXZ8/edit","Every hotel owner needs to make their website ADA compliant. Here’s why!")</f>
        <v>Every hotel owner needs to make their website ADA compliant. Here’s why!</v>
      </c>
      <c r="B426" s="72" t="s">
        <v>1757</v>
      </c>
      <c r="H426" s="60" t="s">
        <v>1761</v>
      </c>
    </row>
    <row r="427" spans="1:29" ht="15.75" customHeight="1">
      <c r="A427" s="71" t="str">
        <f>HYPERLINK("https://docs.google.com/document/d/1rcWvUgm3c7-GYgBkZ8OVnkhohZAfJI4N4eYSjkACtyk/edit","5 Eco-Friendly and Affordable Things I Always Carry With Me While Travelling ")</f>
        <v xml:space="preserve">5 Eco-Friendly and Affordable Things I Always Carry With Me While Travelling </v>
      </c>
      <c r="B427" s="72" t="s">
        <v>1763</v>
      </c>
      <c r="H427" s="60" t="s">
        <v>1764</v>
      </c>
      <c r="I427" s="72" t="s">
        <v>1037</v>
      </c>
    </row>
    <row r="428" spans="1:29" ht="15.75" customHeight="1">
      <c r="A428" s="71" t="str">
        <f>HYPERLINK("https://docs.google.com/document/d/1AyTuM9UVN5AjUTQqUmE5xetpHWMDgPA48FNeRik5mak/edit","How big data is redefining marketing")</f>
        <v>How big data is redefining marketing</v>
      </c>
      <c r="B428" s="72" t="s">
        <v>1763</v>
      </c>
      <c r="H428" s="60" t="s">
        <v>1765</v>
      </c>
    </row>
    <row r="429" spans="1:29" ht="15.75" customHeight="1">
      <c r="A429" s="71" t="str">
        <f>HYPERLINK("https://docs.google.com/document/d/192NmK8N-e0dcKWWYpWACrKfyuegxqqYqvFVxIiQM4To/edit","Epic PR Fails To Avoid In 2019")</f>
        <v>Epic PR Fails To Avoid In 2019</v>
      </c>
      <c r="B429" s="72" t="s">
        <v>1766</v>
      </c>
      <c r="H429" s="60" t="s">
        <v>1767</v>
      </c>
    </row>
    <row r="430" spans="1:29" ht="15.75" customHeight="1">
      <c r="A430" s="71" t="str">
        <f>HYPERLINK("https://docs.google.com/document/d/1d1uetYBV96kjFXY6WTEieLPePT5Y_s8c46LrDZnMhv4/edit","Does experiential marketing actually work?")</f>
        <v>Does experiential marketing actually work?</v>
      </c>
      <c r="B430" s="72" t="s">
        <v>327</v>
      </c>
      <c r="H430" s="60" t="s">
        <v>1770</v>
      </c>
      <c r="I430" s="72" t="s">
        <v>1771</v>
      </c>
    </row>
    <row r="431" spans="1:29" ht="15.75" customHeight="1">
      <c r="A431" s="71" t="str">
        <f>HYPERLINK("https://docs.google.com/document/d/1Oe5F0DWUIMTy66Nh3_Dw39zVVM3QIt17aPmId26SqXY/edit","Hotel Marketing Tips of 2019 that You Simply Can’t Ignore")</f>
        <v>Hotel Marketing Tips of 2019 that You Simply Can’t Ignore</v>
      </c>
      <c r="B431" s="81" t="s">
        <v>327</v>
      </c>
      <c r="E431" s="18"/>
      <c r="F431" s="18"/>
      <c r="G431" s="18"/>
      <c r="H431" s="61" t="s">
        <v>1772</v>
      </c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5.75" customHeight="1">
      <c r="A432" s="71" t="str">
        <f>HYPERLINK("https://docs.google.com/document/d/1OMcmjA7YnQqS0NuZknmvidwgYqFsSLvUwGzDlj4zf6Q/edit","5 B2B Strategies Guaranteed to Work in 2019")</f>
        <v>5 B2B Strategies Guaranteed to Work in 2019</v>
      </c>
      <c r="B432" s="72" t="s">
        <v>1773</v>
      </c>
      <c r="H432" s="60" t="s">
        <v>1774</v>
      </c>
      <c r="I432" s="72" t="s">
        <v>1445</v>
      </c>
    </row>
    <row r="433" spans="1:29" ht="15.75" customHeight="1">
      <c r="A433" s="71" t="str">
        <f>HYPERLINK("https://docs.google.com/document/d/1NRQACX79BAglba2jnMAyvYSTczgXNqEdq70iT9sqv4g/edit","6 Anniversary Gift Ideas That Will Make a Lasting Impression ")</f>
        <v xml:space="preserve">6 Anniversary Gift Ideas That Will Make a Lasting Impression </v>
      </c>
      <c r="B433" s="72" t="s">
        <v>1773</v>
      </c>
      <c r="H433" s="60" t="s">
        <v>1775</v>
      </c>
    </row>
    <row r="434" spans="1:29" ht="15.75" customHeight="1">
      <c r="A434" s="71" t="str">
        <f>HYPERLINK("https://docs.google.com/document/d/1sAlY8mGOniYQBT54qFilnc-EkvGn1l92NpyVU7aqlGE/edit","Could Your Child Have Scoliosis? Signs to Look For")</f>
        <v>Could Your Child Have Scoliosis? Signs to Look For</v>
      </c>
      <c r="B434" s="72" t="s">
        <v>1773</v>
      </c>
      <c r="H434" s="60" t="s">
        <v>1776</v>
      </c>
    </row>
    <row r="435" spans="1:29" ht="15.75" customHeight="1">
      <c r="A435" s="71" t="str">
        <f>HYPERLINK("https://docs.google.com/document/d/1EKCrnNA4VPdTA97IFOv_08JGhKXd2vVf/edit"," What Works and What Doesn't in Content Strategy this Year")</f>
        <v xml:space="preserve"> What Works and What Doesn't in Content Strategy this Year</v>
      </c>
      <c r="B435" s="72" t="s">
        <v>1777</v>
      </c>
      <c r="H435" s="60" t="s">
        <v>1778</v>
      </c>
      <c r="I435" s="72" t="s">
        <v>1445</v>
      </c>
    </row>
    <row r="436" spans="1:29" ht="15.75" customHeight="1">
      <c r="A436" s="71" t="str">
        <f>HYPERLINK("https://docs.google.com/document/d/1E4KaZfkhSyXrnyeNtpDlYfBsrScOV1biOfhUPuvZ1Ug/edit","5 Eco-Friendly and Affordable Travel Items")</f>
        <v>5 Eco-Friendly and Affordable Travel Items</v>
      </c>
      <c r="B436" s="72" t="s">
        <v>1779</v>
      </c>
      <c r="H436" s="60" t="s">
        <v>1780</v>
      </c>
      <c r="I436" s="72" t="s">
        <v>1037</v>
      </c>
    </row>
    <row r="437" spans="1:29" ht="15.75" customHeight="1">
      <c r="A437" s="71" t="str">
        <f>HYPERLINK("https://docs.google.com/document/d/1VvMll9NHorZh2-jQGwKL5CKVA70cAddUAjlxURosIP4/edit","6 Gifts to Remember")</f>
        <v>6 Gifts to Remember</v>
      </c>
      <c r="B437" s="72" t="s">
        <v>1777</v>
      </c>
      <c r="H437" s="60" t="s">
        <v>1781</v>
      </c>
      <c r="I437" s="72" t="s">
        <v>1782</v>
      </c>
      <c r="J437" s="72" t="s">
        <v>1783</v>
      </c>
    </row>
    <row r="438" spans="1:29" ht="15.75" customHeight="1">
      <c r="A438" s="71" t="str">
        <f>HYPERLINK("https://docs.google.com/document/d/1kkJtoWUTDHf0y11VXkT5W9efZY6vQgSZSQ4jxiAk5c0/edit","How much Vitamin C Should you Actually Take")</f>
        <v>How much Vitamin C Should you Actually Take</v>
      </c>
      <c r="B438" s="72" t="s">
        <v>1777</v>
      </c>
      <c r="H438" s="60" t="s">
        <v>1784</v>
      </c>
    </row>
    <row r="439" spans="1:29" ht="15.75" customHeight="1">
      <c r="A439" s="71" t="str">
        <f>HYPERLINK("https://docs.google.com/document/d/1WyT0iBruFlCoLs9WdkysYZmJrLI60nEBJjvTCTMw-Lc/edit","5 Multivitamins That Are Actually Good for Athletes")</f>
        <v>5 Multivitamins That Are Actually Good for Athletes</v>
      </c>
      <c r="B439" s="72" t="s">
        <v>446</v>
      </c>
      <c r="H439" s="60" t="s">
        <v>1785</v>
      </c>
    </row>
    <row r="440" spans="1:29" ht="15.75" customHeight="1">
      <c r="A440" s="71" t="str">
        <f>HYPERLINK("https://docs.google.com/document/d/1WAewYnYRntzSyRuc3Tt-vJmAG_sVMzja6hR0zouiLdo/edit#","6 gadgets you didn’t know you needed")</f>
        <v>6 gadgets you didn’t know you needed</v>
      </c>
      <c r="B440" s="72" t="s">
        <v>1786</v>
      </c>
      <c r="H440" s="60" t="s">
        <v>1787</v>
      </c>
      <c r="I440" s="72" t="s">
        <v>1782</v>
      </c>
    </row>
    <row r="441" spans="1:29" ht="15.75" customHeight="1">
      <c r="A441" s="71" t="str">
        <f>HYPERLINK("https://docs.google.com/document/d/18BvzxljF9lNbkmm72XuA6KvkPpewrtgm-OXelt2zBac/edit","5 Early Signs of Scoliosis that You Should be Aware of")</f>
        <v>5 Early Signs of Scoliosis that You Should be Aware of</v>
      </c>
      <c r="B441" s="72" t="s">
        <v>1748</v>
      </c>
      <c r="H441" s="60" t="s">
        <v>1788</v>
      </c>
    </row>
    <row r="442" spans="1:29" ht="15.75" customHeight="1">
      <c r="A442" s="71" t="str">
        <f>HYPERLINK("https://docs.google.com/document/d/1lC4x-lF8L7FbVb-8htszSg-TnL8HetumNW_b_3oyNXg/edit#heading=h.70vfpiv94b1j","5 essential things I have in my home office")</f>
        <v>5 essential things I have in my home office</v>
      </c>
      <c r="B442" s="72" t="s">
        <v>457</v>
      </c>
      <c r="H442" s="60" t="s">
        <v>1790</v>
      </c>
      <c r="I442" s="72" t="s">
        <v>1792</v>
      </c>
    </row>
    <row r="443" spans="1:29" ht="15.75" customHeight="1">
      <c r="A443" s="11" t="str">
        <f>HYPERLINK("https://docs.google.com/document/d/1vjXu9POj5vdrTUQUOsZEOK6HThZgr6CTYlgpTb7ncTI/edit","5 compelling reasons why Biotech Must Embrace Artificial Intelligence &amp; Blockchain in 2019 ")</f>
        <v xml:space="preserve">5 compelling reasons why Biotech Must Embrace Artificial Intelligence &amp; Blockchain in 2019 </v>
      </c>
      <c r="B443" s="3" t="s">
        <v>411</v>
      </c>
      <c r="H443" s="60" t="s">
        <v>1793</v>
      </c>
    </row>
    <row r="444" spans="1:29" ht="15.75" customHeight="1">
      <c r="A444" s="71" t="str">
        <f>HYPERLINK("https://docs.google.com/document/d/168PJVtygqQgd7N7qkS97Zeqz8fCjeDs5veOJHVp3yb8/edit","8 Things that Successful Mobile Apps Have in Common")</f>
        <v>8 Things that Successful Mobile Apps Have in Common</v>
      </c>
      <c r="B444" s="72" t="s">
        <v>1795</v>
      </c>
      <c r="H444" s="60" t="s">
        <v>1796</v>
      </c>
      <c r="I444" s="72" t="s">
        <v>1445</v>
      </c>
    </row>
    <row r="445" spans="1:29" ht="15.75" customHeight="1">
      <c r="A445" s="71" t="str">
        <f>HYPERLINK("https://docs.google.com/document/d/1ZxMXs0I1zZhDGigNhT1PgrZE3o2boeb2Pq_AOA-N_UU/edit","5 Pillars Of Content Marketing")</f>
        <v>5 Pillars Of Content Marketing</v>
      </c>
      <c r="B445" s="72" t="s">
        <v>311</v>
      </c>
      <c r="H445" s="60" t="s">
        <v>1686</v>
      </c>
    </row>
    <row r="446" spans="1:29" ht="15.75" customHeight="1">
      <c r="A446" s="71" t="str">
        <f>HYPERLINK("https://docs.google.com/document/d/1ZTRBbyRvY0qtaC8p4kY3u80pfWG3JeAUnbKIKYX8ZIE/edit","Why Multivitamins are Useless")</f>
        <v>Why Multivitamins are Useless</v>
      </c>
      <c r="B446" s="72" t="s">
        <v>311</v>
      </c>
      <c r="H446" s="60" t="s">
        <v>1768</v>
      </c>
    </row>
    <row r="447" spans="1:29" ht="15.75" customHeight="1">
      <c r="A447" s="71" t="str">
        <f>HYPERLINK("https://docs.google.com/document/d/1HuMhFbiyWLtSr2EbTwzEzIPmYuVg4J1FiXRIAtqlztM/edit","5 things every executive should know about blockchain in healthcare")</f>
        <v>5 things every executive should know about blockchain in healthcare</v>
      </c>
      <c r="B447" s="72" t="s">
        <v>1799</v>
      </c>
      <c r="E447" s="18"/>
      <c r="F447" s="18"/>
      <c r="G447" s="18"/>
      <c r="H447" s="61" t="s">
        <v>1701</v>
      </c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5.75" customHeight="1">
      <c r="A448" s="71" t="str">
        <f>HYPERLINK("https://docs.google.com/document/d/18FhVgouzh8bXlWZAML5qVco5djixX92JbZylaNdGhTo/edit"," Is LinkedIn Effective in Driving Business to your Company Website")</f>
        <v xml:space="preserve"> Is LinkedIn Effective in Driving Business to your Company Website</v>
      </c>
      <c r="B448" s="72" t="s">
        <v>1799</v>
      </c>
      <c r="H448" s="60" t="s">
        <v>1687</v>
      </c>
    </row>
    <row r="449" spans="1:29" ht="15.75" customHeight="1">
      <c r="A449" s="71" t="str">
        <f>HYPERLINK("https://docs.google.com/document/d/1_siRbfuGODNUn-dnwNu9om4r6-Bz0rVAc8TqIiMzvhE/edit","Hotels Are Struggling With ADA Compliance")</f>
        <v>Hotels Are Struggling With ADA Compliance</v>
      </c>
      <c r="B449" s="60" t="s">
        <v>1800</v>
      </c>
      <c r="H449" s="60" t="s">
        <v>1641</v>
      </c>
    </row>
    <row r="450" spans="1:29" ht="15.75" customHeight="1">
      <c r="A450" s="71" t="str">
        <f>HYPERLINK("https://docs.google.com/document/d/1x2F-V6Y4HnE8Fj1K2IcOhK7xRtCT4tEy21Yj--IKUCk/edit","How to market your startup for free in 2019")</f>
        <v>How to market your startup for free in 2019</v>
      </c>
      <c r="B450" s="60" t="s">
        <v>1801</v>
      </c>
      <c r="H450" s="60" t="s">
        <v>1690</v>
      </c>
      <c r="I450" s="72" t="s">
        <v>1445</v>
      </c>
    </row>
    <row r="451" spans="1:29" ht="15.75" customHeight="1">
      <c r="A451" s="71" t="str">
        <f>HYPERLINK("https://docs.google.com/document/d/1M-L3eQee5SrphnES9dvmwz0GMEAcE_5Djq1nSHZ9duM/edit","How ADA compliance can help your reputation")</f>
        <v>How ADA compliance can help your reputation</v>
      </c>
      <c r="B451" s="60" t="s">
        <v>1803</v>
      </c>
      <c r="H451" s="60" t="s">
        <v>1638</v>
      </c>
    </row>
    <row r="452" spans="1:29" ht="15.75" customHeight="1">
      <c r="A452" s="71" t="str">
        <f>HYPERLINK("https://docs.google.com/document/d/1AJJ623sSqdPeWovk1FaVcT6Ab8ZdWWq8inYpa3A6Vkw/edit","Easy Peasy gift ideas for Father's Day")</f>
        <v>Easy Peasy gift ideas for Father's Day</v>
      </c>
      <c r="B452" s="60" t="s">
        <v>1803</v>
      </c>
      <c r="H452" s="60" t="s">
        <v>1804</v>
      </c>
      <c r="I452" s="72" t="s">
        <v>1805</v>
      </c>
    </row>
    <row r="453" spans="1:29" ht="15.75" customHeight="1">
      <c r="A453" s="71" t="str">
        <f>HYPERLINK("https://docs.google.com/document/d/1sOX-iDOweV-apyK1LWkbue2F9fczA-AsmairT4ldK5Q/edit","10 Unique Gifts for your Clients")</f>
        <v>10 Unique Gifts for your Clients</v>
      </c>
      <c r="B453" s="60" t="s">
        <v>1806</v>
      </c>
      <c r="H453" s="60" t="s">
        <v>1807</v>
      </c>
      <c r="I453" s="72" t="s">
        <v>1805</v>
      </c>
    </row>
    <row r="454" spans="1:29" ht="15.75" customHeight="1">
      <c r="A454" s="71" t="str">
        <f>HYPERLINK("https://docs.google.com/document/d/1RlCDw62xkWaJiY1B1hMYCbvntELAyFe6gR53hQD7h6c/edit","8  Things that Amazing Mobile Apps Have in Common")</f>
        <v>8  Things that Amazing Mobile Apps Have in Common</v>
      </c>
      <c r="B454" s="60" t="s">
        <v>1806</v>
      </c>
      <c r="H454" s="60" t="s">
        <v>1760</v>
      </c>
      <c r="I454" s="72" t="s">
        <v>1445</v>
      </c>
    </row>
    <row r="455" spans="1:29" ht="15.75" customHeight="1">
      <c r="A455" s="71" t="str">
        <f>HYPERLINK("https://docs.google.com/document/d/1K0mIA4hart3McO1gwKZLeKJZus-jcNIPla4FMmnCOZc/edit","AI Tackling Treatment Of Rare, Difficult And Expensive Disorders")</f>
        <v>AI Tackling Treatment Of Rare, Difficult And Expensive Disorders</v>
      </c>
      <c r="B455" s="60" t="s">
        <v>1808</v>
      </c>
      <c r="H455" s="60" t="s">
        <v>1678</v>
      </c>
    </row>
    <row r="456" spans="1:29" ht="15.75" customHeight="1">
      <c r="A456" s="71" t="str">
        <f>HYPERLINK("https://docs.google.com/document/d/1cImr_8q8Q1E1ZhZ5XHEDgja6HpnZNHMFw7uP9tO6UU0/edit","Famous companies sued over website ADA compliance")</f>
        <v>Famous companies sued over website ADA compliance</v>
      </c>
      <c r="B456" s="60" t="s">
        <v>1809</v>
      </c>
      <c r="H456" s="60" t="s">
        <v>1645</v>
      </c>
    </row>
    <row r="457" spans="1:29" ht="15.75" customHeight="1">
      <c r="A457" s="71" t="str">
        <f>HYPERLINK("https://docs.google.com/document/d/15f3RGu_LkdXV4lorgEcut4NMs_dGkGVZZb1T6pcm3AM/edit","10 Perfect Gifts for Space Nerds ")</f>
        <v xml:space="preserve">10 Perfect Gifts for Space Nerds </v>
      </c>
      <c r="B457" s="60" t="s">
        <v>1811</v>
      </c>
      <c r="H457" s="60" t="s">
        <v>1812</v>
      </c>
      <c r="I457" s="72" t="s">
        <v>1805</v>
      </c>
    </row>
    <row r="458" spans="1:29" ht="15.75" customHeight="1">
      <c r="A458" s="71" t="str">
        <f>HYPERLINK("https://docs.google.com/document/d/107io45YGmI_aSHQiNweiK38JiJWlRjhSfYTjnVTHJ74/edit","Why Should Big Pharma Invest in Artificial Intelligence in 2019")</f>
        <v>Why Should Big Pharma Invest in Artificial Intelligence in 2019</v>
      </c>
      <c r="B458" s="60" t="s">
        <v>1813</v>
      </c>
      <c r="H458" s="60" t="s">
        <v>1676</v>
      </c>
      <c r="I458" s="72" t="s">
        <v>1448</v>
      </c>
    </row>
    <row r="459" spans="1:29" ht="15.75" customHeight="1">
      <c r="A459" s="11" t="str">
        <f>HYPERLINK("https://docs.google.com/document/d/1Cu2NJ4VxFWtMsAGp1WWVOTA28xbkeHgRQCXyRbh7NU0/edit","6 VR Innovations Revolutionizing Healthcare In 2019")</f>
        <v>6 VR Innovations Revolutionizing Healthcare In 2019</v>
      </c>
      <c r="B459" s="61" t="s">
        <v>1814</v>
      </c>
      <c r="H459" s="60" t="s">
        <v>1743</v>
      </c>
    </row>
    <row r="460" spans="1:29" ht="15.75" customHeight="1">
      <c r="A460" s="71" t="str">
        <f>HYPERLINK("https://docs.google.com/document/d/1UA6PgFrzBGHk0E4iMKXQamtTwMI4GstdUZKBnXw52uU/edit","7 amazing B2B marketing examples that work")</f>
        <v>7 amazing B2B marketing examples that work</v>
      </c>
      <c r="H460" s="60" t="s">
        <v>1692</v>
      </c>
      <c r="I460" s="72" t="s">
        <v>1445</v>
      </c>
    </row>
    <row r="461" spans="1:29" ht="15.75" customHeight="1">
      <c r="A461" s="11" t="str">
        <f>HYPERLINK("https://docs.google.com/document/d/16t-Swt-aWbQMAfMJEBy2Mljtn7LyjzV8_XoAKHBlr6E/edit","BYOD in healthcare — A new trend ")</f>
        <v xml:space="preserve">BYOD in healthcare — A new trend </v>
      </c>
      <c r="B461" s="3" t="s">
        <v>311</v>
      </c>
      <c r="C461" s="3" t="s">
        <v>1448</v>
      </c>
      <c r="D461" s="18"/>
      <c r="E461" s="18"/>
      <c r="F461" s="18"/>
      <c r="G461" s="18"/>
      <c r="H461" s="61" t="s">
        <v>1815</v>
      </c>
      <c r="I461" s="3" t="s">
        <v>1448</v>
      </c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5.75" customHeight="1">
      <c r="A462" s="71" t="str">
        <f>HYPERLINK("https://docs.google.com/document/d/1FRkbmkBnKBpVxZH_C0h0ZBk3Z2FaiDO0eswW-lALYYU/edit","5 CBD Oil Side Effects You Should Know About")</f>
        <v>5 CBD Oil Side Effects You Should Know About</v>
      </c>
      <c r="B462" s="3" t="s">
        <v>311</v>
      </c>
      <c r="H462" s="60" t="s">
        <v>1816</v>
      </c>
      <c r="I462" s="72" t="s">
        <v>1817</v>
      </c>
    </row>
    <row r="463" spans="1:29" ht="15.75" customHeight="1">
      <c r="A463" s="11" t="str">
        <f>HYPERLINK("https://docs.google.com/document/d/1q36REV86KAliSqAka1IBlq4Ba3w7s91VU8TTe9gU470/edit?ts=5c97757c#","Stylish thermoses to buy this year ")</f>
        <v xml:space="preserve">Stylish thermoses to buy this year </v>
      </c>
      <c r="B463" s="3" t="s">
        <v>311</v>
      </c>
      <c r="C463" s="61" t="s">
        <v>1557</v>
      </c>
      <c r="D463" s="18"/>
      <c r="E463" s="18"/>
      <c r="F463" s="18"/>
      <c r="G463" s="18"/>
      <c r="H463" s="61" t="s">
        <v>1818</v>
      </c>
      <c r="I463" s="3" t="s">
        <v>1037</v>
      </c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5.75" customHeight="1">
      <c r="A464" s="11" t="str">
        <f>HYPERLINK("https://docs.google.com/document/d/1x3TyRp2_c_hoarp29yFUr93MqfPjbJfzGmUtPSeplws/edit","6 Reasons Why Bluetooth-Powered Medical Devices Have Become So Popular ")</f>
        <v xml:space="preserve">6 Reasons Why Bluetooth-Powered Medical Devices Have Become So Popular </v>
      </c>
      <c r="B464" s="3" t="s">
        <v>1819</v>
      </c>
      <c r="H464" s="60" t="s">
        <v>1820</v>
      </c>
      <c r="I464" s="72" t="s">
        <v>1448</v>
      </c>
    </row>
    <row r="465" spans="1:9" ht="15.75" customHeight="1">
      <c r="A465" s="71" t="str">
        <f>HYPERLINK("https://docs.google.com/document/d/1eOhpivOoUpm2A3x942hfKUQxZ8au_v-50led-SiJFtM/edit","Main Differences Between SEO and Content Strategy")</f>
        <v>Main Differences Between SEO and Content Strategy</v>
      </c>
      <c r="B465" s="72"/>
      <c r="H465" s="60" t="s">
        <v>1695</v>
      </c>
    </row>
    <row r="466" spans="1:9" ht="15.75" customHeight="1">
      <c r="A466" s="162" t="str">
        <f>HYPERLINK("https://docs.google.com/document/d/1QMzn7I9OEt8QeR0L79VcVAm3jQ2QKBnHc_XDBzezb80/edit","My experience with the Kool8 Bottle")</f>
        <v>My experience with the Kool8 Bottle</v>
      </c>
      <c r="H466" s="60" t="s">
        <v>1791</v>
      </c>
      <c r="I466" s="72" t="s">
        <v>1037</v>
      </c>
    </row>
    <row r="467" spans="1:9" ht="15.75" customHeight="1">
      <c r="A467" s="11" t="str">
        <f>HYPERLINK("https://docs.google.com/document/d/1LKx4-x_YGqHGQo4y0NLkjUif9mYpA6lGJ1qh5SviqeY/edit","5 Myths About Digital Health ")</f>
        <v xml:space="preserve">5 Myths About Digital Health </v>
      </c>
      <c r="B467" s="3" t="s">
        <v>446</v>
      </c>
      <c r="H467" s="60" t="s">
        <v>1822</v>
      </c>
      <c r="I467" s="72" t="s">
        <v>1448</v>
      </c>
    </row>
    <row r="468" spans="1:9" ht="15.75" customHeight="1">
      <c r="A468" s="71" t="str">
        <f>HYPERLINK("https://docs.google.com/document/d/1VAKBOEXwPnCFPjSBqms_CJUJtrOmDMGSj2RbhGyjfCE/edit","7 Gift Ideas for Your Spouse ")</f>
        <v xml:space="preserve">7 Gift Ideas for Your Spouse </v>
      </c>
      <c r="B468" s="72" t="s">
        <v>1823</v>
      </c>
      <c r="H468" s="60" t="s">
        <v>1824</v>
      </c>
      <c r="I468" s="72" t="s">
        <v>1037</v>
      </c>
    </row>
    <row r="469" spans="1:9" ht="15.75" customHeight="1">
      <c r="A469" s="71" t="str">
        <f>HYPERLINK("https://docs.google.com/document/d/1yH3RS5Kl4ggd7x_z4q0JZv_tZk0b8cIhRsOHGHyfyvg/edit","Kool8 review - how I save money every day with a reusable stainless steel water bottle ")</f>
        <v xml:space="preserve">Kool8 review - how I save money every day with a reusable stainless steel water bottle </v>
      </c>
      <c r="B469" s="72" t="s">
        <v>1825</v>
      </c>
      <c r="H469" s="60" t="s">
        <v>1789</v>
      </c>
    </row>
    <row r="470" spans="1:9" ht="15.75" customHeight="1">
      <c r="A470" s="71" t="str">
        <f>HYPERLINK("https://docs.google.com/document/d/1c3sh9ohVmsiBM5kT29fqa-0GGy7dxbWvSzqnDEPLuOE/edit#","Can CBD oil help you quit smoking?")</f>
        <v>Can CBD oil help you quit smoking?</v>
      </c>
      <c r="B470" s="60" t="s">
        <v>221</v>
      </c>
      <c r="H470" s="60" t="s">
        <v>1826</v>
      </c>
      <c r="I470" s="72" t="s">
        <v>1817</v>
      </c>
    </row>
    <row r="471" spans="1:9" ht="15.75" customHeight="1">
      <c r="A471" s="71" t="str">
        <f>HYPERLINK("https://docs.google.com/document/d/16qjoVHzrjJeUoxYY-bMOmdlGvQz4ktFDXgg4ZTsCT_8/edit#heading=h.wyoz4bxbb9z6","CBD for kids: everything you need to know")</f>
        <v>CBD for kids: everything you need to know</v>
      </c>
      <c r="B471" s="60" t="s">
        <v>1827</v>
      </c>
      <c r="H471" s="60" t="s">
        <v>1828</v>
      </c>
      <c r="I471" s="72" t="s">
        <v>1817</v>
      </c>
    </row>
    <row r="472" spans="1:9" ht="15.75" customHeight="1">
      <c r="A472" s="71" t="str">
        <f>HYPERLINK("https://docs.google.com/document/d/152S_WNp9Oeph9qIyDBcFXzKWYiYzTK5iKd8TUcwCa-s/edit","Why 89% of Seniors Recommend CBD Oil to a Friend")</f>
        <v>Why 89% of Seniors Recommend CBD Oil to a Friend</v>
      </c>
      <c r="B472" s="60" t="s">
        <v>1829</v>
      </c>
      <c r="H472" s="60" t="s">
        <v>1830</v>
      </c>
      <c r="I472" s="72" t="s">
        <v>1817</v>
      </c>
    </row>
    <row r="473" spans="1:9" ht="15.75" customHeight="1">
      <c r="A473" s="71" t="str">
        <f>HYPERLINK("https://docs.google.com/document/d/1XDsrVuDgw-R5emEO8j5TpAuZOPWLiOO-gTw-OW1pWuw/edit","6 Surprising Uses for CBD Oil You Never Knew About")</f>
        <v>6 Surprising Uses for CBD Oil You Never Knew About</v>
      </c>
      <c r="B473" s="60" t="s">
        <v>1831</v>
      </c>
      <c r="H473" s="60" t="s">
        <v>1832</v>
      </c>
      <c r="I473" s="72" t="s">
        <v>1817</v>
      </c>
    </row>
    <row r="474" spans="1:9" ht="15.75" customHeight="1">
      <c r="A474" s="71" t="str">
        <f>HYPERLINK("https://docs.google.com/document/d/1UbWR-U2fIGNxo_g-9DEff6Xrq8GZnhPAJVatUmkaMic/edit","Do CBD gummies work?")</f>
        <v>Do CBD gummies work?</v>
      </c>
      <c r="B474" s="60" t="s">
        <v>1833</v>
      </c>
      <c r="H474" s="60" t="s">
        <v>1834</v>
      </c>
      <c r="I474" s="72" t="s">
        <v>1817</v>
      </c>
    </row>
    <row r="475" spans="1:9" ht="15.75" customHeight="1">
      <c r="A475" s="71" t="str">
        <f>HYPERLINK("https://docs.google.com/document/d/1B8UXTOKtn3h1POi7PjBFsTbAsuGD4ECd/edit","CBD Oil for Migraines: Risks and Benefits")</f>
        <v>CBD Oil for Migraines: Risks and Benefits</v>
      </c>
      <c r="B475" s="60" t="s">
        <v>1835</v>
      </c>
      <c r="H475" s="60" t="s">
        <v>1836</v>
      </c>
      <c r="I475" s="72" t="s">
        <v>1817</v>
      </c>
    </row>
    <row r="476" spans="1:9" ht="15.75" customHeight="1">
      <c r="A476" s="71" t="str">
        <f>HYPERLINK("https://docs.google.com/document/d/1zXXkulgB3Nmy7LaZcdr544JZx-Xkk-Bk/edit","What’s the difference between THC and CBD? ")</f>
        <v xml:space="preserve">What’s the difference between THC and CBD? </v>
      </c>
      <c r="B476" s="60" t="s">
        <v>1458</v>
      </c>
      <c r="H476" s="60" t="s">
        <v>1837</v>
      </c>
      <c r="I476" s="72" t="s">
        <v>1817</v>
      </c>
    </row>
    <row r="477" spans="1:9" ht="15.75" customHeight="1">
      <c r="A477" s="71" t="str">
        <f>HYPERLINK("https://docs.google.com/document/d/1WW6bEHB8rEP34MtahqyqmILv_ibX765ks_dnHThL9TE/edit"," 5 CBD Oil Side Effects You Should Know About")</f>
        <v xml:space="preserve"> 5 CBD Oil Side Effects You Should Know About</v>
      </c>
      <c r="B477" s="60" t="s">
        <v>572</v>
      </c>
      <c r="H477" s="60" t="s">
        <v>1838</v>
      </c>
      <c r="I477" s="72" t="s">
        <v>1817</v>
      </c>
    </row>
    <row r="478" spans="1:9" ht="15.75" customHeight="1">
      <c r="A478" s="71" t="str">
        <f>HYPERLINK("https://docs.google.com/document/d/1w1totsNUTvj8PS9PdCfvxwe34mzoSuQItX40jK1luhM/edit#","How To Use CBD For Arthritis")</f>
        <v>How To Use CBD For Arthritis</v>
      </c>
      <c r="B478" s="60" t="s">
        <v>673</v>
      </c>
      <c r="H478" s="60" t="s">
        <v>1839</v>
      </c>
      <c r="I478" s="72" t="s">
        <v>1817</v>
      </c>
    </row>
    <row r="479" spans="1:9" ht="15.75" customHeight="1">
      <c r="A479" s="71" t="str">
        <f>HYPERLINK("https://docs.google.com/document/d/1KuVfsbgZ8auHr8db5sFsnSfbkW0NSzTRsNbSPrqL3Fo/edit","Why we need a new test for THC")</f>
        <v>Why we need a new test for THC</v>
      </c>
      <c r="B479" s="61" t="s">
        <v>413</v>
      </c>
      <c r="H479" s="60" t="s">
        <v>1840</v>
      </c>
      <c r="I479" s="72" t="s">
        <v>1817</v>
      </c>
    </row>
    <row r="480" spans="1:9" ht="15.75" customHeight="1">
      <c r="A480" s="71" t="str">
        <f>HYPERLINK("https://docs.google.com/document/d/1mCHsu3vZfx_i4yjYTbdIWtJGtcAJ8tKoWlZmzDSKSYI/edit#heading=h.3ktnflv6t8jq","The Promising Potential Of CBD Oil")</f>
        <v>The Promising Potential Of CBD Oil</v>
      </c>
      <c r="B480" s="61" t="s">
        <v>1841</v>
      </c>
      <c r="H480" s="60" t="s">
        <v>1842</v>
      </c>
      <c r="I480" s="72" t="s">
        <v>1817</v>
      </c>
    </row>
    <row r="481" spans="1:9" ht="15.75" customHeight="1">
      <c r="A481" s="71" t="str">
        <f>HYPERLINK("https://docs.google.com/document/d/1c2oh5w4sDzX1jLbCYEFGtmxhjCdZJn2GmJbN5nJTfMI/edit#","How CBD Helps With Acne Treatment")</f>
        <v>How CBD Helps With Acne Treatment</v>
      </c>
      <c r="B481" s="61" t="s">
        <v>1843</v>
      </c>
      <c r="H481" s="60" t="s">
        <v>1844</v>
      </c>
      <c r="I481" s="72" t="s">
        <v>1817</v>
      </c>
    </row>
    <row r="482" spans="1:9" ht="15.75" customHeight="1">
      <c r="A482" s="71" t="str">
        <f>HYPERLINK("https://docs.google.com/document/d/1sGeGj5M0R0f6winHySOsnZHcwiPJ1nkv5E_OQZROTtc/edit#","CBD &amp; Inflammation: It Actually Works")</f>
        <v>CBD &amp; Inflammation: It Actually Works</v>
      </c>
      <c r="B482" s="61" t="s">
        <v>1845</v>
      </c>
      <c r="H482" s="60" t="s">
        <v>1846</v>
      </c>
      <c r="I482" s="72" t="s">
        <v>1817</v>
      </c>
    </row>
    <row r="483" spans="1:9" ht="15.75" customHeight="1">
      <c r="A483" s="71" t="str">
        <f>HYPERLINK("https://docs.google.com/document/d/13b736CvNI-Lv-ORMa3u_ssTM9Iyd435IJMXIwAontQM/edit#heading=h.6ast23ruyozj","5 CBD Oil Adverse Risks You Should Know About")</f>
        <v>5 CBD Oil Adverse Risks You Should Know About</v>
      </c>
      <c r="B483" s="61" t="s">
        <v>1847</v>
      </c>
      <c r="H483" s="60" t="s">
        <v>1848</v>
      </c>
      <c r="I483" s="72" t="s">
        <v>1817</v>
      </c>
    </row>
    <row r="484" spans="1:9" ht="15.75" customHeight="1">
      <c r="A484" s="71" t="str">
        <f>HYPERLINK("https://docs.google.com/document/d/1jzPIsVLeiWeHExB7EfWdqJb5k4GXr5st2uyz1H8gRzw/edit","Can CBD Help with Pain Reduction?")</f>
        <v>Can CBD Help with Pain Reduction?</v>
      </c>
      <c r="B484" s="61" t="s">
        <v>1850</v>
      </c>
      <c r="H484" s="60" t="s">
        <v>1851</v>
      </c>
      <c r="I484" s="72" t="s">
        <v>1817</v>
      </c>
    </row>
    <row r="485" spans="1:9" ht="15.75" customHeight="1">
      <c r="A485" s="71" t="str">
        <f>HYPERLINK("https://docs.google.com/document/d/1PXnvXyxVJQzTZ1DFBfdLVPnRPGQ0MrkrhB1zuWzzaKc/edit","CBD and cancer patients: does it work?")</f>
        <v>CBD and cancer patients: does it work?</v>
      </c>
      <c r="B485" s="61" t="s">
        <v>1852</v>
      </c>
      <c r="H485" s="60" t="s">
        <v>1853</v>
      </c>
      <c r="I485" s="72" t="s">
        <v>1817</v>
      </c>
    </row>
    <row r="486" spans="1:9" ht="15.75" customHeight="1">
      <c r="A486" s="71" t="str">
        <f>HYPERLINK("https://docs.google.com/document/d/1BFxPSzRy3baOukhcl3ciAPVV0x5LSbJ5RdxiWo3XfN8/edit","CBD and Dogs: How to Do it Safely")</f>
        <v>CBD and Dogs: How to Do it Safely</v>
      </c>
      <c r="B486" s="61" t="s">
        <v>575</v>
      </c>
      <c r="H486" s="60" t="s">
        <v>1854</v>
      </c>
      <c r="I486" s="72" t="s">
        <v>1817</v>
      </c>
    </row>
    <row r="487" spans="1:9" ht="15.75" customHeight="1">
      <c r="A487" s="71" t="str">
        <f>HYPERLINK("https://docs.google.com/document/d/1WtxZI0HBCgEHBq53hXw_HBwkHBE-GWpV3ARGhUNoElQ/edit","10 industries disrupted by CBD oil")</f>
        <v>10 industries disrupted by CBD oil</v>
      </c>
      <c r="B487" s="61" t="s">
        <v>1455</v>
      </c>
      <c r="H487" s="60" t="s">
        <v>1855</v>
      </c>
      <c r="I487" s="72" t="s">
        <v>1817</v>
      </c>
    </row>
    <row r="488" spans="1:9" ht="15.75" customHeight="1">
      <c r="A488" s="71" t="str">
        <f>HYPERLINK("https://docs.google.com/document/d/1NMZC3atR1_E8i129Lj2Vu2VHAYVhvM0xf8bfON6ycy8/edit","6 Technologies Helping People Live A Better Life")</f>
        <v>6 Technologies Helping People Live A Better Life</v>
      </c>
      <c r="B488" s="61" t="s">
        <v>1857</v>
      </c>
      <c r="H488" s="60" t="s">
        <v>1660</v>
      </c>
      <c r="I488" s="72" t="s">
        <v>1518</v>
      </c>
    </row>
    <row r="489" spans="1:9" ht="15.75" customHeight="1">
      <c r="A489" s="71" t="str">
        <f>HYPERLINK("https://docs.google.com/document/d/1nX-tO3tG_1qjHa9AixVP4ZhZAP8J69aEGmzmsgIFveM/edit","Is Your Website ADA Compliant? Find out today")</f>
        <v>Is Your Website ADA Compliant? Find out today</v>
      </c>
      <c r="B489" s="60" t="s">
        <v>1835</v>
      </c>
      <c r="H489" s="60" t="s">
        <v>1646</v>
      </c>
    </row>
    <row r="490" spans="1:9" ht="15.75" customHeight="1">
      <c r="A490" s="71" t="str">
        <f>HYPERLINK("https://docs.google.com/document/d/1xIivr2dmtDhGf0Kmx_SRlWc8rX2VScULS0tjEb9Tmog/edit#","Skip the lame, go for the cool. 5 gifts that will wow and delight ")</f>
        <v xml:space="preserve">Skip the lame, go for the cool. 5 gifts that will wow and delight </v>
      </c>
      <c r="B490" s="60" t="s">
        <v>1835</v>
      </c>
      <c r="H490" s="60" t="s">
        <v>1858</v>
      </c>
      <c r="I490" s="72" t="s">
        <v>1859</v>
      </c>
    </row>
    <row r="491" spans="1:9" ht="15.75" customHeight="1">
      <c r="A491" s="71" t="str">
        <f>HYPERLINK("https://docs.google.com/document/d/1GT2vDRjGPq4AwCoJ48iC9AjAQI32Q7Ppi2fwIdE4Dpw/edit#","5 reasons why every business should use Alexa for business")</f>
        <v>5 reasons why every business should use Alexa for business</v>
      </c>
      <c r="B491" s="61" t="s">
        <v>1852</v>
      </c>
      <c r="H491" s="60" t="s">
        <v>1652</v>
      </c>
    </row>
    <row r="492" spans="1:9" ht="15.75" customHeight="1">
      <c r="A492" s="71" t="str">
        <f>HYPERLINK("https://docs.google.com/document/d/1RE789ly9QnlA4eLISZL5T8-IssP4ERe_/edit#","Amazing gifts for those who have everything")</f>
        <v>Amazing gifts for those who have everything</v>
      </c>
      <c r="B492" s="60" t="s">
        <v>1458</v>
      </c>
      <c r="H492" s="60" t="s">
        <v>1860</v>
      </c>
      <c r="I492" s="72" t="s">
        <v>1859</v>
      </c>
    </row>
    <row r="493" spans="1:9" ht="15.75" customHeight="1">
      <c r="A493" s="71" t="str">
        <f>HYPERLINK("https://docs.google.com/document/d/1IwolJKaxA3wjpV_BIenW1dT_CXNclfdLNcMyEfosmLQ/edit#","5 tips for IT marketing professionals")</f>
        <v>5 tips for IT marketing professionals</v>
      </c>
      <c r="B493" s="60" t="s">
        <v>1861</v>
      </c>
      <c r="H493" s="60" t="s">
        <v>1753</v>
      </c>
      <c r="I493" s="72" t="s">
        <v>1445</v>
      </c>
    </row>
    <row r="494" spans="1:9" ht="15.75" customHeight="1">
      <c r="A494" s="71" t="str">
        <f>HYPERLINK("https://docs.google.com/document/d/1Ysd7tqjyP2ndi2z4FAh8F6CXtnWk08J4TWvWo5GB4N0/edit#heading=h.n1vg0hbs1vz9","5 things that make a mobile app amazing")</f>
        <v>5 things that make a mobile app amazing</v>
      </c>
      <c r="B494" s="61" t="s">
        <v>414</v>
      </c>
      <c r="H494" s="60" t="s">
        <v>1762</v>
      </c>
    </row>
    <row r="495" spans="1:9" ht="15.75" customHeight="1">
      <c r="A495" s="71" t="str">
        <f>HYPERLINK("https://docs.google.com/document/d/1KRZieNU5JV5TYOJC0sPhMOs8j2_SMqBZxGDFXJUxTfc/edit","Benefits Of CBD In Baked Goods")</f>
        <v>Benefits Of CBD In Baked Goods</v>
      </c>
      <c r="B495" s="60" t="s">
        <v>1862</v>
      </c>
      <c r="H495" s="60" t="s">
        <v>1863</v>
      </c>
      <c r="I495" s="72" t="s">
        <v>1817</v>
      </c>
    </row>
    <row r="496" spans="1:9" ht="15.75" customHeight="1">
      <c r="A496" s="71" t="str">
        <f>HYPERLINK("https://docs.google.com/document/d/10WtfHwJ9BgBrzn6pCxUUIsMrBJtlkdekqJNuoFCAf00/edit","A traveler’s guide to every spring destination")</f>
        <v>A traveler’s guide to every spring destination</v>
      </c>
      <c r="B496" s="60" t="s">
        <v>1862</v>
      </c>
      <c r="H496" s="60" t="s">
        <v>1864</v>
      </c>
      <c r="I496" s="72" t="s">
        <v>1037</v>
      </c>
    </row>
    <row r="497" spans="1:29" ht="15.75" customHeight="1">
      <c r="A497" s="71" t="str">
        <f>HYPERLINK("https://docs.google.com/document/d/1FUQcAMy_5KuCRTF273HL5WAZIEzUVO7KUqGsbE7xv3k/edit#","CBD Arrests In The US")</f>
        <v>CBD Arrests In The US</v>
      </c>
      <c r="B497" s="60" t="s">
        <v>707</v>
      </c>
      <c r="H497" s="60" t="s">
        <v>1865</v>
      </c>
      <c r="I497" s="72" t="s">
        <v>1817</v>
      </c>
    </row>
    <row r="498" spans="1:29" ht="15.75" customHeight="1">
      <c r="A498" s="71" t="str">
        <f>HYPERLINK("https://docs.google.com/document/d/1TgV_L-84vhne5gIzhxMUxRfmO4qd6HFOC54ONw9sln0/edit","5 Steps to Make Sure Your Site is ADA Compliant")</f>
        <v>5 Steps to Make Sure Your Site is ADA Compliant</v>
      </c>
      <c r="B498" s="60" t="s">
        <v>707</v>
      </c>
      <c r="H498" s="60" t="s">
        <v>1649</v>
      </c>
    </row>
    <row r="499" spans="1:29" ht="15.75" customHeight="1">
      <c r="A499" s="71" t="str">
        <f>HYPERLINK("https://docs.google.com/document/d/195YP2pUlgCnOHCDbMTQnxSxgRIUp9iDv3IjVRb9EGx4/edit","Packing Guide for an Amazing Trip to Africa")</f>
        <v>Packing Guide for an Amazing Trip to Africa</v>
      </c>
      <c r="B499" s="60" t="s">
        <v>600</v>
      </c>
      <c r="H499" s="60" t="s">
        <v>1866</v>
      </c>
      <c r="I499" s="72" t="s">
        <v>1037</v>
      </c>
    </row>
    <row r="500" spans="1:29" ht="15.75" customHeight="1">
      <c r="A500" s="11" t="str">
        <f>HYPERLINK("https://docs.google.com/document/d/1qDddv6rVfGMEvwfoRndw9Ua1b9EvmQpJUAA-QfTU5XQ/edit","7 Ways Amazon’s Alexa Is Redefining Healthcare As We Know It")</f>
        <v>7 Ways Amazon’s Alexa Is Redefining Healthcare As We Know It</v>
      </c>
      <c r="B500" s="61" t="s">
        <v>664</v>
      </c>
      <c r="H500" s="60" t="s">
        <v>1661</v>
      </c>
    </row>
    <row r="501" spans="1:29" ht="15.75" customHeight="1">
      <c r="A501" s="71" t="str">
        <f>HYPERLINK("https://docs.google.com/document/d/123a0J_l129BET9IDCtSHcDoGaO0Nt0lOUhl4Jbjdj60/edit","5 Gorgeous modern gifts for the perfect girlfriend")</f>
        <v>5 Gorgeous modern gifts for the perfect girlfriend</v>
      </c>
      <c r="B501" s="60" t="s">
        <v>880</v>
      </c>
      <c r="H501" s="60" t="s">
        <v>1867</v>
      </c>
    </row>
    <row r="502" spans="1:29" ht="15.75" customHeight="1">
      <c r="A502" s="71" t="str">
        <f>HYPERLINK("https://docs.google.com/document/d/1sQfB2QA1nqd2eYhqfTBp8kZ-lAfOmnzpUSZbZ1lqP0Q/edit#heading=h.6ni7ydo039ov","Why outsourcing mobile app development is ideal for startups")</f>
        <v>Why outsourcing mobile app development is ideal for startups</v>
      </c>
      <c r="B502" s="72" t="s">
        <v>258</v>
      </c>
      <c r="H502" s="60" t="s">
        <v>1868</v>
      </c>
    </row>
    <row r="503" spans="1:29" ht="15.75" customHeight="1">
      <c r="A503" s="71" t="str">
        <f>HYPERLINK("https://docs.google.com/document/d/1XWMUGhA7qBo0y-zj9XLgLFD0Gg9Ly1KMH9vDLonHnbs/edit","What you should know about CBD and the beauty industry")</f>
        <v>What you should know about CBD and the beauty industry</v>
      </c>
      <c r="H503" s="60" t="s">
        <v>1838</v>
      </c>
      <c r="I503" s="72" t="s">
        <v>1817</v>
      </c>
    </row>
    <row r="504" spans="1:29" ht="15.75" customHeight="1">
      <c r="A504" s="71" t="str">
        <f>HYPERLINK("https://docs.google.com/document/d/1QzvRNjaWAYL6VwKGOfuea1XbhxiI1-gtfoL9nDcBnhs/edit#","Testing the Kool8 water bottle - A comprehensive review")</f>
        <v>Testing the Kool8 water bottle - A comprehensive review</v>
      </c>
      <c r="B504" s="60" t="s">
        <v>380</v>
      </c>
      <c r="C504" s="72" t="s">
        <v>1869</v>
      </c>
      <c r="H504" s="60" t="s">
        <v>1797</v>
      </c>
      <c r="I504" s="72" t="s">
        <v>1037</v>
      </c>
    </row>
    <row r="505" spans="1:29" ht="15.75" customHeight="1">
      <c r="A505" s="162" t="str">
        <f>HYPERLINK("https://docs.google.com/document/d/1BUQ1g7eH-sVpmX68F2xDxGeCjDCO3vvCqwi4DrTMjpg/edit","Why Kool8 is my Favorite Water Bottle")</f>
        <v>Why Kool8 is my Favorite Water Bottle</v>
      </c>
      <c r="B505" s="118" t="s">
        <v>1870</v>
      </c>
      <c r="C505" s="118"/>
      <c r="D505" s="163"/>
      <c r="E505" s="163"/>
      <c r="F505" s="163"/>
      <c r="G505" s="163"/>
      <c r="H505" s="164" t="s">
        <v>1798</v>
      </c>
      <c r="I505" s="72" t="s">
        <v>1037</v>
      </c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</row>
    <row r="506" spans="1:29" ht="15.75" customHeight="1">
      <c r="A506" s="71" t="str">
        <f>HYPERLINK("https://docs.google.com/document/d/1sSxYreTVjW90m5cmm_XO4Vnxsj84z-IgsvMejBSVZfY/edit#","Is protein coffee good for you")</f>
        <v>Is protein coffee good for you</v>
      </c>
      <c r="B506" s="60" t="s">
        <v>271</v>
      </c>
      <c r="H506" s="60" t="s">
        <v>1769</v>
      </c>
    </row>
    <row r="507" spans="1:29" ht="15.75" customHeight="1">
      <c r="A507" s="71" t="str">
        <f>HYPERLINK("https://docs.google.com/document/d/1pcsZQR4xMwQLd9P6RYdAD8oeiVJ4shcejPsWbXYVfAc/edit","7 Ways Smartphones Are Becoming Vital to Healthcare ")</f>
        <v xml:space="preserve">7 Ways Smartphones Are Becoming Vital to Healthcare </v>
      </c>
      <c r="B507" s="60" t="s">
        <v>414</v>
      </c>
      <c r="H507" s="60" t="s">
        <v>1871</v>
      </c>
      <c r="I507" s="72" t="s">
        <v>1448</v>
      </c>
    </row>
    <row r="508" spans="1:29" ht="15.75" customHeight="1">
      <c r="A508" s="71" t="str">
        <f>HYPERLINK("https://docs.google.com/document/d/1QDzEr_rfO73i115GM_eFwhOCKjG01WfqvSUAR_gh-w0/edit","Medical wearables that can improve the health of patients with complex care needs
")</f>
        <v>Medical wearables that can improve the health of patients with complex care needs_x000D_</v>
      </c>
      <c r="B508" s="60" t="s">
        <v>1872</v>
      </c>
      <c r="C508" s="72" t="s">
        <v>1873</v>
      </c>
      <c r="H508" s="60" t="s">
        <v>1874</v>
      </c>
      <c r="I508" s="72" t="s">
        <v>1448</v>
      </c>
    </row>
    <row r="509" spans="1:29" ht="15.75" customHeight="1">
      <c r="A509" s="71" t="str">
        <f>HYPERLINK("https://docs.google.com/document/d/13eGZSROPsN04czJfFo9P7lNoSq-otkk7qpsgNQB1jio/edit","5 Medical Specialties Improved by Smart Sensors ")</f>
        <v xml:space="preserve">5 Medical Specialties Improved by Smart Sensors </v>
      </c>
      <c r="B509" s="60" t="s">
        <v>1857</v>
      </c>
      <c r="C509" s="72" t="s">
        <v>1873</v>
      </c>
      <c r="H509" s="60" t="s">
        <v>1875</v>
      </c>
      <c r="I509" s="72" t="s">
        <v>1448</v>
      </c>
    </row>
    <row r="510" spans="1:29" ht="15.75" customHeight="1">
      <c r="A510" s="71" t="str">
        <f>HYPERLINK("https://docs.google.com/document/d/19zf1MbQnDtUWzX0mskUdcQ5x2PTEuCoTU2I82vT-oYk/edit","5 Treatments Remote Patient Monitoring (RPM) Is Revolutionizing in 2019")</f>
        <v>5 Treatments Remote Patient Monitoring (RPM) Is Revolutionizing in 2019</v>
      </c>
      <c r="B510" s="60" t="s">
        <v>1835</v>
      </c>
      <c r="H510" s="60" t="s">
        <v>1876</v>
      </c>
      <c r="I510" s="72" t="s">
        <v>1448</v>
      </c>
    </row>
    <row r="511" spans="1:29" ht="15.75" customHeight="1">
      <c r="A511" s="71" t="str">
        <f>HYPERLINK("https://docs.google.com/document/d/1MqEJ6Cs7f5pRowIwcSeotp95Yg-5fpHcmJ7hP9ODYgI/edit#","5 medical technologies (including mobile apps) to pay attention to in 2019")</f>
        <v>5 medical technologies (including mobile apps) to pay attention to in 2019</v>
      </c>
      <c r="B511" s="60" t="s">
        <v>1076</v>
      </c>
      <c r="H511" s="60" t="s">
        <v>1663</v>
      </c>
      <c r="I511" s="72" t="s">
        <v>1448</v>
      </c>
    </row>
    <row r="512" spans="1:29" ht="15.75" customHeight="1">
      <c r="A512" s="71" t="str">
        <f>HYPERLINK("https://docs.google.com/document/d/1DoU2hvZraKxeDoqVIJVDHkZd7REQa9-VVyDmm2q-U2E/edit","5 Up-and-coming medtech startups of 2019 ")</f>
        <v xml:space="preserve">5 Up-and-coming medtech startups of 2019 </v>
      </c>
      <c r="B512" s="60" t="s">
        <v>413</v>
      </c>
      <c r="H512" s="60" t="s">
        <v>1877</v>
      </c>
      <c r="I512" s="72" t="s">
        <v>1448</v>
      </c>
    </row>
    <row r="513" spans="1:29" ht="15.75" customHeight="1">
      <c r="A513" s="71" t="str">
        <f>HYPERLINK("https://docs.google.com/document/d/1kGfnQbv_3Zpa29vYU5L63RftgrNWO4oRBuRt7lAB4UY/edit#","5 gifts every morning person will simply love")</f>
        <v>5 gifts every morning person will simply love</v>
      </c>
      <c r="B513" s="60" t="s">
        <v>413</v>
      </c>
      <c r="H513" s="60" t="s">
        <v>1878</v>
      </c>
      <c r="I513" s="72" t="s">
        <v>1879</v>
      </c>
    </row>
    <row r="514" spans="1:29" ht="15.75" customHeight="1">
      <c r="A514" s="71" t="str">
        <f>HYPERLINK("https://docs.google.com/document/d/1r60NcRxCn0YLt0B3pk92KRtyowm27doFalT3Iv8h6fQ/edit","5 Alexa Skills Every Business Should Invest In")</f>
        <v>5 Alexa Skills Every Business Should Invest In</v>
      </c>
      <c r="B514" s="60" t="s">
        <v>413</v>
      </c>
      <c r="H514" s="60" t="s">
        <v>1880</v>
      </c>
    </row>
    <row r="515" spans="1:29" ht="15.75" customHeight="1">
      <c r="A515" s="71" t="str">
        <f>HYPERLINK("https://docs.google.com/document/d/1dAIxKu7HzfA1wvD9LEcdrMuvWOxv0RE9n_SXEysy2gY/edit","Gift Ideas for the Newly Engaged")</f>
        <v>Gift Ideas for the Newly Engaged</v>
      </c>
      <c r="B515" s="60" t="s">
        <v>472</v>
      </c>
      <c r="H515" s="60" t="s">
        <v>1881</v>
      </c>
      <c r="I515" s="72" t="s">
        <v>1882</v>
      </c>
    </row>
    <row r="516" spans="1:29" ht="15.75" customHeight="1">
      <c r="A516" s="71" t="str">
        <f>HYPERLINK("https://docs.google.com/document/d/13Qgqo_IgfPFYgcAhxpNG7T_kUg7MHYY_9HZUdrRnkyk/edit","10 Uses for artificial intelligence in pharma beyond drug discovery")</f>
        <v>10 Uses for artificial intelligence in pharma beyond drug discovery</v>
      </c>
      <c r="B516" s="60" t="s">
        <v>472</v>
      </c>
      <c r="H516" s="60" t="s">
        <v>1681</v>
      </c>
      <c r="I516" s="72" t="s">
        <v>1883</v>
      </c>
    </row>
    <row r="517" spans="1:29" ht="15.75" customHeight="1">
      <c r="A517" s="71" t="str">
        <f>HYPERLINK("https://docs.google.com/document/d/1veuJ0lgbdummW9gbiIk8VTTTraXEwF8kRAj9cgPdHlY/edit#","7 coffee brands I really love")</f>
        <v>7 coffee brands I really love</v>
      </c>
      <c r="B517" s="72" t="s">
        <v>1884</v>
      </c>
      <c r="H517" s="60" t="s">
        <v>1885</v>
      </c>
      <c r="I517" s="72" t="s">
        <v>1883</v>
      </c>
    </row>
    <row r="518" spans="1:29" ht="15.75" customHeight="1">
      <c r="A518" s="71" t="str">
        <f>HYPERLINK("https://docs.google.com/document/d/1h9pw6sQ-z0srd4QtaBmo-QdbeB2ItXnTriApcN5ARDI/edit","10 tips to live a healthier lifestyle (that are actually doable!)")</f>
        <v>10 tips to live a healthier lifestyle (that are actually doable!)</v>
      </c>
      <c r="B518" s="72" t="s">
        <v>1886</v>
      </c>
      <c r="E518" s="18"/>
      <c r="F518" s="18"/>
      <c r="G518" s="18"/>
      <c r="H518" s="61" t="s">
        <v>1887</v>
      </c>
      <c r="I518" s="72" t="s">
        <v>1879</v>
      </c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5.75" customHeight="1">
      <c r="A519" s="71" t="str">
        <f>HYPERLINK("https://docs.google.com/document/d/1nIO_bT1I-luQEqVLd1dU9qsmTVt00GglXlSzMd5fGVQ/edit","7 Romantic Gifts for Women")</f>
        <v>7 Romantic Gifts for Women</v>
      </c>
      <c r="B519" s="72" t="s">
        <v>1888</v>
      </c>
      <c r="H519" s="60" t="s">
        <v>1889</v>
      </c>
      <c r="I519" s="72" t="s">
        <v>1882</v>
      </c>
    </row>
    <row r="520" spans="1:29" ht="15.75" customHeight="1">
      <c r="A520" s="71" t="str">
        <f>HYPERLINK("https://docs.google.com/document/d/1uHOJNpsGHMt7O2-nJMPs9NMqdwPbarFr2V_nn1qynCI/edit","9 bike accessories on a budget")</f>
        <v>9 bike accessories on a budget</v>
      </c>
      <c r="B520" s="72" t="s">
        <v>1890</v>
      </c>
      <c r="H520" s="60" t="s">
        <v>1891</v>
      </c>
      <c r="I520" s="72" t="s">
        <v>1892</v>
      </c>
    </row>
    <row r="521" spans="1:29" ht="15.75" customHeight="1">
      <c r="A521" s="71" t="str">
        <f>HYPERLINK("https://docs.google.com/document/d/1rDxmt8zxSz8aUIeFp5qfKORhrYUxZ9lzPYs58ayynTw/edit","Kool8 Water Bottle - A Stylish Bottle That Got Me Hooked on Walking")</f>
        <v>Kool8 Water Bottle - A Stylish Bottle That Got Me Hooked on Walking</v>
      </c>
      <c r="B521" s="60" t="s">
        <v>182</v>
      </c>
      <c r="C521" s="18"/>
      <c r="D521" s="18"/>
      <c r="E521" s="18"/>
      <c r="F521" s="18"/>
      <c r="G521" s="18"/>
      <c r="H521" s="61" t="s">
        <v>1893</v>
      </c>
      <c r="I521" s="72" t="s">
        <v>1037</v>
      </c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5.75" customHeight="1">
      <c r="A522" s="71" t="str">
        <f>HYPERLINK("https://docs.google.com/document/d/1RL_nBW9RpkcmbxpnfLf3bDUDyISPs2EByNL2WXiqCXs/edit","8 B2B Marketing Techniques to Experiment with This Year")</f>
        <v>8 B2B Marketing Techniques to Experiment with This Year</v>
      </c>
      <c r="B522" s="72" t="s">
        <v>1894</v>
      </c>
      <c r="H522" s="60" t="s">
        <v>71</v>
      </c>
    </row>
    <row r="523" spans="1:29" ht="15.75" customHeight="1">
      <c r="A523" s="71" t="str">
        <f>HYPERLINK("https://docs.google.com/document/d/1VFv4zxqA8LLG7cRk5NzNCLm40c9XBSAYQ_sjhQgnfw4/edit#","Five things I always carry with me in my car")</f>
        <v>Five things I always carry with me in my car</v>
      </c>
      <c r="H523" s="72" t="s">
        <v>1895</v>
      </c>
    </row>
  </sheetData>
  <hyperlinks>
    <hyperlink ref="H2" r:id="rId1"/>
    <hyperlink ref="B3" r:id="rId2"/>
    <hyperlink ref="H3" r:id="rId3"/>
    <hyperlink ref="H4" r:id="rId4"/>
    <hyperlink ref="B5" r:id="rId5"/>
    <hyperlink ref="H5" r:id="rId6"/>
    <hyperlink ref="B6" r:id="rId7"/>
    <hyperlink ref="H6" r:id="rId8"/>
    <hyperlink ref="B7" r:id="rId9"/>
    <hyperlink ref="B8" r:id="rId10"/>
    <hyperlink ref="H8" r:id="rId11"/>
    <hyperlink ref="H9" r:id="rId12"/>
    <hyperlink ref="B10" r:id="rId13"/>
    <hyperlink ref="H10" r:id="rId14"/>
    <hyperlink ref="B11" r:id="rId15"/>
    <hyperlink ref="H11" r:id="rId16"/>
    <hyperlink ref="H12" r:id="rId17"/>
    <hyperlink ref="H14" r:id="rId18"/>
    <hyperlink ref="H15" r:id="rId19"/>
    <hyperlink ref="B16" r:id="rId20"/>
    <hyperlink ref="H16" r:id="rId21"/>
    <hyperlink ref="H17" r:id="rId22"/>
    <hyperlink ref="B18" r:id="rId23"/>
    <hyperlink ref="H18" r:id="rId24"/>
    <hyperlink ref="H19" r:id="rId25"/>
    <hyperlink ref="H20" r:id="rId26"/>
    <hyperlink ref="H21" r:id="rId27"/>
    <hyperlink ref="B22" r:id="rId28"/>
    <hyperlink ref="H22" r:id="rId29"/>
    <hyperlink ref="H23" r:id="rId30"/>
    <hyperlink ref="H24" r:id="rId31"/>
    <hyperlink ref="H25" r:id="rId32"/>
    <hyperlink ref="B26" r:id="rId33"/>
    <hyperlink ref="H26" r:id="rId34"/>
    <hyperlink ref="H27" r:id="rId35"/>
    <hyperlink ref="B28" r:id="rId36"/>
    <hyperlink ref="H28" r:id="rId37"/>
    <hyperlink ref="B29" r:id="rId38"/>
    <hyperlink ref="H29" r:id="rId39"/>
    <hyperlink ref="B30" r:id="rId40"/>
    <hyperlink ref="H30" r:id="rId41"/>
    <hyperlink ref="B31" r:id="rId42"/>
    <hyperlink ref="H31" r:id="rId43"/>
    <hyperlink ref="H32" r:id="rId44"/>
    <hyperlink ref="H33" r:id="rId45"/>
    <hyperlink ref="H34" r:id="rId46"/>
    <hyperlink ref="H35" r:id="rId47"/>
    <hyperlink ref="H36" r:id="rId48"/>
    <hyperlink ref="H37" r:id="rId49"/>
    <hyperlink ref="H38" r:id="rId50"/>
    <hyperlink ref="H39" r:id="rId51"/>
    <hyperlink ref="B40" r:id="rId52"/>
    <hyperlink ref="H40" r:id="rId53"/>
    <hyperlink ref="B41" r:id="rId54"/>
    <hyperlink ref="H41" r:id="rId55"/>
    <hyperlink ref="H42" r:id="rId56"/>
    <hyperlink ref="H43" r:id="rId57"/>
    <hyperlink ref="H44" r:id="rId58"/>
    <hyperlink ref="H45" r:id="rId59"/>
    <hyperlink ref="H46" r:id="rId60"/>
    <hyperlink ref="B47" r:id="rId61"/>
    <hyperlink ref="H47" r:id="rId62"/>
    <hyperlink ref="H48" r:id="rId63"/>
    <hyperlink ref="B49" r:id="rId64"/>
    <hyperlink ref="H49" r:id="rId65"/>
    <hyperlink ref="B50" r:id="rId66"/>
    <hyperlink ref="H50" r:id="rId67"/>
    <hyperlink ref="B51" r:id="rId68"/>
    <hyperlink ref="H51" r:id="rId69"/>
    <hyperlink ref="B52" r:id="rId70"/>
    <hyperlink ref="H52" r:id="rId71"/>
    <hyperlink ref="B53" r:id="rId72"/>
    <hyperlink ref="H53" r:id="rId73"/>
    <hyperlink ref="B54" r:id="rId74"/>
    <hyperlink ref="H54" r:id="rId75"/>
    <hyperlink ref="H55" r:id="rId76"/>
    <hyperlink ref="B56" r:id="rId77"/>
    <hyperlink ref="H56" r:id="rId78"/>
    <hyperlink ref="H57" r:id="rId79"/>
    <hyperlink ref="B58" r:id="rId80"/>
    <hyperlink ref="H58" r:id="rId81"/>
    <hyperlink ref="B59" r:id="rId82"/>
    <hyperlink ref="H59" r:id="rId83"/>
    <hyperlink ref="H60" r:id="rId84"/>
    <hyperlink ref="H61" r:id="rId85"/>
    <hyperlink ref="H62" r:id="rId86"/>
    <hyperlink ref="B63" r:id="rId87"/>
    <hyperlink ref="H63" r:id="rId88"/>
    <hyperlink ref="B64" r:id="rId89"/>
    <hyperlink ref="H64" r:id="rId90"/>
    <hyperlink ref="H65" r:id="rId91"/>
    <hyperlink ref="C66" r:id="rId92"/>
    <hyperlink ref="H66" r:id="rId93"/>
    <hyperlink ref="B67" r:id="rId94"/>
    <hyperlink ref="H67" r:id="rId95"/>
    <hyperlink ref="H68" r:id="rId96"/>
    <hyperlink ref="B69" r:id="rId97"/>
    <hyperlink ref="H69" r:id="rId98"/>
    <hyperlink ref="H70" r:id="rId99"/>
    <hyperlink ref="B71" r:id="rId100"/>
    <hyperlink ref="H71" r:id="rId101"/>
    <hyperlink ref="H72" r:id="rId102"/>
    <hyperlink ref="B73" r:id="rId103"/>
    <hyperlink ref="H73" r:id="rId104"/>
    <hyperlink ref="H74" r:id="rId105"/>
    <hyperlink ref="B75" r:id="rId106"/>
    <hyperlink ref="H75" r:id="rId107"/>
    <hyperlink ref="B76" r:id="rId108"/>
    <hyperlink ref="H76" r:id="rId109"/>
    <hyperlink ref="B77" r:id="rId110"/>
    <hyperlink ref="H77" r:id="rId111"/>
    <hyperlink ref="H78" r:id="rId112"/>
    <hyperlink ref="H79" r:id="rId113"/>
    <hyperlink ref="H80" r:id="rId114"/>
    <hyperlink ref="H81" r:id="rId115"/>
    <hyperlink ref="H82" r:id="rId116"/>
    <hyperlink ref="H83" r:id="rId117"/>
    <hyperlink ref="H84" r:id="rId118"/>
    <hyperlink ref="H85" r:id="rId119"/>
    <hyperlink ref="H86" r:id="rId120"/>
    <hyperlink ref="H87" r:id="rId121"/>
    <hyperlink ref="H88" r:id="rId122"/>
    <hyperlink ref="H89" r:id="rId123"/>
    <hyperlink ref="B90" r:id="rId124"/>
    <hyperlink ref="H90" r:id="rId125"/>
    <hyperlink ref="B91" r:id="rId126"/>
    <hyperlink ref="H91" r:id="rId127"/>
    <hyperlink ref="H92" r:id="rId128"/>
    <hyperlink ref="H93" r:id="rId129"/>
    <hyperlink ref="H94" r:id="rId130"/>
    <hyperlink ref="H95" r:id="rId131"/>
    <hyperlink ref="B96" r:id="rId132"/>
    <hyperlink ref="H96" r:id="rId133"/>
    <hyperlink ref="H97" r:id="rId134"/>
    <hyperlink ref="H98" r:id="rId135"/>
    <hyperlink ref="H99" r:id="rId136"/>
    <hyperlink ref="H100" r:id="rId137"/>
    <hyperlink ref="H101" r:id="rId138"/>
    <hyperlink ref="H102" r:id="rId139"/>
    <hyperlink ref="H103" r:id="rId140"/>
    <hyperlink ref="B104" r:id="rId141"/>
    <hyperlink ref="H104" r:id="rId142"/>
    <hyperlink ref="B105" r:id="rId143"/>
    <hyperlink ref="H105" r:id="rId144"/>
    <hyperlink ref="B106" r:id="rId145"/>
    <hyperlink ref="H106" r:id="rId146"/>
    <hyperlink ref="A107" r:id="rId147" location="heading=h.jxt34qxrxczi"/>
    <hyperlink ref="H107" r:id="rId148"/>
    <hyperlink ref="H108" r:id="rId149"/>
    <hyperlink ref="H109" r:id="rId150"/>
    <hyperlink ref="H110" r:id="rId151"/>
    <hyperlink ref="H111" r:id="rId152"/>
    <hyperlink ref="H112" r:id="rId153"/>
    <hyperlink ref="H113" r:id="rId154"/>
    <hyperlink ref="H114" r:id="rId155"/>
    <hyperlink ref="H115" r:id="rId156"/>
    <hyperlink ref="H116" r:id="rId157"/>
    <hyperlink ref="H117" r:id="rId158"/>
    <hyperlink ref="H118" r:id="rId159"/>
    <hyperlink ref="H119" r:id="rId160"/>
    <hyperlink ref="B120" r:id="rId161"/>
    <hyperlink ref="H120" r:id="rId162"/>
    <hyperlink ref="B121" r:id="rId163"/>
    <hyperlink ref="H121" r:id="rId164"/>
    <hyperlink ref="H122" r:id="rId165"/>
    <hyperlink ref="B123" r:id="rId166"/>
    <hyperlink ref="H123" r:id="rId167"/>
    <hyperlink ref="B124" r:id="rId168"/>
    <hyperlink ref="H124" r:id="rId169"/>
    <hyperlink ref="B125" r:id="rId170"/>
    <hyperlink ref="H126" r:id="rId171"/>
    <hyperlink ref="H127" r:id="rId172"/>
    <hyperlink ref="H128" r:id="rId173"/>
    <hyperlink ref="H129" r:id="rId174"/>
    <hyperlink ref="H130" r:id="rId175"/>
    <hyperlink ref="B131" r:id="rId176"/>
    <hyperlink ref="H131" r:id="rId177"/>
    <hyperlink ref="B132" r:id="rId178"/>
    <hyperlink ref="H132" r:id="rId179"/>
    <hyperlink ref="H133" r:id="rId180"/>
    <hyperlink ref="H134" r:id="rId181"/>
    <hyperlink ref="H135" r:id="rId182"/>
    <hyperlink ref="H136" r:id="rId183"/>
    <hyperlink ref="H137" r:id="rId184"/>
    <hyperlink ref="H138" r:id="rId185"/>
    <hyperlink ref="B139" r:id="rId186"/>
    <hyperlink ref="H140" r:id="rId187"/>
    <hyperlink ref="H141" r:id="rId188"/>
    <hyperlink ref="B142" r:id="rId189"/>
    <hyperlink ref="H142" r:id="rId190"/>
    <hyperlink ref="B143" r:id="rId191"/>
    <hyperlink ref="H143" r:id="rId192"/>
    <hyperlink ref="H144" r:id="rId193"/>
    <hyperlink ref="H145" r:id="rId194"/>
    <hyperlink ref="H146" r:id="rId195"/>
    <hyperlink ref="H147" r:id="rId196"/>
    <hyperlink ref="H148" r:id="rId197"/>
    <hyperlink ref="H149" r:id="rId198"/>
    <hyperlink ref="H150" r:id="rId199"/>
    <hyperlink ref="B151" r:id="rId200"/>
    <hyperlink ref="H151" r:id="rId201"/>
    <hyperlink ref="B152" r:id="rId202"/>
    <hyperlink ref="H152" r:id="rId203"/>
    <hyperlink ref="B153" r:id="rId204"/>
    <hyperlink ref="H153" r:id="rId205"/>
    <hyperlink ref="H154" r:id="rId206"/>
    <hyperlink ref="H155" r:id="rId207"/>
    <hyperlink ref="H156" r:id="rId208"/>
    <hyperlink ref="H157" r:id="rId209"/>
    <hyperlink ref="H158" r:id="rId210"/>
    <hyperlink ref="H159" r:id="rId211"/>
    <hyperlink ref="H160" r:id="rId212"/>
    <hyperlink ref="H161" r:id="rId213"/>
    <hyperlink ref="H162" r:id="rId214"/>
    <hyperlink ref="H163" r:id="rId215"/>
    <hyperlink ref="H164" r:id="rId216"/>
    <hyperlink ref="H165" r:id="rId217"/>
    <hyperlink ref="H166" r:id="rId218"/>
    <hyperlink ref="H167" r:id="rId219"/>
    <hyperlink ref="B168" r:id="rId220"/>
    <hyperlink ref="H168" r:id="rId221"/>
    <hyperlink ref="H169" r:id="rId222"/>
    <hyperlink ref="H170" r:id="rId223"/>
    <hyperlink ref="H171" r:id="rId224"/>
    <hyperlink ref="H172" r:id="rId225"/>
    <hyperlink ref="H173" r:id="rId226"/>
    <hyperlink ref="H174" r:id="rId227"/>
    <hyperlink ref="H175" r:id="rId228"/>
    <hyperlink ref="H176" r:id="rId229"/>
    <hyperlink ref="H177" r:id="rId230"/>
    <hyperlink ref="H178" r:id="rId231"/>
    <hyperlink ref="H179" r:id="rId232"/>
    <hyperlink ref="H180" r:id="rId233"/>
    <hyperlink ref="H181" r:id="rId234"/>
    <hyperlink ref="H182" r:id="rId235"/>
    <hyperlink ref="H183" r:id="rId236"/>
    <hyperlink ref="H184" r:id="rId237"/>
    <hyperlink ref="H185" r:id="rId238"/>
    <hyperlink ref="H186" r:id="rId239"/>
    <hyperlink ref="B187" r:id="rId240"/>
    <hyperlink ref="H187" r:id="rId241"/>
    <hyperlink ref="H188" r:id="rId242"/>
    <hyperlink ref="H189" r:id="rId243"/>
    <hyperlink ref="B190" r:id="rId244"/>
    <hyperlink ref="H190" r:id="rId245"/>
    <hyperlink ref="H191" r:id="rId246"/>
    <hyperlink ref="H192" r:id="rId247"/>
    <hyperlink ref="H193" r:id="rId248"/>
    <hyperlink ref="H194" r:id="rId249"/>
    <hyperlink ref="H195" r:id="rId250"/>
    <hyperlink ref="H196" r:id="rId251"/>
    <hyperlink ref="H197" r:id="rId252"/>
    <hyperlink ref="H198" r:id="rId253"/>
    <hyperlink ref="H199" r:id="rId254"/>
    <hyperlink ref="H200" r:id="rId255"/>
    <hyperlink ref="H201" r:id="rId256"/>
    <hyperlink ref="H202" r:id="rId257"/>
    <hyperlink ref="H203" r:id="rId258"/>
    <hyperlink ref="H205" r:id="rId259"/>
    <hyperlink ref="H206" r:id="rId260"/>
    <hyperlink ref="H207" r:id="rId261"/>
    <hyperlink ref="H208" r:id="rId262"/>
    <hyperlink ref="H209" r:id="rId263"/>
    <hyperlink ref="H210" r:id="rId264"/>
    <hyperlink ref="H211" r:id="rId265"/>
    <hyperlink ref="H212" r:id="rId266"/>
    <hyperlink ref="H213" r:id="rId267"/>
    <hyperlink ref="H214" r:id="rId268"/>
    <hyperlink ref="H215" r:id="rId269"/>
    <hyperlink ref="H216" r:id="rId270"/>
    <hyperlink ref="H217" r:id="rId271"/>
    <hyperlink ref="B218" r:id="rId272"/>
    <hyperlink ref="H218" r:id="rId273"/>
    <hyperlink ref="B219" r:id="rId274"/>
    <hyperlink ref="H219" r:id="rId275"/>
    <hyperlink ref="H220" r:id="rId276"/>
    <hyperlink ref="H221" r:id="rId277"/>
    <hyperlink ref="H222" r:id="rId278"/>
    <hyperlink ref="H223" r:id="rId279"/>
    <hyperlink ref="B224" r:id="rId280"/>
    <hyperlink ref="H224" r:id="rId281"/>
    <hyperlink ref="H225" r:id="rId282"/>
    <hyperlink ref="H226" r:id="rId283"/>
    <hyperlink ref="H227" r:id="rId284"/>
    <hyperlink ref="H228" r:id="rId285"/>
    <hyperlink ref="B229" r:id="rId286"/>
    <hyperlink ref="H229" r:id="rId287"/>
    <hyperlink ref="H230" r:id="rId288"/>
    <hyperlink ref="H231" r:id="rId289"/>
    <hyperlink ref="H232" r:id="rId290"/>
    <hyperlink ref="H233" r:id="rId291"/>
    <hyperlink ref="H234" r:id="rId292"/>
    <hyperlink ref="H235" r:id="rId293"/>
    <hyperlink ref="H236" r:id="rId294"/>
    <hyperlink ref="H237" r:id="rId295"/>
    <hyperlink ref="B238" r:id="rId296"/>
    <hyperlink ref="H238" r:id="rId297"/>
    <hyperlink ref="H239" r:id="rId298"/>
    <hyperlink ref="H240" r:id="rId299"/>
    <hyperlink ref="H241" r:id="rId300"/>
    <hyperlink ref="B242" r:id="rId301"/>
    <hyperlink ref="H242" r:id="rId302"/>
    <hyperlink ref="B243" r:id="rId303"/>
    <hyperlink ref="H243" r:id="rId304"/>
    <hyperlink ref="H244" r:id="rId305"/>
    <hyperlink ref="H245" r:id="rId306"/>
    <hyperlink ref="H246" r:id="rId307"/>
    <hyperlink ref="H247" r:id="rId308"/>
    <hyperlink ref="H248" r:id="rId309"/>
    <hyperlink ref="H249" r:id="rId310"/>
    <hyperlink ref="H250" r:id="rId311"/>
    <hyperlink ref="H251" r:id="rId312"/>
    <hyperlink ref="H252" r:id="rId313"/>
    <hyperlink ref="H253" r:id="rId314"/>
    <hyperlink ref="H254" r:id="rId315"/>
    <hyperlink ref="H255" r:id="rId316"/>
    <hyperlink ref="H256" r:id="rId317"/>
    <hyperlink ref="B257" r:id="rId318"/>
    <hyperlink ref="H257" r:id="rId319"/>
    <hyperlink ref="H258" r:id="rId320"/>
    <hyperlink ref="H259" r:id="rId321"/>
    <hyperlink ref="H260" r:id="rId322"/>
    <hyperlink ref="H261" r:id="rId323"/>
    <hyperlink ref="H262" r:id="rId324"/>
    <hyperlink ref="H263" r:id="rId325"/>
    <hyperlink ref="H264" r:id="rId326"/>
    <hyperlink ref="H265" r:id="rId327"/>
    <hyperlink ref="H266" r:id="rId328"/>
    <hyperlink ref="H267" r:id="rId329"/>
    <hyperlink ref="H268" r:id="rId330"/>
    <hyperlink ref="H269" r:id="rId331"/>
    <hyperlink ref="H270" r:id="rId332"/>
    <hyperlink ref="H271" r:id="rId333"/>
    <hyperlink ref="H272" r:id="rId334"/>
    <hyperlink ref="H273" r:id="rId335"/>
    <hyperlink ref="H274" r:id="rId336"/>
    <hyperlink ref="H275" r:id="rId337"/>
    <hyperlink ref="H277" r:id="rId338"/>
    <hyperlink ref="H278" r:id="rId339"/>
    <hyperlink ref="H279" r:id="rId340"/>
    <hyperlink ref="H280" r:id="rId341"/>
    <hyperlink ref="H281" r:id="rId342"/>
    <hyperlink ref="B282" r:id="rId343"/>
    <hyperlink ref="H282" r:id="rId344"/>
    <hyperlink ref="B283" r:id="rId345"/>
    <hyperlink ref="H283" r:id="rId346"/>
    <hyperlink ref="B284" r:id="rId347"/>
    <hyperlink ref="H284" r:id="rId348"/>
    <hyperlink ref="B285" r:id="rId349"/>
    <hyperlink ref="H285" r:id="rId350"/>
    <hyperlink ref="B286" r:id="rId351"/>
    <hyperlink ref="H286" r:id="rId352"/>
    <hyperlink ref="B287" r:id="rId353"/>
    <hyperlink ref="H287" r:id="rId354"/>
    <hyperlink ref="B288" r:id="rId355"/>
    <hyperlink ref="H288" r:id="rId356"/>
    <hyperlink ref="B289" r:id="rId357"/>
    <hyperlink ref="H289" r:id="rId358"/>
    <hyperlink ref="B290" r:id="rId359"/>
    <hyperlink ref="H290" r:id="rId360"/>
    <hyperlink ref="B291" r:id="rId361"/>
    <hyperlink ref="H291" r:id="rId362"/>
    <hyperlink ref="H292" r:id="rId363"/>
    <hyperlink ref="H293" r:id="rId364"/>
    <hyperlink ref="H294" r:id="rId365"/>
    <hyperlink ref="B295" r:id="rId366"/>
    <hyperlink ref="H295" r:id="rId367"/>
    <hyperlink ref="B296" r:id="rId368"/>
    <hyperlink ref="H296" r:id="rId369"/>
    <hyperlink ref="B297" r:id="rId370"/>
    <hyperlink ref="H297" r:id="rId371"/>
    <hyperlink ref="H298" r:id="rId372"/>
    <hyperlink ref="B299" r:id="rId373"/>
    <hyperlink ref="H299" r:id="rId374"/>
    <hyperlink ref="B300" r:id="rId375"/>
    <hyperlink ref="H300" r:id="rId376"/>
    <hyperlink ref="H301" r:id="rId377"/>
    <hyperlink ref="H302" r:id="rId378"/>
    <hyperlink ref="B303" r:id="rId379"/>
    <hyperlink ref="H303" r:id="rId380"/>
    <hyperlink ref="H304" r:id="rId381"/>
    <hyperlink ref="H305" r:id="rId382"/>
    <hyperlink ref="H306" r:id="rId383"/>
    <hyperlink ref="H307" r:id="rId384"/>
    <hyperlink ref="H308" r:id="rId385"/>
    <hyperlink ref="H309" r:id="rId386"/>
    <hyperlink ref="H310" r:id="rId387"/>
    <hyperlink ref="H311" r:id="rId388"/>
    <hyperlink ref="H312" r:id="rId389"/>
    <hyperlink ref="H313" r:id="rId390"/>
    <hyperlink ref="H314" r:id="rId391"/>
    <hyperlink ref="H315" r:id="rId392"/>
    <hyperlink ref="B316" r:id="rId393"/>
    <hyperlink ref="H316" r:id="rId394"/>
    <hyperlink ref="H317" r:id="rId395"/>
    <hyperlink ref="H318" r:id="rId396"/>
    <hyperlink ref="H319" r:id="rId397"/>
    <hyperlink ref="H320" r:id="rId398"/>
    <hyperlink ref="H321" r:id="rId399"/>
    <hyperlink ref="H322" r:id="rId400"/>
    <hyperlink ref="H323" r:id="rId401"/>
    <hyperlink ref="H324" r:id="rId402"/>
    <hyperlink ref="H325" r:id="rId403"/>
    <hyperlink ref="H326" r:id="rId404"/>
    <hyperlink ref="H327" r:id="rId405"/>
    <hyperlink ref="H328" r:id="rId406"/>
    <hyperlink ref="H329" r:id="rId407"/>
    <hyperlink ref="H330" r:id="rId408"/>
    <hyperlink ref="H331" r:id="rId409"/>
    <hyperlink ref="H332" r:id="rId410"/>
    <hyperlink ref="H333" r:id="rId411"/>
    <hyperlink ref="H334" r:id="rId412"/>
    <hyperlink ref="H335" r:id="rId413"/>
    <hyperlink ref="H336" r:id="rId414"/>
    <hyperlink ref="H337" r:id="rId415"/>
    <hyperlink ref="H338" r:id="rId416"/>
    <hyperlink ref="C339" r:id="rId417"/>
    <hyperlink ref="H339" r:id="rId418"/>
    <hyperlink ref="H340" r:id="rId419"/>
    <hyperlink ref="H341" r:id="rId420"/>
    <hyperlink ref="C342" r:id="rId421"/>
    <hyperlink ref="H342" r:id="rId422"/>
    <hyperlink ref="H343" r:id="rId423"/>
    <hyperlink ref="H344" r:id="rId424"/>
    <hyperlink ref="H345" r:id="rId425"/>
    <hyperlink ref="H346" r:id="rId426"/>
    <hyperlink ref="H347" r:id="rId427"/>
    <hyperlink ref="H348" r:id="rId428"/>
    <hyperlink ref="H349" r:id="rId429"/>
    <hyperlink ref="B350" r:id="rId430"/>
    <hyperlink ref="H350" r:id="rId431"/>
    <hyperlink ref="B351" r:id="rId432"/>
    <hyperlink ref="H351" r:id="rId433"/>
    <hyperlink ref="H352" r:id="rId434"/>
    <hyperlink ref="H353" r:id="rId435"/>
    <hyperlink ref="H354" r:id="rId436"/>
    <hyperlink ref="H355" r:id="rId437"/>
    <hyperlink ref="H356" r:id="rId438"/>
    <hyperlink ref="H357" r:id="rId439"/>
    <hyperlink ref="H358" r:id="rId440"/>
    <hyperlink ref="H359" r:id="rId441"/>
    <hyperlink ref="H360" r:id="rId442"/>
    <hyperlink ref="H361" r:id="rId443"/>
    <hyperlink ref="H362" r:id="rId444"/>
    <hyperlink ref="H363" r:id="rId445"/>
    <hyperlink ref="H364" r:id="rId446"/>
    <hyperlink ref="H365" r:id="rId447"/>
    <hyperlink ref="H366" r:id="rId448"/>
    <hyperlink ref="H367" r:id="rId449"/>
    <hyperlink ref="H368" r:id="rId450"/>
    <hyperlink ref="H369" r:id="rId451"/>
    <hyperlink ref="H370" r:id="rId452"/>
    <hyperlink ref="H371" r:id="rId453"/>
    <hyperlink ref="H372" r:id="rId454"/>
    <hyperlink ref="H373" r:id="rId455"/>
    <hyperlink ref="H374" r:id="rId456"/>
    <hyperlink ref="H375" r:id="rId457"/>
    <hyperlink ref="H376" r:id="rId458"/>
    <hyperlink ref="H377" r:id="rId459"/>
    <hyperlink ref="H378" r:id="rId460"/>
    <hyperlink ref="H379" r:id="rId461"/>
    <hyperlink ref="H380" r:id="rId462"/>
    <hyperlink ref="H381" r:id="rId463"/>
    <hyperlink ref="H382" r:id="rId464"/>
    <hyperlink ref="H383" r:id="rId465"/>
    <hyperlink ref="H384" r:id="rId466"/>
    <hyperlink ref="H385" r:id="rId467"/>
    <hyperlink ref="H386" r:id="rId468"/>
    <hyperlink ref="H387" r:id="rId469"/>
    <hyperlink ref="H388" r:id="rId470"/>
    <hyperlink ref="H389" r:id="rId471"/>
    <hyperlink ref="H390" r:id="rId472"/>
    <hyperlink ref="H391" r:id="rId473"/>
    <hyperlink ref="H392" r:id="rId474"/>
    <hyperlink ref="H393" r:id="rId475"/>
    <hyperlink ref="H394" r:id="rId476"/>
    <hyperlink ref="H395" r:id="rId477" location="p1"/>
    <hyperlink ref="H396" r:id="rId478"/>
    <hyperlink ref="H397" r:id="rId479"/>
    <hyperlink ref="H398" r:id="rId480"/>
    <hyperlink ref="H399" r:id="rId481"/>
    <hyperlink ref="H400" r:id="rId482"/>
    <hyperlink ref="H401" r:id="rId483"/>
    <hyperlink ref="H402" r:id="rId484"/>
    <hyperlink ref="H403" r:id="rId485"/>
    <hyperlink ref="H404" r:id="rId486"/>
    <hyperlink ref="H405" r:id="rId487"/>
    <hyperlink ref="H406" r:id="rId488"/>
    <hyperlink ref="H407" r:id="rId489"/>
    <hyperlink ref="H408" r:id="rId490"/>
    <hyperlink ref="H409" r:id="rId491"/>
    <hyperlink ref="H410" r:id="rId492"/>
    <hyperlink ref="H411" r:id="rId493"/>
    <hyperlink ref="H412" r:id="rId494"/>
    <hyperlink ref="H413" r:id="rId495"/>
    <hyperlink ref="H414" r:id="rId496"/>
    <hyperlink ref="H415" r:id="rId497"/>
    <hyperlink ref="H416" r:id="rId498"/>
    <hyperlink ref="H417" r:id="rId499"/>
    <hyperlink ref="H418" r:id="rId500"/>
    <hyperlink ref="H419" r:id="rId501"/>
    <hyperlink ref="H420" r:id="rId502"/>
    <hyperlink ref="H421" r:id="rId503"/>
    <hyperlink ref="H422" r:id="rId504"/>
    <hyperlink ref="H423" r:id="rId505"/>
    <hyperlink ref="H424" r:id="rId506"/>
    <hyperlink ref="H425" r:id="rId507"/>
    <hyperlink ref="H426" r:id="rId508"/>
    <hyperlink ref="H427" r:id="rId509"/>
    <hyperlink ref="H428" r:id="rId510"/>
    <hyperlink ref="H429" r:id="rId511"/>
    <hyperlink ref="H430" r:id="rId512"/>
    <hyperlink ref="H431" r:id="rId513"/>
    <hyperlink ref="H432" r:id="rId514"/>
    <hyperlink ref="H433" r:id="rId515"/>
    <hyperlink ref="H434" r:id="rId516"/>
    <hyperlink ref="H435" r:id="rId517"/>
    <hyperlink ref="H436" r:id="rId518"/>
    <hyperlink ref="H437" r:id="rId519"/>
    <hyperlink ref="H438" r:id="rId520"/>
    <hyperlink ref="H439" r:id="rId521"/>
    <hyperlink ref="H440" r:id="rId522"/>
    <hyperlink ref="H441" r:id="rId523"/>
    <hyperlink ref="H442" r:id="rId524"/>
    <hyperlink ref="H443" r:id="rId525"/>
    <hyperlink ref="H444" r:id="rId526"/>
    <hyperlink ref="H445" r:id="rId527"/>
    <hyperlink ref="H446" r:id="rId528"/>
    <hyperlink ref="H447" r:id="rId529"/>
    <hyperlink ref="H448" r:id="rId530"/>
    <hyperlink ref="B449" r:id="rId531"/>
    <hyperlink ref="H449" r:id="rId532"/>
    <hyperlink ref="B450" r:id="rId533"/>
    <hyperlink ref="H450" r:id="rId534"/>
    <hyperlink ref="B451" r:id="rId535"/>
    <hyperlink ref="H451" r:id="rId536"/>
    <hyperlink ref="B452" r:id="rId537"/>
    <hyperlink ref="H452" r:id="rId538"/>
    <hyperlink ref="B453" r:id="rId539"/>
    <hyperlink ref="H453" r:id="rId540"/>
    <hyperlink ref="B454" r:id="rId541"/>
    <hyperlink ref="H454" r:id="rId542"/>
    <hyperlink ref="B455" r:id="rId543"/>
    <hyperlink ref="H455" r:id="rId544"/>
    <hyperlink ref="B456" r:id="rId545"/>
    <hyperlink ref="H456" r:id="rId546"/>
    <hyperlink ref="B457" r:id="rId547"/>
    <hyperlink ref="H457" r:id="rId548"/>
    <hyperlink ref="B458" r:id="rId549"/>
    <hyperlink ref="H458" r:id="rId550"/>
    <hyperlink ref="B459" r:id="rId551"/>
    <hyperlink ref="H459" r:id="rId552"/>
    <hyperlink ref="H460" r:id="rId553"/>
    <hyperlink ref="H461" r:id="rId554"/>
    <hyperlink ref="H462" r:id="rId555"/>
    <hyperlink ref="C463" r:id="rId556"/>
    <hyperlink ref="H463" r:id="rId557"/>
    <hyperlink ref="H464" r:id="rId558"/>
    <hyperlink ref="H465" r:id="rId559"/>
    <hyperlink ref="H466" r:id="rId560"/>
    <hyperlink ref="H467" r:id="rId561"/>
    <hyperlink ref="H468" r:id="rId562"/>
    <hyperlink ref="H469" r:id="rId563"/>
    <hyperlink ref="B470" r:id="rId564"/>
    <hyperlink ref="H470" r:id="rId565"/>
    <hyperlink ref="B471" r:id="rId566"/>
    <hyperlink ref="H471" r:id="rId567"/>
    <hyperlink ref="B472" r:id="rId568"/>
    <hyperlink ref="H472" r:id="rId569"/>
    <hyperlink ref="B473" r:id="rId570"/>
    <hyperlink ref="H473" r:id="rId571"/>
    <hyperlink ref="B474" r:id="rId572"/>
    <hyperlink ref="H474" r:id="rId573"/>
    <hyperlink ref="B475" r:id="rId574"/>
    <hyperlink ref="H475" r:id="rId575"/>
    <hyperlink ref="B476" r:id="rId576"/>
    <hyperlink ref="H476" r:id="rId577"/>
    <hyperlink ref="B477" r:id="rId578"/>
    <hyperlink ref="H477" r:id="rId579"/>
    <hyperlink ref="B478" r:id="rId580"/>
    <hyperlink ref="H478" r:id="rId581"/>
    <hyperlink ref="B479" r:id="rId582"/>
    <hyperlink ref="H479" r:id="rId583"/>
    <hyperlink ref="B480" r:id="rId584"/>
    <hyperlink ref="H480" r:id="rId585"/>
    <hyperlink ref="B481" r:id="rId586"/>
    <hyperlink ref="H481" r:id="rId587"/>
    <hyperlink ref="B482" r:id="rId588"/>
    <hyperlink ref="H482" r:id="rId589"/>
    <hyperlink ref="B483" r:id="rId590"/>
    <hyperlink ref="H483" r:id="rId591"/>
    <hyperlink ref="B484" r:id="rId592"/>
    <hyperlink ref="H484" r:id="rId593"/>
    <hyperlink ref="B485" r:id="rId594"/>
    <hyperlink ref="H485" r:id="rId595"/>
    <hyperlink ref="B486" r:id="rId596"/>
    <hyperlink ref="H486" r:id="rId597"/>
    <hyperlink ref="B487" r:id="rId598"/>
    <hyperlink ref="H487" r:id="rId599"/>
    <hyperlink ref="B488" r:id="rId600"/>
    <hyperlink ref="H488" r:id="rId601"/>
    <hyperlink ref="B489" r:id="rId602"/>
    <hyperlink ref="H489" r:id="rId603"/>
    <hyperlink ref="B490" r:id="rId604"/>
    <hyperlink ref="H490" r:id="rId605"/>
    <hyperlink ref="B491" r:id="rId606"/>
    <hyperlink ref="H491" r:id="rId607"/>
    <hyperlink ref="B492" r:id="rId608"/>
    <hyperlink ref="H492" r:id="rId609"/>
    <hyperlink ref="B493" r:id="rId610"/>
    <hyperlink ref="H493" r:id="rId611"/>
    <hyperlink ref="B494" r:id="rId612"/>
    <hyperlink ref="H494" r:id="rId613"/>
    <hyperlink ref="B495" r:id="rId614"/>
    <hyperlink ref="H495" r:id="rId615"/>
    <hyperlink ref="B496" r:id="rId616"/>
    <hyperlink ref="H496" r:id="rId617"/>
    <hyperlink ref="B497" r:id="rId618"/>
    <hyperlink ref="H497" r:id="rId619"/>
    <hyperlink ref="B498" r:id="rId620"/>
    <hyperlink ref="H498" r:id="rId621"/>
    <hyperlink ref="B499" r:id="rId622"/>
    <hyperlink ref="H499" r:id="rId623"/>
    <hyperlink ref="B500" r:id="rId624"/>
    <hyperlink ref="H500" r:id="rId625"/>
    <hyperlink ref="B501" r:id="rId626"/>
    <hyperlink ref="H501" r:id="rId627"/>
    <hyperlink ref="H502" r:id="rId628"/>
    <hyperlink ref="H503" r:id="rId629"/>
    <hyperlink ref="B504" r:id="rId630"/>
    <hyperlink ref="H504" r:id="rId631"/>
    <hyperlink ref="H505" r:id="rId632"/>
    <hyperlink ref="B506" r:id="rId633"/>
    <hyperlink ref="H506" r:id="rId634"/>
    <hyperlink ref="B507" r:id="rId635"/>
    <hyperlink ref="H507" r:id="rId636"/>
    <hyperlink ref="B508" r:id="rId637"/>
    <hyperlink ref="H508" r:id="rId638"/>
    <hyperlink ref="B509" r:id="rId639"/>
    <hyperlink ref="H509" r:id="rId640"/>
    <hyperlink ref="B510" r:id="rId641"/>
    <hyperlink ref="H510" r:id="rId642"/>
    <hyperlink ref="B511" r:id="rId643"/>
    <hyperlink ref="H511" r:id="rId644"/>
    <hyperlink ref="B512" r:id="rId645"/>
    <hyperlink ref="H512" r:id="rId646"/>
    <hyperlink ref="B513" r:id="rId647"/>
    <hyperlink ref="H513" r:id="rId648"/>
    <hyperlink ref="B514" r:id="rId649"/>
    <hyperlink ref="H514" r:id="rId650"/>
    <hyperlink ref="B515" r:id="rId651"/>
    <hyperlink ref="H515" r:id="rId652"/>
    <hyperlink ref="B516" r:id="rId653"/>
    <hyperlink ref="H516" r:id="rId654"/>
    <hyperlink ref="H517" r:id="rId655"/>
    <hyperlink ref="H518" r:id="rId656"/>
    <hyperlink ref="H519" r:id="rId657"/>
    <hyperlink ref="H520" r:id="rId658"/>
    <hyperlink ref="B521" r:id="rId659"/>
    <hyperlink ref="H521" r:id="rId660"/>
    <hyperlink ref="H522" r:id="rId66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95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28.1640625" customWidth="1"/>
    <col min="2" max="2" width="32.5" customWidth="1"/>
    <col min="6" max="6" width="64" customWidth="1"/>
    <col min="8" max="8" width="57.1640625" customWidth="1"/>
  </cols>
  <sheetData>
    <row r="1" spans="1:8" ht="15.75" customHeight="1">
      <c r="A1" s="119" t="s">
        <v>147</v>
      </c>
      <c r="B1" s="119" t="s">
        <v>148</v>
      </c>
      <c r="C1" s="119" t="s">
        <v>6</v>
      </c>
      <c r="D1" s="73" t="s">
        <v>149</v>
      </c>
      <c r="E1" s="120" t="s">
        <v>142</v>
      </c>
      <c r="F1" s="72" t="s">
        <v>1151</v>
      </c>
      <c r="H1" s="72" t="s">
        <v>1152</v>
      </c>
    </row>
    <row r="2" spans="1:8" ht="15.75" customHeight="1">
      <c r="A2" s="119" t="s">
        <v>178</v>
      </c>
      <c r="B2" s="50" t="s">
        <v>179</v>
      </c>
      <c r="C2" s="56">
        <v>79</v>
      </c>
      <c r="D2" s="67">
        <v>0</v>
      </c>
      <c r="E2" s="102"/>
    </row>
    <row r="3" spans="1:8" ht="15.75" customHeight="1">
      <c r="A3" s="37" t="s">
        <v>185</v>
      </c>
      <c r="B3" s="36" t="s">
        <v>186</v>
      </c>
      <c r="C3" s="38">
        <v>77</v>
      </c>
      <c r="D3" s="67">
        <v>130</v>
      </c>
      <c r="E3" s="121"/>
    </row>
    <row r="4" spans="1:8" ht="15.75" customHeight="1">
      <c r="A4" s="37" t="s">
        <v>370</v>
      </c>
      <c r="B4" s="36" t="s">
        <v>577</v>
      </c>
      <c r="C4" s="38">
        <v>77</v>
      </c>
      <c r="D4" s="76">
        <v>100</v>
      </c>
      <c r="E4" s="102">
        <v>0</v>
      </c>
    </row>
    <row r="5" spans="1:8" ht="15.75" customHeight="1">
      <c r="A5" s="37" t="s">
        <v>183</v>
      </c>
      <c r="B5" s="36" t="s">
        <v>184</v>
      </c>
      <c r="C5" s="38">
        <v>77</v>
      </c>
      <c r="D5" s="67">
        <v>25</v>
      </c>
      <c r="E5" s="121"/>
    </row>
    <row r="6" spans="1:8" ht="15.75" customHeight="1">
      <c r="A6" s="119" t="s">
        <v>188</v>
      </c>
      <c r="B6" s="50" t="s">
        <v>189</v>
      </c>
      <c r="C6" s="56">
        <v>76</v>
      </c>
      <c r="D6" s="67">
        <v>70</v>
      </c>
      <c r="E6" s="121"/>
    </row>
    <row r="7" spans="1:8" ht="15.75" customHeight="1">
      <c r="A7" s="37" t="s">
        <v>195</v>
      </c>
      <c r="B7" s="36" t="s">
        <v>196</v>
      </c>
      <c r="C7" s="38">
        <v>75</v>
      </c>
      <c r="D7" s="38">
        <v>70</v>
      </c>
      <c r="E7" s="102"/>
    </row>
    <row r="8" spans="1:8" ht="15.75" customHeight="1">
      <c r="A8" s="119" t="s">
        <v>1157</v>
      </c>
      <c r="B8" s="50" t="s">
        <v>199</v>
      </c>
      <c r="C8" s="56">
        <v>75</v>
      </c>
      <c r="D8" s="67">
        <v>15</v>
      </c>
      <c r="E8" s="121"/>
    </row>
    <row r="9" spans="1:8" ht="15.75" customHeight="1">
      <c r="A9" s="37" t="s">
        <v>195</v>
      </c>
      <c r="B9" s="36" t="s">
        <v>212</v>
      </c>
      <c r="C9" s="38">
        <v>73</v>
      </c>
      <c r="D9" s="38">
        <v>100</v>
      </c>
      <c r="E9" s="102"/>
    </row>
    <row r="10" spans="1:8" ht="15.75" customHeight="1">
      <c r="A10" s="3" t="s">
        <v>214</v>
      </c>
      <c r="B10" s="61" t="s">
        <v>215</v>
      </c>
      <c r="C10" s="3">
        <v>73</v>
      </c>
      <c r="D10" s="3">
        <v>100</v>
      </c>
      <c r="E10" s="16">
        <v>1</v>
      </c>
      <c r="F10" s="3"/>
    </row>
    <row r="11" spans="1:8" ht="15.75" customHeight="1">
      <c r="A11" s="37" t="s">
        <v>237</v>
      </c>
      <c r="B11" s="36" t="s">
        <v>238</v>
      </c>
      <c r="C11" s="38">
        <v>71</v>
      </c>
      <c r="D11" s="67">
        <v>100</v>
      </c>
      <c r="E11" s="121"/>
    </row>
    <row r="12" spans="1:8" ht="15.75" customHeight="1">
      <c r="A12" s="122" t="s">
        <v>249</v>
      </c>
      <c r="B12" s="50" t="s">
        <v>250</v>
      </c>
      <c r="C12" s="56">
        <v>70</v>
      </c>
      <c r="D12" s="67">
        <v>25</v>
      </c>
      <c r="E12" s="67"/>
    </row>
    <row r="13" spans="1:8" ht="15.75" customHeight="1">
      <c r="A13" s="102" t="s">
        <v>192</v>
      </c>
      <c r="B13" s="103" t="s">
        <v>253</v>
      </c>
      <c r="C13" s="104">
        <v>70</v>
      </c>
      <c r="D13" s="104">
        <v>20</v>
      </c>
      <c r="E13" s="102"/>
    </row>
    <row r="14" spans="1:8" ht="15.75" customHeight="1">
      <c r="A14" s="119" t="s">
        <v>263</v>
      </c>
      <c r="B14" s="50" t="s">
        <v>264</v>
      </c>
      <c r="C14" s="56">
        <v>68</v>
      </c>
      <c r="D14" s="67">
        <v>45</v>
      </c>
      <c r="E14" s="121"/>
    </row>
    <row r="15" spans="1:8" ht="15.75" customHeight="1">
      <c r="A15" s="37" t="s">
        <v>261</v>
      </c>
      <c r="B15" s="36" t="s">
        <v>262</v>
      </c>
      <c r="C15" s="38">
        <v>68</v>
      </c>
      <c r="D15" s="38">
        <v>40</v>
      </c>
      <c r="E15" s="102"/>
    </row>
    <row r="16" spans="1:8" ht="15.75" customHeight="1">
      <c r="A16" s="37" t="s">
        <v>261</v>
      </c>
      <c r="B16" s="36" t="s">
        <v>273</v>
      </c>
      <c r="C16" s="38">
        <v>66</v>
      </c>
      <c r="D16" s="38">
        <v>40</v>
      </c>
      <c r="E16" s="102"/>
    </row>
    <row r="17" spans="1:6" ht="15.75" customHeight="1">
      <c r="A17" s="37" t="s">
        <v>274</v>
      </c>
      <c r="B17" s="36" t="s">
        <v>275</v>
      </c>
      <c r="C17" s="38">
        <v>66</v>
      </c>
      <c r="D17" s="38">
        <v>90</v>
      </c>
      <c r="E17" s="102">
        <v>7</v>
      </c>
    </row>
    <row r="18" spans="1:6" ht="15.75" customHeight="1">
      <c r="A18" s="37" t="s">
        <v>195</v>
      </c>
      <c r="B18" s="36" t="s">
        <v>272</v>
      </c>
      <c r="C18" s="38">
        <v>66</v>
      </c>
      <c r="D18" s="38">
        <v>100</v>
      </c>
      <c r="E18" s="102"/>
    </row>
    <row r="19" spans="1:6" ht="15.75" customHeight="1">
      <c r="A19" s="119" t="s">
        <v>195</v>
      </c>
      <c r="B19" s="50" t="s">
        <v>271</v>
      </c>
      <c r="C19" s="56">
        <v>66</v>
      </c>
      <c r="D19" s="67">
        <v>35</v>
      </c>
      <c r="E19" s="102"/>
    </row>
    <row r="20" spans="1:6" ht="15.75" customHeight="1">
      <c r="A20" s="119" t="s">
        <v>161</v>
      </c>
      <c r="B20" s="50" t="s">
        <v>279</v>
      </c>
      <c r="C20" s="38">
        <v>65</v>
      </c>
      <c r="D20" s="67">
        <v>10</v>
      </c>
      <c r="E20" s="121"/>
    </row>
    <row r="21" spans="1:6" ht="15.75" customHeight="1">
      <c r="A21" s="3" t="s">
        <v>290</v>
      </c>
      <c r="B21" s="61" t="s">
        <v>291</v>
      </c>
      <c r="C21" s="3">
        <v>63</v>
      </c>
      <c r="D21" s="65">
        <v>5</v>
      </c>
      <c r="E21" s="16">
        <v>1</v>
      </c>
      <c r="F21" s="3"/>
    </row>
    <row r="22" spans="1:6" ht="15.75" customHeight="1">
      <c r="A22" s="119" t="s">
        <v>295</v>
      </c>
      <c r="B22" s="50" t="s">
        <v>296</v>
      </c>
      <c r="C22" s="56">
        <v>62</v>
      </c>
      <c r="D22" s="67">
        <v>25</v>
      </c>
      <c r="E22" s="121"/>
    </row>
    <row r="23" spans="1:6" ht="15.75" customHeight="1">
      <c r="A23" s="119" t="s">
        <v>166</v>
      </c>
      <c r="B23" s="50" t="s">
        <v>308</v>
      </c>
      <c r="C23" s="56">
        <v>60</v>
      </c>
      <c r="D23" s="67">
        <v>35</v>
      </c>
      <c r="E23" s="121"/>
    </row>
    <row r="24" spans="1:6" ht="15.75" customHeight="1">
      <c r="A24" s="37" t="s">
        <v>306</v>
      </c>
      <c r="B24" s="36" t="s">
        <v>307</v>
      </c>
      <c r="C24" s="38">
        <v>60</v>
      </c>
      <c r="D24" s="67">
        <v>50</v>
      </c>
      <c r="E24" s="67"/>
    </row>
    <row r="25" spans="1:6" ht="15.75" customHeight="1">
      <c r="A25" s="102" t="s">
        <v>192</v>
      </c>
      <c r="B25" s="103" t="s">
        <v>315</v>
      </c>
      <c r="C25" s="104">
        <v>59</v>
      </c>
      <c r="D25" s="104">
        <v>20</v>
      </c>
      <c r="E25" s="102"/>
    </row>
    <row r="26" spans="1:6" ht="15.75" customHeight="1">
      <c r="A26" s="102" t="s">
        <v>317</v>
      </c>
      <c r="B26" s="103" t="s">
        <v>318</v>
      </c>
      <c r="C26" s="104">
        <v>59</v>
      </c>
      <c r="D26" s="104">
        <v>40</v>
      </c>
      <c r="E26" s="102"/>
    </row>
    <row r="27" spans="1:6" ht="15.75" customHeight="1">
      <c r="A27" s="37" t="s">
        <v>319</v>
      </c>
      <c r="B27" s="36" t="s">
        <v>320</v>
      </c>
      <c r="C27" s="38">
        <v>58</v>
      </c>
      <c r="D27" s="67">
        <v>35</v>
      </c>
      <c r="E27" s="121"/>
    </row>
    <row r="28" spans="1:6" ht="15.75" customHeight="1">
      <c r="A28" s="119" t="s">
        <v>263</v>
      </c>
      <c r="B28" s="50" t="s">
        <v>323</v>
      </c>
      <c r="C28" s="56">
        <v>58</v>
      </c>
      <c r="D28" s="67">
        <v>45</v>
      </c>
      <c r="E28" s="121"/>
    </row>
    <row r="29" spans="1:6" ht="15.75" customHeight="1">
      <c r="A29" s="37" t="s">
        <v>261</v>
      </c>
      <c r="B29" s="36" t="s">
        <v>326</v>
      </c>
      <c r="C29" s="38">
        <v>57</v>
      </c>
      <c r="D29" s="38">
        <v>40</v>
      </c>
      <c r="E29" s="102"/>
    </row>
    <row r="30" spans="1:6" ht="15.75" customHeight="1">
      <c r="A30" s="37" t="s">
        <v>195</v>
      </c>
      <c r="B30" s="36" t="s">
        <v>325</v>
      </c>
      <c r="C30" s="38">
        <v>57</v>
      </c>
      <c r="D30" s="38">
        <v>50</v>
      </c>
      <c r="E30" s="102"/>
    </row>
    <row r="31" spans="1:6" ht="15.75" customHeight="1">
      <c r="A31" s="37" t="s">
        <v>195</v>
      </c>
      <c r="B31" s="36" t="s">
        <v>329</v>
      </c>
      <c r="C31" s="38">
        <v>56</v>
      </c>
      <c r="D31" s="38">
        <v>30</v>
      </c>
      <c r="E31" s="102"/>
    </row>
    <row r="32" spans="1:6" ht="15.75" customHeight="1">
      <c r="A32" s="102" t="s">
        <v>345</v>
      </c>
      <c r="B32" s="103" t="s">
        <v>346</v>
      </c>
      <c r="C32" s="104">
        <v>55</v>
      </c>
      <c r="D32" s="104">
        <v>20</v>
      </c>
      <c r="E32" s="102"/>
    </row>
    <row r="33" spans="1:5" ht="15.75" customHeight="1">
      <c r="A33" s="119" t="s">
        <v>1180</v>
      </c>
      <c r="B33" s="50" t="s">
        <v>1181</v>
      </c>
      <c r="C33" s="56">
        <v>55</v>
      </c>
      <c r="D33" s="67">
        <v>42</v>
      </c>
      <c r="E33" s="121"/>
    </row>
    <row r="34" spans="1:5" ht="15.75" customHeight="1">
      <c r="A34" s="102" t="s">
        <v>192</v>
      </c>
      <c r="B34" s="103" t="s">
        <v>337</v>
      </c>
      <c r="C34" s="104">
        <v>55</v>
      </c>
      <c r="D34" s="104">
        <v>20</v>
      </c>
      <c r="E34" s="102"/>
    </row>
    <row r="35" spans="1:5" ht="15.75" customHeight="1">
      <c r="A35" s="119" t="s">
        <v>164</v>
      </c>
      <c r="B35" s="50" t="s">
        <v>352</v>
      </c>
      <c r="C35" s="56">
        <v>54</v>
      </c>
      <c r="D35" s="67">
        <v>0</v>
      </c>
      <c r="E35" s="102"/>
    </row>
    <row r="36" spans="1:5" ht="15.75" customHeight="1">
      <c r="A36" s="102" t="s">
        <v>370</v>
      </c>
      <c r="B36" s="103" t="s">
        <v>372</v>
      </c>
      <c r="C36" s="104">
        <v>53</v>
      </c>
      <c r="D36" s="104">
        <v>120</v>
      </c>
      <c r="E36" s="104">
        <v>1</v>
      </c>
    </row>
    <row r="37" spans="1:5" ht="15.75" customHeight="1">
      <c r="A37" s="119" t="s">
        <v>368</v>
      </c>
      <c r="B37" s="50" t="s">
        <v>369</v>
      </c>
      <c r="C37" s="56">
        <v>53</v>
      </c>
      <c r="D37" s="67">
        <v>50</v>
      </c>
      <c r="E37" s="121"/>
    </row>
    <row r="38" spans="1:5" ht="15.75" customHeight="1">
      <c r="A38" s="37" t="s">
        <v>384</v>
      </c>
      <c r="B38" s="36" t="s">
        <v>385</v>
      </c>
      <c r="C38" s="38">
        <v>52</v>
      </c>
      <c r="D38" s="67">
        <v>40</v>
      </c>
      <c r="E38" s="121"/>
    </row>
    <row r="39" spans="1:5" ht="15.75" customHeight="1">
      <c r="A39" s="37" t="s">
        <v>195</v>
      </c>
      <c r="B39" s="36" t="s">
        <v>382</v>
      </c>
      <c r="C39" s="38">
        <v>52</v>
      </c>
      <c r="D39" s="38">
        <v>50</v>
      </c>
      <c r="E39" s="102"/>
    </row>
    <row r="40" spans="1:5" ht="15.75" customHeight="1">
      <c r="A40" s="37" t="s">
        <v>394</v>
      </c>
      <c r="B40" s="36" t="s">
        <v>395</v>
      </c>
      <c r="C40" s="38">
        <v>51</v>
      </c>
      <c r="D40" s="38">
        <v>35</v>
      </c>
      <c r="E40" s="102"/>
    </row>
    <row r="41" spans="1:5" ht="15.75" customHeight="1">
      <c r="A41" s="37" t="s">
        <v>164</v>
      </c>
      <c r="B41" s="36" t="s">
        <v>417</v>
      </c>
      <c r="C41" s="38">
        <v>50</v>
      </c>
      <c r="D41" s="37" t="s">
        <v>418</v>
      </c>
      <c r="E41" s="102"/>
    </row>
    <row r="42" spans="1:5" ht="15.75" customHeight="1">
      <c r="A42" s="119" t="s">
        <v>339</v>
      </c>
      <c r="B42" s="50" t="s">
        <v>476</v>
      </c>
      <c r="C42" s="56">
        <v>49</v>
      </c>
      <c r="D42" s="67">
        <v>45</v>
      </c>
      <c r="E42" s="121"/>
    </row>
    <row r="43" spans="1:5" ht="15.75" customHeight="1">
      <c r="A43" s="37" t="s">
        <v>479</v>
      </c>
      <c r="B43" s="36" t="s">
        <v>480</v>
      </c>
      <c r="C43" s="38">
        <v>49</v>
      </c>
      <c r="D43" s="38">
        <v>100</v>
      </c>
      <c r="E43" s="102">
        <v>1</v>
      </c>
    </row>
    <row r="44" spans="1:5" ht="15.75" customHeight="1">
      <c r="A44" s="37" t="s">
        <v>195</v>
      </c>
      <c r="B44" s="36" t="s">
        <v>488</v>
      </c>
      <c r="C44" s="38">
        <v>49</v>
      </c>
      <c r="D44" s="67">
        <v>50</v>
      </c>
      <c r="E44" s="102"/>
    </row>
    <row r="45" spans="1:5" ht="15.75" customHeight="1">
      <c r="A45" s="119" t="s">
        <v>493</v>
      </c>
      <c r="B45" s="50" t="s">
        <v>494</v>
      </c>
      <c r="C45" s="56">
        <v>48</v>
      </c>
      <c r="D45" s="67">
        <v>40</v>
      </c>
      <c r="E45" s="121"/>
    </row>
    <row r="46" spans="1:5" ht="15.75" customHeight="1">
      <c r="A46" s="37" t="s">
        <v>495</v>
      </c>
      <c r="B46" s="103" t="s">
        <v>496</v>
      </c>
      <c r="C46" s="104">
        <v>48</v>
      </c>
      <c r="D46" s="104">
        <v>50</v>
      </c>
      <c r="E46" s="102"/>
    </row>
    <row r="47" spans="1:5" ht="15.75" customHeight="1">
      <c r="A47" s="119" t="s">
        <v>491</v>
      </c>
      <c r="B47" s="50" t="s">
        <v>492</v>
      </c>
      <c r="C47" s="56">
        <v>48</v>
      </c>
      <c r="D47" s="67">
        <v>50</v>
      </c>
      <c r="E47" s="121"/>
    </row>
    <row r="48" spans="1:5" ht="15.75" customHeight="1">
      <c r="A48" s="119" t="s">
        <v>384</v>
      </c>
      <c r="B48" s="50" t="s">
        <v>498</v>
      </c>
      <c r="C48" s="56">
        <v>48</v>
      </c>
      <c r="D48" s="67">
        <v>35</v>
      </c>
      <c r="E48" s="121"/>
    </row>
    <row r="49" spans="1:6" ht="15.75" customHeight="1">
      <c r="A49" s="3" t="s">
        <v>290</v>
      </c>
      <c r="B49" s="61" t="s">
        <v>506</v>
      </c>
      <c r="C49" s="3">
        <v>47</v>
      </c>
      <c r="D49" s="65">
        <v>5</v>
      </c>
      <c r="E49" s="16">
        <v>4</v>
      </c>
      <c r="F49" s="3"/>
    </row>
    <row r="50" spans="1:6" ht="15.75" customHeight="1">
      <c r="A50" s="119" t="s">
        <v>503</v>
      </c>
      <c r="B50" s="50" t="s">
        <v>504</v>
      </c>
      <c r="C50" s="56">
        <v>47</v>
      </c>
      <c r="D50" s="67">
        <v>30</v>
      </c>
      <c r="E50" s="121"/>
    </row>
    <row r="51" spans="1:6" ht="15.75" customHeight="1">
      <c r="A51" s="37" t="s">
        <v>507</v>
      </c>
      <c r="B51" s="36" t="s">
        <v>508</v>
      </c>
      <c r="C51" s="38">
        <v>47</v>
      </c>
      <c r="D51" s="67">
        <v>25</v>
      </c>
      <c r="E51" s="102">
        <v>1</v>
      </c>
    </row>
    <row r="52" spans="1:6" ht="15.75" customHeight="1">
      <c r="A52" s="119" t="s">
        <v>195</v>
      </c>
      <c r="B52" s="50" t="s">
        <v>515</v>
      </c>
      <c r="C52" s="56">
        <v>47</v>
      </c>
      <c r="D52" s="67">
        <v>50</v>
      </c>
      <c r="E52" s="122"/>
    </row>
    <row r="53" spans="1:6" ht="15.75" customHeight="1">
      <c r="A53" s="119" t="s">
        <v>339</v>
      </c>
      <c r="B53" s="50" t="s">
        <v>502</v>
      </c>
      <c r="C53" s="56">
        <v>47</v>
      </c>
      <c r="D53" s="67">
        <v>45</v>
      </c>
      <c r="E53" s="121"/>
    </row>
    <row r="54" spans="1:6" ht="15.75" customHeight="1">
      <c r="A54" s="119" t="s">
        <v>523</v>
      </c>
      <c r="B54" s="50" t="s">
        <v>524</v>
      </c>
      <c r="C54" s="56">
        <v>46</v>
      </c>
      <c r="D54" s="67">
        <v>30</v>
      </c>
      <c r="E54" s="121"/>
    </row>
    <row r="55" spans="1:6" ht="15.75" customHeight="1">
      <c r="A55" s="119" t="s">
        <v>526</v>
      </c>
      <c r="B55" s="50" t="s">
        <v>527</v>
      </c>
      <c r="C55" s="56">
        <v>46</v>
      </c>
      <c r="D55" s="56">
        <v>30</v>
      </c>
      <c r="E55" s="122"/>
    </row>
    <row r="56" spans="1:6" ht="15.75" customHeight="1">
      <c r="A56" s="37" t="s">
        <v>517</v>
      </c>
      <c r="B56" s="126" t="s">
        <v>518</v>
      </c>
      <c r="C56" s="38">
        <v>46</v>
      </c>
      <c r="D56" s="67">
        <v>20</v>
      </c>
      <c r="E56" s="121"/>
    </row>
    <row r="57" spans="1:6" ht="15.75" customHeight="1">
      <c r="A57" s="119" t="s">
        <v>520</v>
      </c>
      <c r="B57" s="50" t="s">
        <v>521</v>
      </c>
      <c r="C57" s="56">
        <v>46</v>
      </c>
      <c r="D57" s="67">
        <v>35</v>
      </c>
      <c r="E57" s="121"/>
    </row>
    <row r="58" spans="1:6" ht="15.75" customHeight="1">
      <c r="A58" s="119" t="s">
        <v>166</v>
      </c>
      <c r="B58" s="50" t="s">
        <v>537</v>
      </c>
      <c r="C58" s="56">
        <v>45</v>
      </c>
      <c r="D58" s="67">
        <v>35</v>
      </c>
      <c r="E58" s="121"/>
    </row>
    <row r="59" spans="1:6" ht="15.75" customHeight="1">
      <c r="A59" s="119" t="s">
        <v>541</v>
      </c>
      <c r="B59" s="50" t="s">
        <v>542</v>
      </c>
      <c r="C59" s="56">
        <v>44</v>
      </c>
      <c r="D59" s="67">
        <v>10</v>
      </c>
      <c r="E59" s="121"/>
    </row>
    <row r="60" spans="1:6" ht="15.75" customHeight="1">
      <c r="A60" s="127" t="s">
        <v>243</v>
      </c>
      <c r="B60" s="50" t="s">
        <v>558</v>
      </c>
      <c r="C60" s="56">
        <v>43</v>
      </c>
      <c r="D60" s="67">
        <v>35</v>
      </c>
      <c r="E60" s="121"/>
    </row>
    <row r="61" spans="1:6" ht="15.75" customHeight="1">
      <c r="A61" s="37" t="s">
        <v>261</v>
      </c>
      <c r="B61" s="36" t="s">
        <v>556</v>
      </c>
      <c r="C61" s="38">
        <v>43</v>
      </c>
      <c r="D61" s="38">
        <v>40</v>
      </c>
      <c r="E61" s="102"/>
    </row>
    <row r="62" spans="1:6" ht="15.75" customHeight="1">
      <c r="A62" s="119" t="s">
        <v>195</v>
      </c>
      <c r="B62" s="50" t="s">
        <v>572</v>
      </c>
      <c r="C62" s="56">
        <v>42</v>
      </c>
      <c r="D62" s="67">
        <v>40</v>
      </c>
      <c r="E62" s="122"/>
    </row>
    <row r="63" spans="1:6" ht="15.75" customHeight="1">
      <c r="A63" s="102" t="s">
        <v>192</v>
      </c>
      <c r="B63" s="103" t="s">
        <v>568</v>
      </c>
      <c r="C63" s="104">
        <v>42</v>
      </c>
      <c r="D63" s="104">
        <v>20</v>
      </c>
      <c r="E63" s="102"/>
    </row>
    <row r="64" spans="1:6" ht="15.75" customHeight="1">
      <c r="A64" s="37" t="s">
        <v>339</v>
      </c>
      <c r="B64" s="36" t="s">
        <v>574</v>
      </c>
      <c r="C64" s="38">
        <v>41</v>
      </c>
      <c r="D64" s="67">
        <v>45</v>
      </c>
      <c r="E64" s="121"/>
    </row>
    <row r="65" spans="1:5" ht="15.75" customHeight="1">
      <c r="A65" s="37" t="s">
        <v>192</v>
      </c>
      <c r="B65" s="36" t="s">
        <v>578</v>
      </c>
      <c r="C65" s="38">
        <v>40</v>
      </c>
      <c r="D65" s="67">
        <v>22</v>
      </c>
      <c r="E65" s="121"/>
    </row>
    <row r="66" spans="1:5" ht="15.75" customHeight="1">
      <c r="A66" s="37" t="s">
        <v>195</v>
      </c>
      <c r="B66" s="36" t="s">
        <v>586</v>
      </c>
      <c r="C66" s="38">
        <v>40</v>
      </c>
      <c r="D66" s="38">
        <v>30</v>
      </c>
      <c r="E66" s="102"/>
    </row>
    <row r="67" spans="1:5" ht="15.75" customHeight="1">
      <c r="A67" s="119" t="s">
        <v>503</v>
      </c>
      <c r="B67" s="50" t="s">
        <v>582</v>
      </c>
      <c r="C67" s="56">
        <v>40</v>
      </c>
      <c r="D67" s="67">
        <v>30</v>
      </c>
      <c r="E67" s="122"/>
    </row>
    <row r="68" spans="1:5" ht="15.75" customHeight="1">
      <c r="A68" s="37" t="s">
        <v>394</v>
      </c>
      <c r="B68" s="36" t="s">
        <v>592</v>
      </c>
      <c r="C68" s="38">
        <v>39</v>
      </c>
      <c r="D68" s="38">
        <v>35</v>
      </c>
      <c r="E68" s="102"/>
    </row>
    <row r="69" spans="1:5" ht="15.75" customHeight="1">
      <c r="A69" s="37" t="s">
        <v>587</v>
      </c>
      <c r="B69" s="36" t="s">
        <v>588</v>
      </c>
      <c r="C69" s="38">
        <v>39</v>
      </c>
      <c r="D69" s="38">
        <v>35</v>
      </c>
      <c r="E69" s="102"/>
    </row>
    <row r="70" spans="1:5" ht="15.75" customHeight="1">
      <c r="A70" s="119" t="s">
        <v>166</v>
      </c>
      <c r="B70" s="50" t="s">
        <v>608</v>
      </c>
      <c r="C70" s="56">
        <v>38</v>
      </c>
      <c r="D70" s="67">
        <v>35</v>
      </c>
      <c r="E70" s="121"/>
    </row>
    <row r="71" spans="1:5" ht="15.75" customHeight="1">
      <c r="A71" s="119" t="s">
        <v>603</v>
      </c>
      <c r="B71" s="36" t="s">
        <v>604</v>
      </c>
      <c r="C71" s="38">
        <v>38</v>
      </c>
      <c r="D71" s="67">
        <v>22</v>
      </c>
      <c r="E71" s="121"/>
    </row>
    <row r="72" spans="1:5" ht="15.75" customHeight="1">
      <c r="A72" s="37" t="s">
        <v>606</v>
      </c>
      <c r="B72" s="36" t="s">
        <v>607</v>
      </c>
      <c r="C72" s="38">
        <v>38</v>
      </c>
      <c r="D72" s="67">
        <v>15</v>
      </c>
      <c r="E72" s="121"/>
    </row>
    <row r="73" spans="1:5" ht="15.75" customHeight="1">
      <c r="A73" s="119" t="s">
        <v>192</v>
      </c>
      <c r="B73" s="50" t="s">
        <v>602</v>
      </c>
      <c r="C73" s="56">
        <v>38</v>
      </c>
      <c r="D73" s="67">
        <v>32</v>
      </c>
      <c r="E73" s="121"/>
    </row>
    <row r="74" spans="1:5" ht="15.75" customHeight="1">
      <c r="A74" s="119" t="s">
        <v>175</v>
      </c>
      <c r="B74" s="128" t="s">
        <v>582</v>
      </c>
      <c r="C74" s="24">
        <v>38</v>
      </c>
      <c r="D74" s="67">
        <v>5</v>
      </c>
      <c r="E74" s="121"/>
    </row>
    <row r="75" spans="1:5" ht="15.75" customHeight="1">
      <c r="A75" s="129" t="s">
        <v>622</v>
      </c>
      <c r="B75" s="36" t="s">
        <v>623</v>
      </c>
      <c r="C75" s="38">
        <v>37</v>
      </c>
      <c r="D75" s="67">
        <v>5</v>
      </c>
      <c r="E75" s="130">
        <v>19</v>
      </c>
    </row>
    <row r="76" spans="1:5" ht="15.75" customHeight="1">
      <c r="A76" s="119" t="s">
        <v>618</v>
      </c>
      <c r="B76" s="50" t="s">
        <v>619</v>
      </c>
      <c r="C76" s="56">
        <v>37</v>
      </c>
      <c r="D76" s="119" t="s">
        <v>418</v>
      </c>
      <c r="E76" s="122"/>
    </row>
    <row r="77" spans="1:5" ht="15.75" customHeight="1">
      <c r="A77" s="37" t="s">
        <v>615</v>
      </c>
      <c r="B77" s="36" t="s">
        <v>616</v>
      </c>
      <c r="C77" s="38">
        <v>37</v>
      </c>
      <c r="D77" s="67">
        <v>35</v>
      </c>
      <c r="E77" s="121"/>
    </row>
    <row r="78" spans="1:5" ht="15.75" customHeight="1">
      <c r="A78" s="127" t="s">
        <v>374</v>
      </c>
      <c r="B78" s="50" t="s">
        <v>621</v>
      </c>
      <c r="C78" s="56">
        <v>37</v>
      </c>
      <c r="D78" s="67">
        <v>30</v>
      </c>
      <c r="E78" s="122"/>
    </row>
    <row r="79" spans="1:5" ht="15.75" customHeight="1">
      <c r="A79" s="37" t="s">
        <v>517</v>
      </c>
      <c r="B79" s="126" t="s">
        <v>631</v>
      </c>
      <c r="C79" s="38">
        <v>36</v>
      </c>
      <c r="D79" s="67">
        <v>20</v>
      </c>
      <c r="E79" s="121"/>
    </row>
    <row r="80" spans="1:5" ht="15.75" customHeight="1">
      <c r="A80" s="119" t="s">
        <v>624</v>
      </c>
      <c r="B80" s="50" t="s">
        <v>625</v>
      </c>
      <c r="C80" s="56">
        <v>35</v>
      </c>
      <c r="D80" s="67">
        <v>40</v>
      </c>
      <c r="E80" s="121"/>
    </row>
    <row r="81" spans="1:5" ht="15.75" customHeight="1">
      <c r="A81" s="119" t="s">
        <v>639</v>
      </c>
      <c r="B81" s="50" t="s">
        <v>640</v>
      </c>
      <c r="C81" s="56">
        <v>35</v>
      </c>
      <c r="D81" s="67">
        <v>45</v>
      </c>
      <c r="E81" s="121"/>
    </row>
    <row r="82" spans="1:5" ht="15.75" customHeight="1">
      <c r="A82" s="37" t="s">
        <v>635</v>
      </c>
      <c r="B82" s="36" t="s">
        <v>636</v>
      </c>
      <c r="C82" s="38">
        <v>35</v>
      </c>
      <c r="D82" s="121" t="s">
        <v>637</v>
      </c>
      <c r="E82" s="121"/>
    </row>
    <row r="83" spans="1:5" ht="15.75" customHeight="1">
      <c r="A83" s="119" t="s">
        <v>541</v>
      </c>
      <c r="B83" s="50" t="s">
        <v>642</v>
      </c>
      <c r="C83" s="56">
        <v>35</v>
      </c>
      <c r="D83" s="67">
        <v>10</v>
      </c>
      <c r="E83" s="121"/>
    </row>
    <row r="84" spans="1:5" ht="15.75" customHeight="1">
      <c r="A84" s="37" t="s">
        <v>648</v>
      </c>
      <c r="B84" s="36" t="s">
        <v>649</v>
      </c>
      <c r="C84" s="38">
        <v>34</v>
      </c>
      <c r="D84" s="67">
        <v>35</v>
      </c>
      <c r="E84" s="121"/>
    </row>
    <row r="85" spans="1:5" ht="15.75" customHeight="1">
      <c r="A85" s="127" t="s">
        <v>374</v>
      </c>
      <c r="B85" s="50" t="s">
        <v>652</v>
      </c>
      <c r="C85" s="56">
        <v>34</v>
      </c>
      <c r="D85" s="56">
        <v>30</v>
      </c>
      <c r="E85" s="122"/>
    </row>
    <row r="86" spans="1:5" ht="15.75" customHeight="1">
      <c r="A86" s="37" t="s">
        <v>587</v>
      </c>
      <c r="B86" s="36" t="s">
        <v>667</v>
      </c>
      <c r="C86" s="38">
        <v>33</v>
      </c>
      <c r="D86" s="38">
        <v>35</v>
      </c>
      <c r="E86" s="102"/>
    </row>
    <row r="87" spans="1:5" ht="15.75" customHeight="1">
      <c r="A87" s="127" t="s">
        <v>374</v>
      </c>
      <c r="B87" s="50" t="s">
        <v>671</v>
      </c>
      <c r="C87" s="56">
        <v>33</v>
      </c>
      <c r="D87" s="56">
        <v>30</v>
      </c>
      <c r="E87" s="122"/>
    </row>
    <row r="88" spans="1:5" ht="15.75" customHeight="1">
      <c r="A88" s="119" t="s">
        <v>541</v>
      </c>
      <c r="B88" s="50" t="s">
        <v>666</v>
      </c>
      <c r="C88" s="56">
        <v>33</v>
      </c>
      <c r="D88" s="67">
        <v>10</v>
      </c>
      <c r="E88" s="121"/>
    </row>
    <row r="89" spans="1:5" ht="15.75" customHeight="1">
      <c r="A89" s="37" t="s">
        <v>263</v>
      </c>
      <c r="B89" s="36" t="s">
        <v>669</v>
      </c>
      <c r="C89" s="38">
        <v>33</v>
      </c>
      <c r="D89" s="38">
        <v>40</v>
      </c>
      <c r="E89" s="102">
        <v>3</v>
      </c>
    </row>
    <row r="90" spans="1:5" ht="15.75" customHeight="1">
      <c r="A90" s="37" t="s">
        <v>678</v>
      </c>
      <c r="B90" s="36" t="s">
        <v>679</v>
      </c>
      <c r="C90" s="38">
        <v>32</v>
      </c>
      <c r="D90" s="37" t="s">
        <v>418</v>
      </c>
      <c r="E90" s="102">
        <v>3</v>
      </c>
    </row>
    <row r="91" spans="1:5" ht="15.75" customHeight="1">
      <c r="A91" s="37" t="s">
        <v>676</v>
      </c>
      <c r="B91" s="36" t="s">
        <v>677</v>
      </c>
      <c r="C91" s="38">
        <v>32</v>
      </c>
      <c r="D91" s="67">
        <v>25</v>
      </c>
      <c r="E91" s="121"/>
    </row>
    <row r="92" spans="1:5" ht="15.75" customHeight="1">
      <c r="A92" s="37" t="s">
        <v>304</v>
      </c>
      <c r="B92" s="36" t="s">
        <v>674</v>
      </c>
      <c r="C92" s="38">
        <v>32</v>
      </c>
      <c r="D92" s="67">
        <v>22</v>
      </c>
      <c r="E92" s="121"/>
    </row>
    <row r="93" spans="1:5" ht="15.75" customHeight="1">
      <c r="A93" s="129" t="s">
        <v>622</v>
      </c>
      <c r="B93" s="36" t="s">
        <v>681</v>
      </c>
      <c r="C93" s="38">
        <v>32</v>
      </c>
      <c r="D93" s="38">
        <v>5</v>
      </c>
      <c r="E93" s="102">
        <v>0</v>
      </c>
    </row>
    <row r="94" spans="1:5" ht="15.75" customHeight="1">
      <c r="A94" s="37" t="s">
        <v>394</v>
      </c>
      <c r="B94" s="36" t="s">
        <v>692</v>
      </c>
      <c r="C94" s="38">
        <v>31</v>
      </c>
      <c r="D94" s="38">
        <v>35</v>
      </c>
      <c r="E94" s="102"/>
    </row>
    <row r="95" spans="1:5" ht="15.75" customHeight="1">
      <c r="A95" s="129" t="s">
        <v>622</v>
      </c>
      <c r="B95" s="36" t="s">
        <v>698</v>
      </c>
      <c r="C95" s="38">
        <v>31</v>
      </c>
      <c r="D95" s="67">
        <v>5</v>
      </c>
      <c r="E95" s="132">
        <v>9</v>
      </c>
    </row>
    <row r="96" spans="1:5" ht="15.75" customHeight="1">
      <c r="A96" s="129" t="s">
        <v>622</v>
      </c>
      <c r="B96" s="36" t="s">
        <v>700</v>
      </c>
      <c r="C96" s="38">
        <v>31</v>
      </c>
      <c r="D96" s="38">
        <v>5</v>
      </c>
      <c r="E96" s="102">
        <v>0</v>
      </c>
    </row>
    <row r="97" spans="1:5" ht="15.75" customHeight="1">
      <c r="A97" s="119" t="s">
        <v>694</v>
      </c>
      <c r="B97" s="50" t="s">
        <v>695</v>
      </c>
      <c r="C97" s="56">
        <v>31</v>
      </c>
      <c r="D97" s="67">
        <v>10</v>
      </c>
      <c r="E97" s="121"/>
    </row>
    <row r="98" spans="1:5" ht="15.75" customHeight="1">
      <c r="A98" s="119" t="s">
        <v>696</v>
      </c>
      <c r="B98" s="50" t="s">
        <v>697</v>
      </c>
      <c r="C98" s="56">
        <v>31</v>
      </c>
      <c r="D98" s="67">
        <v>30</v>
      </c>
      <c r="E98" s="121"/>
    </row>
    <row r="99" spans="1:5" ht="15.75" customHeight="1">
      <c r="A99" s="129" t="s">
        <v>622</v>
      </c>
      <c r="B99" s="36" t="s">
        <v>746</v>
      </c>
      <c r="C99" s="38">
        <v>30</v>
      </c>
      <c r="D99" s="67">
        <v>5</v>
      </c>
      <c r="E99" s="102">
        <v>0</v>
      </c>
    </row>
    <row r="100" spans="1:5" ht="15.75" customHeight="1">
      <c r="A100" s="37" t="s">
        <v>609</v>
      </c>
      <c r="B100" s="36" t="s">
        <v>743</v>
      </c>
      <c r="C100" s="38">
        <v>30</v>
      </c>
      <c r="D100" s="38">
        <v>40</v>
      </c>
      <c r="E100" s="102">
        <v>2</v>
      </c>
    </row>
    <row r="101" spans="1:5" ht="15.75" customHeight="1">
      <c r="A101" s="37" t="s">
        <v>714</v>
      </c>
      <c r="B101" s="36" t="s">
        <v>715</v>
      </c>
      <c r="C101" s="38">
        <v>30</v>
      </c>
      <c r="D101" s="67">
        <v>30</v>
      </c>
      <c r="E101" s="121"/>
    </row>
    <row r="102" spans="1:5" ht="15.75" customHeight="1">
      <c r="A102" s="119" t="s">
        <v>728</v>
      </c>
      <c r="B102" s="50" t="s">
        <v>731</v>
      </c>
      <c r="C102" s="56">
        <v>30</v>
      </c>
      <c r="D102" s="67">
        <v>10</v>
      </c>
      <c r="E102" s="121"/>
    </row>
    <row r="103" spans="1:5" ht="15.75" customHeight="1">
      <c r="A103" s="119" t="s">
        <v>732</v>
      </c>
      <c r="B103" s="50" t="s">
        <v>733</v>
      </c>
      <c r="C103" s="56">
        <v>30</v>
      </c>
      <c r="D103" s="67">
        <v>50</v>
      </c>
      <c r="E103" s="121"/>
    </row>
    <row r="104" spans="1:5" ht="15.75" customHeight="1">
      <c r="A104" s="37" t="s">
        <v>195</v>
      </c>
      <c r="B104" s="36" t="s">
        <v>756</v>
      </c>
      <c r="C104" s="38">
        <v>30</v>
      </c>
      <c r="D104" s="38">
        <v>30</v>
      </c>
      <c r="E104" s="102"/>
    </row>
    <row r="105" spans="1:5" ht="15.75" customHeight="1">
      <c r="A105" s="119" t="s">
        <v>710</v>
      </c>
      <c r="B105" s="50" t="s">
        <v>711</v>
      </c>
      <c r="C105" s="56">
        <v>30</v>
      </c>
      <c r="D105" s="67">
        <v>25</v>
      </c>
      <c r="E105" s="121"/>
    </row>
    <row r="106" spans="1:5" ht="15.75" customHeight="1">
      <c r="A106" s="102" t="s">
        <v>192</v>
      </c>
      <c r="B106" s="103" t="s">
        <v>708</v>
      </c>
      <c r="C106" s="104">
        <v>30</v>
      </c>
      <c r="D106" s="104">
        <v>20</v>
      </c>
      <c r="E106" s="102"/>
    </row>
    <row r="107" spans="1:5" ht="15.75" customHeight="1">
      <c r="A107" s="37" t="s">
        <v>735</v>
      </c>
      <c r="B107" s="36" t="s">
        <v>736</v>
      </c>
      <c r="C107" s="38">
        <v>30</v>
      </c>
      <c r="D107" s="38">
        <v>14</v>
      </c>
      <c r="E107" s="102">
        <v>4</v>
      </c>
    </row>
    <row r="108" spans="1:5" ht="15.75" customHeight="1">
      <c r="A108" s="119" t="s">
        <v>779</v>
      </c>
      <c r="B108" s="50" t="s">
        <v>780</v>
      </c>
      <c r="C108" s="56">
        <v>29</v>
      </c>
      <c r="D108" s="67">
        <v>10</v>
      </c>
      <c r="E108" s="121"/>
    </row>
    <row r="109" spans="1:5" ht="15.75" customHeight="1">
      <c r="A109" s="129" t="s">
        <v>622</v>
      </c>
      <c r="B109" s="36" t="s">
        <v>786</v>
      </c>
      <c r="C109" s="38">
        <v>29</v>
      </c>
      <c r="D109" s="67">
        <v>5</v>
      </c>
      <c r="E109" s="102">
        <v>0</v>
      </c>
    </row>
    <row r="110" spans="1:5" ht="15.75" customHeight="1">
      <c r="A110" s="37" t="s">
        <v>781</v>
      </c>
      <c r="B110" s="36" t="s">
        <v>782</v>
      </c>
      <c r="C110" s="38">
        <v>29</v>
      </c>
      <c r="D110" s="67">
        <v>10</v>
      </c>
      <c r="E110" s="121"/>
    </row>
    <row r="111" spans="1:5" ht="15.75" customHeight="1">
      <c r="A111" s="37" t="s">
        <v>763</v>
      </c>
      <c r="B111" s="36" t="s">
        <v>765</v>
      </c>
      <c r="C111" s="38">
        <v>29</v>
      </c>
      <c r="D111" s="67">
        <v>5</v>
      </c>
      <c r="E111" s="102">
        <v>7</v>
      </c>
    </row>
    <row r="112" spans="1:5" ht="15.75" customHeight="1">
      <c r="A112" s="129" t="s">
        <v>622</v>
      </c>
      <c r="B112" s="36" t="s">
        <v>804</v>
      </c>
      <c r="C112" s="38">
        <v>28</v>
      </c>
      <c r="D112" s="38">
        <v>5</v>
      </c>
      <c r="E112" s="102">
        <v>10</v>
      </c>
    </row>
    <row r="113" spans="1:5" ht="15.75" customHeight="1">
      <c r="A113" s="37" t="s">
        <v>195</v>
      </c>
      <c r="B113" s="36" t="s">
        <v>810</v>
      </c>
      <c r="C113" s="38">
        <v>28</v>
      </c>
      <c r="D113" s="38">
        <v>30</v>
      </c>
      <c r="E113" s="38">
        <v>1</v>
      </c>
    </row>
    <row r="114" spans="1:5" ht="15.75" customHeight="1">
      <c r="A114" s="37" t="s">
        <v>195</v>
      </c>
      <c r="B114" s="36" t="s">
        <v>808</v>
      </c>
      <c r="C114" s="38">
        <v>28</v>
      </c>
      <c r="D114" s="38">
        <v>20</v>
      </c>
      <c r="E114" s="104">
        <v>0</v>
      </c>
    </row>
    <row r="115" spans="1:5" ht="15.75" customHeight="1">
      <c r="A115" s="102" t="s">
        <v>788</v>
      </c>
      <c r="B115" s="103" t="s">
        <v>789</v>
      </c>
      <c r="C115" s="104">
        <v>28</v>
      </c>
      <c r="D115" s="104">
        <v>5</v>
      </c>
      <c r="E115" s="102"/>
    </row>
    <row r="116" spans="1:5" ht="15.75" customHeight="1">
      <c r="A116" s="133" t="s">
        <v>794</v>
      </c>
      <c r="B116" s="36" t="s">
        <v>795</v>
      </c>
      <c r="C116" s="38">
        <v>28</v>
      </c>
      <c r="D116" s="38">
        <v>15</v>
      </c>
      <c r="E116" s="102">
        <v>7</v>
      </c>
    </row>
    <row r="117" spans="1:5" ht="15.75" customHeight="1">
      <c r="A117" s="129" t="s">
        <v>622</v>
      </c>
      <c r="B117" s="36" t="s">
        <v>823</v>
      </c>
      <c r="C117" s="38">
        <v>27</v>
      </c>
      <c r="D117" s="38">
        <v>5</v>
      </c>
      <c r="E117" s="102">
        <v>10</v>
      </c>
    </row>
    <row r="118" spans="1:5" ht="15.75" customHeight="1">
      <c r="A118" s="133" t="s">
        <v>615</v>
      </c>
      <c r="B118" s="36" t="s">
        <v>814</v>
      </c>
      <c r="C118" s="38">
        <v>27</v>
      </c>
      <c r="D118" s="67">
        <v>35</v>
      </c>
      <c r="E118" s="121"/>
    </row>
    <row r="119" spans="1:5" ht="15.75" customHeight="1">
      <c r="A119" s="122" t="s">
        <v>694</v>
      </c>
      <c r="B119" s="135" t="s">
        <v>816</v>
      </c>
      <c r="C119" s="136">
        <v>27</v>
      </c>
      <c r="D119" s="137">
        <v>5</v>
      </c>
      <c r="E119" s="121"/>
    </row>
    <row r="120" spans="1:5" ht="15.75" customHeight="1">
      <c r="A120" s="129" t="s">
        <v>622</v>
      </c>
      <c r="B120" s="36" t="s">
        <v>826</v>
      </c>
      <c r="C120" s="38">
        <v>27</v>
      </c>
      <c r="D120" s="38">
        <v>5</v>
      </c>
      <c r="E120" s="102">
        <v>13</v>
      </c>
    </row>
    <row r="121" spans="1:5" ht="15.75" customHeight="1">
      <c r="A121" s="129" t="s">
        <v>622</v>
      </c>
      <c r="B121" s="36" t="s">
        <v>819</v>
      </c>
      <c r="C121" s="38">
        <v>27</v>
      </c>
      <c r="D121" s="67">
        <v>5</v>
      </c>
      <c r="E121" s="138" t="s">
        <v>821</v>
      </c>
    </row>
    <row r="122" spans="1:5" ht="15.75" customHeight="1">
      <c r="A122" s="37" t="s">
        <v>684</v>
      </c>
      <c r="B122" s="36" t="s">
        <v>685</v>
      </c>
      <c r="C122" s="38">
        <v>27</v>
      </c>
      <c r="D122" s="38">
        <v>12</v>
      </c>
      <c r="E122" s="102">
        <v>1</v>
      </c>
    </row>
    <row r="123" spans="1:5" ht="15.75" customHeight="1">
      <c r="A123" s="119" t="s">
        <v>606</v>
      </c>
      <c r="B123" s="50" t="s">
        <v>834</v>
      </c>
      <c r="C123" s="56">
        <v>26</v>
      </c>
      <c r="D123" s="67">
        <v>15</v>
      </c>
      <c r="E123" s="121"/>
    </row>
    <row r="124" spans="1:5" ht="15.75" customHeight="1">
      <c r="A124" s="122" t="s">
        <v>694</v>
      </c>
      <c r="B124" s="135" t="s">
        <v>835</v>
      </c>
      <c r="C124" s="136">
        <v>26</v>
      </c>
      <c r="D124" s="137">
        <v>5</v>
      </c>
      <c r="E124" s="121"/>
    </row>
    <row r="125" spans="1:5" ht="15.75" customHeight="1">
      <c r="A125" s="129" t="s">
        <v>622</v>
      </c>
      <c r="B125" s="36" t="s">
        <v>840</v>
      </c>
      <c r="C125" s="38">
        <v>26</v>
      </c>
      <c r="D125" s="38">
        <v>5</v>
      </c>
      <c r="E125" s="102">
        <v>2</v>
      </c>
    </row>
    <row r="126" spans="1:5" ht="15.75" customHeight="1">
      <c r="A126" s="119" t="s">
        <v>861</v>
      </c>
      <c r="B126" s="50" t="s">
        <v>862</v>
      </c>
      <c r="C126" s="56">
        <v>25</v>
      </c>
      <c r="D126" s="67">
        <v>30</v>
      </c>
      <c r="E126" s="121"/>
    </row>
    <row r="127" spans="1:5" ht="15.75" customHeight="1">
      <c r="A127" s="119" t="s">
        <v>728</v>
      </c>
      <c r="B127" s="50" t="s">
        <v>857</v>
      </c>
      <c r="C127" s="56">
        <v>25</v>
      </c>
      <c r="D127" s="67">
        <v>10</v>
      </c>
      <c r="E127" s="121"/>
    </row>
    <row r="128" spans="1:5" ht="15.75" customHeight="1">
      <c r="A128" s="119" t="s">
        <v>728</v>
      </c>
      <c r="B128" s="50" t="s">
        <v>858</v>
      </c>
      <c r="C128" s="56">
        <v>25</v>
      </c>
      <c r="D128" s="67">
        <v>10</v>
      </c>
      <c r="E128" s="121"/>
    </row>
    <row r="129" spans="1:5" ht="15.75" customHeight="1">
      <c r="A129" s="37" t="s">
        <v>195</v>
      </c>
      <c r="B129" s="36" t="s">
        <v>880</v>
      </c>
      <c r="C129" s="38">
        <v>25</v>
      </c>
      <c r="D129" s="38">
        <v>30</v>
      </c>
      <c r="E129" s="104">
        <v>6</v>
      </c>
    </row>
    <row r="130" spans="1:5" ht="15.75" customHeight="1">
      <c r="A130" s="119" t="s">
        <v>526</v>
      </c>
      <c r="B130" s="50" t="s">
        <v>871</v>
      </c>
      <c r="C130" s="56">
        <v>25</v>
      </c>
      <c r="D130" s="67">
        <v>30</v>
      </c>
      <c r="E130" s="122"/>
    </row>
    <row r="131" spans="1:5" ht="15.75" customHeight="1">
      <c r="A131" s="102" t="s">
        <v>864</v>
      </c>
      <c r="B131" s="103" t="s">
        <v>866</v>
      </c>
      <c r="C131" s="104">
        <v>25</v>
      </c>
      <c r="D131" s="104">
        <v>5</v>
      </c>
      <c r="E131" s="102"/>
    </row>
    <row r="132" spans="1:5" ht="15.75" customHeight="1">
      <c r="A132" s="37" t="s">
        <v>886</v>
      </c>
      <c r="B132" s="126" t="s">
        <v>887</v>
      </c>
      <c r="C132" s="129">
        <v>24</v>
      </c>
      <c r="D132" s="38">
        <v>10</v>
      </c>
      <c r="E132" s="102">
        <v>5</v>
      </c>
    </row>
    <row r="133" spans="1:5" ht="15.75" customHeight="1">
      <c r="A133" s="102" t="s">
        <v>886</v>
      </c>
      <c r="B133" s="103" t="s">
        <v>889</v>
      </c>
      <c r="C133" s="104">
        <v>24</v>
      </c>
      <c r="D133" s="104">
        <v>10</v>
      </c>
      <c r="E133" s="104">
        <v>0</v>
      </c>
    </row>
    <row r="134" spans="1:5" ht="15.75" customHeight="1">
      <c r="A134" s="102" t="s">
        <v>882</v>
      </c>
      <c r="B134" s="103" t="s">
        <v>883</v>
      </c>
      <c r="C134" s="104">
        <v>24</v>
      </c>
      <c r="D134" s="104">
        <v>5</v>
      </c>
      <c r="E134" s="102"/>
    </row>
    <row r="135" spans="1:5" ht="15.75" customHeight="1">
      <c r="A135" s="129" t="s">
        <v>622</v>
      </c>
      <c r="B135" s="36" t="s">
        <v>891</v>
      </c>
      <c r="C135" s="38">
        <v>24</v>
      </c>
      <c r="D135" s="38">
        <v>5</v>
      </c>
      <c r="E135" s="102">
        <v>14</v>
      </c>
    </row>
    <row r="136" spans="1:5" ht="15.75" customHeight="1">
      <c r="A136" s="129" t="s">
        <v>622</v>
      </c>
      <c r="B136" s="36" t="s">
        <v>903</v>
      </c>
      <c r="C136" s="38">
        <v>23</v>
      </c>
      <c r="D136" s="67">
        <v>5</v>
      </c>
      <c r="E136" s="102">
        <v>0</v>
      </c>
    </row>
    <row r="137" spans="1:5" ht="15.75" customHeight="1">
      <c r="A137" s="102" t="s">
        <v>898</v>
      </c>
      <c r="B137" s="103" t="s">
        <v>899</v>
      </c>
      <c r="C137" s="104">
        <v>23</v>
      </c>
      <c r="D137" s="104">
        <v>5</v>
      </c>
      <c r="E137" s="102"/>
    </row>
    <row r="138" spans="1:5" ht="15.75" customHeight="1">
      <c r="A138" s="37" t="s">
        <v>507</v>
      </c>
      <c r="B138" s="36" t="s">
        <v>894</v>
      </c>
      <c r="C138" s="38">
        <v>23</v>
      </c>
      <c r="D138" s="67">
        <v>25</v>
      </c>
      <c r="E138" s="102">
        <v>1</v>
      </c>
    </row>
    <row r="139" spans="1:5" ht="15.75" customHeight="1">
      <c r="A139" s="129" t="s">
        <v>622</v>
      </c>
      <c r="B139" s="36" t="s">
        <v>912</v>
      </c>
      <c r="C139" s="38">
        <v>22</v>
      </c>
      <c r="D139" s="38">
        <v>5</v>
      </c>
      <c r="E139" s="102">
        <v>0</v>
      </c>
    </row>
    <row r="140" spans="1:5" ht="15.75" customHeight="1">
      <c r="A140" s="37" t="s">
        <v>507</v>
      </c>
      <c r="B140" s="36" t="s">
        <v>905</v>
      </c>
      <c r="C140" s="38">
        <v>22</v>
      </c>
      <c r="D140" s="67">
        <v>25</v>
      </c>
      <c r="E140" s="102">
        <v>0</v>
      </c>
    </row>
    <row r="141" spans="1:5" ht="15.75" customHeight="1">
      <c r="A141" s="129" t="s">
        <v>914</v>
      </c>
      <c r="B141" s="36" t="s">
        <v>915</v>
      </c>
      <c r="C141" s="38">
        <v>21</v>
      </c>
      <c r="D141" s="67">
        <v>5</v>
      </c>
      <c r="E141" s="102">
        <v>0</v>
      </c>
    </row>
    <row r="142" spans="1:5" ht="15.75" customHeight="1">
      <c r="A142" s="129" t="s">
        <v>622</v>
      </c>
      <c r="B142" s="36" t="s">
        <v>923</v>
      </c>
      <c r="C142" s="38">
        <v>20</v>
      </c>
      <c r="D142" s="38">
        <v>5</v>
      </c>
      <c r="E142" s="102">
        <v>0</v>
      </c>
    </row>
    <row r="143" spans="1:5" ht="15.75" customHeight="1">
      <c r="A143" s="129" t="s">
        <v>622</v>
      </c>
      <c r="B143" s="36" t="s">
        <v>928</v>
      </c>
      <c r="C143" s="38">
        <v>20</v>
      </c>
      <c r="D143" s="38">
        <v>5</v>
      </c>
      <c r="E143" s="102">
        <v>8</v>
      </c>
    </row>
    <row r="144" spans="1:5" ht="15.75" customHeight="1">
      <c r="A144" s="102" t="s">
        <v>919</v>
      </c>
      <c r="B144" s="103" t="s">
        <v>920</v>
      </c>
      <c r="C144" s="104">
        <v>20</v>
      </c>
      <c r="D144" s="104">
        <v>5</v>
      </c>
      <c r="E144" s="102"/>
    </row>
    <row r="145" spans="1:5" ht="15.75" customHeight="1">
      <c r="A145" s="129" t="s">
        <v>622</v>
      </c>
      <c r="B145" s="36" t="s">
        <v>933</v>
      </c>
      <c r="C145" s="38">
        <v>14</v>
      </c>
      <c r="D145" s="67">
        <v>5</v>
      </c>
      <c r="E145" s="102">
        <v>0</v>
      </c>
    </row>
    <row r="146" spans="1:5" ht="15.75" customHeight="1">
      <c r="A146" s="37" t="s">
        <v>304</v>
      </c>
      <c r="B146" s="36" t="s">
        <v>935</v>
      </c>
      <c r="C146" s="38">
        <v>10</v>
      </c>
      <c r="D146" s="38">
        <v>8</v>
      </c>
      <c r="E146" s="102"/>
    </row>
    <row r="147" spans="1:5" ht="15.75" customHeight="1">
      <c r="A147" s="102"/>
      <c r="B147" s="102"/>
      <c r="C147" s="102"/>
      <c r="D147" s="102"/>
      <c r="E147" s="102"/>
    </row>
    <row r="148" spans="1:5" ht="15.75" customHeight="1">
      <c r="A148" s="102"/>
      <c r="B148" s="102"/>
      <c r="C148" s="102"/>
      <c r="D148" s="102"/>
      <c r="E148" s="102"/>
    </row>
    <row r="149" spans="1:5" ht="15.75" customHeight="1">
      <c r="A149" s="102"/>
      <c r="B149" s="102"/>
      <c r="C149" s="102"/>
      <c r="D149" s="102"/>
      <c r="E149" s="102"/>
    </row>
    <row r="150" spans="1:5" ht="15.75" customHeight="1">
      <c r="A150" s="102"/>
      <c r="B150" s="102"/>
      <c r="C150" s="102"/>
      <c r="D150" s="102"/>
      <c r="E150" s="102"/>
    </row>
    <row r="151" spans="1:5" ht="15.75" customHeight="1">
      <c r="A151" s="102"/>
      <c r="B151" s="102"/>
      <c r="C151" s="102"/>
      <c r="D151" s="102"/>
      <c r="E151" s="102"/>
    </row>
    <row r="152" spans="1:5" ht="15.75" customHeight="1">
      <c r="A152" s="102"/>
      <c r="B152" s="102"/>
      <c r="C152" s="102"/>
      <c r="D152" s="102"/>
      <c r="E152" s="102"/>
    </row>
    <row r="153" spans="1:5" ht="15.75" customHeight="1">
      <c r="A153" s="102"/>
      <c r="B153" s="102"/>
      <c r="C153" s="102"/>
      <c r="D153" s="102"/>
      <c r="E153" s="102"/>
    </row>
    <row r="154" spans="1:5" ht="15.75" customHeight="1">
      <c r="A154" s="102"/>
      <c r="B154" s="102"/>
      <c r="C154" s="102"/>
      <c r="D154" s="102"/>
      <c r="E154" s="102"/>
    </row>
    <row r="155" spans="1:5" ht="15.75" customHeight="1">
      <c r="A155" s="102"/>
      <c r="B155" s="102"/>
      <c r="C155" s="102"/>
      <c r="D155" s="102"/>
      <c r="E155" s="102"/>
    </row>
    <row r="156" spans="1:5" ht="15.75" customHeight="1">
      <c r="A156" s="102"/>
      <c r="B156" s="102"/>
      <c r="C156" s="102"/>
      <c r="D156" s="102"/>
      <c r="E156" s="102"/>
    </row>
    <row r="157" spans="1:5" ht="15.75" customHeight="1">
      <c r="A157" s="102"/>
      <c r="B157" s="102"/>
      <c r="C157" s="102"/>
      <c r="D157" s="102"/>
      <c r="E157" s="102"/>
    </row>
    <row r="158" spans="1:5" ht="15.75" customHeight="1">
      <c r="A158" s="102"/>
      <c r="B158" s="102"/>
      <c r="C158" s="102"/>
      <c r="D158" s="102"/>
      <c r="E158" s="102"/>
    </row>
    <row r="159" spans="1:5" ht="15.75" customHeight="1">
      <c r="A159" s="102"/>
      <c r="B159" s="102"/>
      <c r="C159" s="102"/>
      <c r="D159" s="102"/>
      <c r="E159" s="102"/>
    </row>
    <row r="160" spans="1:5" ht="15.75" customHeight="1">
      <c r="A160" s="102"/>
      <c r="B160" s="102"/>
      <c r="C160" s="102"/>
      <c r="D160" s="102"/>
      <c r="E160" s="102"/>
    </row>
    <row r="161" spans="1:5" ht="15.75" customHeight="1">
      <c r="A161" s="102"/>
      <c r="B161" s="102"/>
      <c r="C161" s="102"/>
      <c r="D161" s="102"/>
      <c r="E161" s="102"/>
    </row>
    <row r="162" spans="1:5" ht="15.75" customHeight="1">
      <c r="A162" s="102"/>
      <c r="B162" s="102"/>
      <c r="C162" s="102"/>
      <c r="D162" s="102"/>
      <c r="E162" s="102"/>
    </row>
    <row r="163" spans="1:5" ht="15.75" customHeight="1">
      <c r="A163" s="102"/>
      <c r="B163" s="102"/>
      <c r="C163" s="102"/>
      <c r="D163" s="102"/>
      <c r="E163" s="102"/>
    </row>
    <row r="164" spans="1:5" ht="15.75" customHeight="1">
      <c r="A164" s="102"/>
      <c r="B164" s="102"/>
      <c r="C164" s="102"/>
      <c r="D164" s="102"/>
      <c r="E164" s="102"/>
    </row>
    <row r="165" spans="1:5" ht="15.75" customHeight="1">
      <c r="A165" s="102"/>
      <c r="B165" s="102"/>
      <c r="C165" s="102"/>
      <c r="D165" s="102"/>
      <c r="E165" s="102"/>
    </row>
    <row r="166" spans="1:5" ht="15.75" customHeight="1">
      <c r="A166" s="102"/>
      <c r="B166" s="102"/>
      <c r="C166" s="102"/>
      <c r="D166" s="102"/>
      <c r="E166" s="102"/>
    </row>
    <row r="167" spans="1:5" ht="15.75" customHeight="1">
      <c r="A167" s="102"/>
      <c r="B167" s="102"/>
      <c r="C167" s="102"/>
      <c r="D167" s="102"/>
      <c r="E167" s="102"/>
    </row>
    <row r="168" spans="1:5" ht="15.75" customHeight="1">
      <c r="A168" s="102"/>
      <c r="B168" s="102"/>
      <c r="C168" s="102"/>
      <c r="D168" s="102"/>
      <c r="E168" s="102"/>
    </row>
    <row r="169" spans="1:5" ht="15.75" customHeight="1">
      <c r="A169" s="102"/>
      <c r="B169" s="102"/>
      <c r="C169" s="102"/>
      <c r="D169" s="102"/>
      <c r="E169" s="102"/>
    </row>
    <row r="170" spans="1:5" ht="15.75" customHeight="1">
      <c r="A170" s="102"/>
      <c r="B170" s="102"/>
      <c r="C170" s="102"/>
      <c r="D170" s="102"/>
      <c r="E170" s="102"/>
    </row>
    <row r="171" spans="1:5" ht="15.75" customHeight="1">
      <c r="A171" s="102"/>
      <c r="B171" s="102"/>
      <c r="C171" s="102"/>
      <c r="D171" s="102"/>
      <c r="E171" s="102"/>
    </row>
    <row r="172" spans="1:5" ht="15.75" customHeight="1">
      <c r="A172" s="102"/>
      <c r="B172" s="102"/>
      <c r="C172" s="102"/>
      <c r="D172" s="102"/>
      <c r="E172" s="102"/>
    </row>
    <row r="173" spans="1:5" ht="15.75" customHeight="1">
      <c r="A173" s="102"/>
      <c r="B173" s="102"/>
      <c r="C173" s="102"/>
      <c r="D173" s="102"/>
      <c r="E173" s="102"/>
    </row>
    <row r="174" spans="1:5" ht="15.75" customHeight="1">
      <c r="A174" s="102"/>
      <c r="B174" s="102"/>
      <c r="C174" s="102"/>
      <c r="D174" s="102"/>
      <c r="E174" s="102"/>
    </row>
    <row r="175" spans="1:5" ht="15.75" customHeight="1">
      <c r="A175" s="102"/>
      <c r="B175" s="102"/>
      <c r="C175" s="102"/>
      <c r="D175" s="102"/>
      <c r="E175" s="102"/>
    </row>
    <row r="176" spans="1:5" ht="15.75" customHeight="1">
      <c r="A176" s="102"/>
      <c r="B176" s="102"/>
      <c r="C176" s="102"/>
      <c r="D176" s="102"/>
      <c r="E176" s="102"/>
    </row>
    <row r="177" spans="1:5" ht="15.75" customHeight="1">
      <c r="A177" s="102"/>
      <c r="B177" s="102"/>
      <c r="C177" s="102"/>
      <c r="D177" s="102"/>
      <c r="E177" s="102"/>
    </row>
    <row r="178" spans="1:5" ht="15.75" customHeight="1">
      <c r="A178" s="102"/>
      <c r="B178" s="102"/>
      <c r="C178" s="102"/>
      <c r="D178" s="102"/>
      <c r="E178" s="102"/>
    </row>
    <row r="179" spans="1:5" ht="15.75" customHeight="1">
      <c r="A179" s="102"/>
      <c r="B179" s="102"/>
      <c r="C179" s="102"/>
      <c r="D179" s="102"/>
      <c r="E179" s="102"/>
    </row>
    <row r="180" spans="1:5" ht="15.75" customHeight="1">
      <c r="A180" s="102"/>
      <c r="B180" s="102"/>
      <c r="C180" s="102"/>
      <c r="D180" s="102"/>
      <c r="E180" s="102"/>
    </row>
    <row r="181" spans="1:5" ht="15.75" customHeight="1">
      <c r="A181" s="102"/>
      <c r="B181" s="102"/>
      <c r="C181" s="102"/>
      <c r="D181" s="102"/>
      <c r="E181" s="102"/>
    </row>
    <row r="182" spans="1:5" ht="15.75" customHeight="1">
      <c r="A182" s="102"/>
      <c r="B182" s="102"/>
      <c r="C182" s="102"/>
      <c r="D182" s="102"/>
      <c r="E182" s="102"/>
    </row>
    <row r="183" spans="1:5" ht="15.75" customHeight="1">
      <c r="A183" s="102"/>
      <c r="B183" s="102"/>
      <c r="C183" s="102"/>
      <c r="D183" s="102"/>
      <c r="E183" s="102"/>
    </row>
    <row r="184" spans="1:5" ht="15.75" customHeight="1">
      <c r="A184" s="102"/>
      <c r="B184" s="102"/>
      <c r="C184" s="102"/>
      <c r="D184" s="102"/>
      <c r="E184" s="102"/>
    </row>
    <row r="185" spans="1:5" ht="15.75" customHeight="1">
      <c r="A185" s="102"/>
      <c r="B185" s="102"/>
      <c r="C185" s="102"/>
      <c r="D185" s="102"/>
      <c r="E185" s="102"/>
    </row>
    <row r="186" spans="1:5" ht="15.75" customHeight="1">
      <c r="A186" s="102"/>
      <c r="B186" s="102"/>
      <c r="C186" s="102"/>
      <c r="D186" s="102"/>
      <c r="E186" s="102"/>
    </row>
    <row r="187" spans="1:5" ht="15.75" customHeight="1">
      <c r="A187" s="102"/>
      <c r="B187" s="102"/>
      <c r="C187" s="102"/>
      <c r="D187" s="102"/>
      <c r="E187" s="102"/>
    </row>
    <row r="188" spans="1:5" ht="15.75" customHeight="1">
      <c r="A188" s="102"/>
      <c r="B188" s="102"/>
      <c r="C188" s="102"/>
      <c r="D188" s="102"/>
      <c r="E188" s="102"/>
    </row>
    <row r="189" spans="1:5" ht="15.75" customHeight="1">
      <c r="A189" s="102"/>
      <c r="B189" s="102"/>
      <c r="C189" s="102"/>
      <c r="D189" s="102"/>
      <c r="E189" s="102"/>
    </row>
    <row r="190" spans="1:5" ht="15.75" customHeight="1">
      <c r="A190" s="102"/>
      <c r="B190" s="102"/>
      <c r="C190" s="102"/>
      <c r="D190" s="102"/>
      <c r="E190" s="102"/>
    </row>
    <row r="191" spans="1:5" ht="15.75" customHeight="1">
      <c r="A191" s="102"/>
      <c r="B191" s="102"/>
      <c r="C191" s="102"/>
      <c r="D191" s="102"/>
      <c r="E191" s="102"/>
    </row>
    <row r="192" spans="1:5" ht="15.75" customHeight="1">
      <c r="A192" s="102"/>
      <c r="B192" s="102"/>
      <c r="C192" s="102"/>
      <c r="D192" s="102"/>
      <c r="E192" s="102"/>
    </row>
    <row r="193" spans="1:5" ht="15.75" customHeight="1">
      <c r="A193" s="102"/>
      <c r="B193" s="102"/>
      <c r="C193" s="102"/>
      <c r="D193" s="102"/>
      <c r="E193" s="102"/>
    </row>
    <row r="194" spans="1:5" ht="15.75" customHeight="1">
      <c r="A194" s="102"/>
      <c r="B194" s="102"/>
      <c r="C194" s="102"/>
      <c r="D194" s="102"/>
      <c r="E194" s="102"/>
    </row>
    <row r="195" spans="1:5" ht="15.75" customHeight="1">
      <c r="A195" s="102"/>
      <c r="B195" s="102"/>
      <c r="C195" s="102"/>
      <c r="D195" s="102"/>
      <c r="E195" s="102"/>
    </row>
    <row r="196" spans="1:5" ht="15.75" customHeight="1">
      <c r="A196" s="102"/>
      <c r="B196" s="102"/>
      <c r="C196" s="102"/>
      <c r="D196" s="102"/>
      <c r="E196" s="102"/>
    </row>
    <row r="197" spans="1:5" ht="15.75" customHeight="1">
      <c r="A197" s="102"/>
      <c r="B197" s="102"/>
      <c r="C197" s="102"/>
      <c r="D197" s="102"/>
      <c r="E197" s="102"/>
    </row>
    <row r="198" spans="1:5" ht="15.75" customHeight="1">
      <c r="A198" s="102"/>
      <c r="B198" s="102"/>
      <c r="C198" s="102"/>
      <c r="D198" s="102"/>
      <c r="E198" s="102"/>
    </row>
    <row r="199" spans="1:5" ht="15.75" customHeight="1">
      <c r="A199" s="102"/>
      <c r="B199" s="102"/>
      <c r="C199" s="102"/>
      <c r="D199" s="102"/>
      <c r="E199" s="102"/>
    </row>
    <row r="200" spans="1:5" ht="15.75" customHeight="1">
      <c r="A200" s="102"/>
      <c r="B200" s="102"/>
      <c r="C200" s="102"/>
      <c r="D200" s="102"/>
      <c r="E200" s="102"/>
    </row>
    <row r="201" spans="1:5" ht="15.75" customHeight="1">
      <c r="A201" s="102"/>
      <c r="B201" s="102"/>
      <c r="C201" s="102"/>
      <c r="D201" s="102"/>
      <c r="E201" s="102"/>
    </row>
    <row r="202" spans="1:5" ht="15.75" customHeight="1">
      <c r="A202" s="102"/>
      <c r="B202" s="102"/>
      <c r="C202" s="102"/>
      <c r="D202" s="102"/>
      <c r="E202" s="102"/>
    </row>
    <row r="203" spans="1:5" ht="15.75" customHeight="1">
      <c r="A203" s="102"/>
      <c r="B203" s="102"/>
      <c r="C203" s="102"/>
      <c r="D203" s="102"/>
      <c r="E203" s="102"/>
    </row>
    <row r="204" spans="1:5" ht="15.75" customHeight="1">
      <c r="A204" s="102"/>
      <c r="B204" s="102"/>
      <c r="C204" s="102"/>
      <c r="D204" s="102"/>
      <c r="E204" s="102"/>
    </row>
    <row r="205" spans="1:5" ht="15.75" customHeight="1">
      <c r="A205" s="102"/>
      <c r="B205" s="102"/>
      <c r="C205" s="102"/>
      <c r="D205" s="102"/>
      <c r="E205" s="102"/>
    </row>
    <row r="206" spans="1:5" ht="15.75" customHeight="1">
      <c r="A206" s="102"/>
      <c r="B206" s="102"/>
      <c r="C206" s="102"/>
      <c r="D206" s="102"/>
      <c r="E206" s="102"/>
    </row>
    <row r="207" spans="1:5" ht="15.75" customHeight="1">
      <c r="A207" s="102"/>
      <c r="B207" s="102"/>
      <c r="C207" s="102"/>
      <c r="D207" s="102"/>
      <c r="E207" s="102"/>
    </row>
    <row r="208" spans="1:5" ht="15.75" customHeight="1">
      <c r="A208" s="102"/>
      <c r="B208" s="102"/>
      <c r="C208" s="102"/>
      <c r="D208" s="102"/>
      <c r="E208" s="102"/>
    </row>
    <row r="209" spans="1:5" ht="15.75" customHeight="1">
      <c r="A209" s="102"/>
      <c r="B209" s="102"/>
      <c r="C209" s="102"/>
      <c r="D209" s="102"/>
      <c r="E209" s="102"/>
    </row>
    <row r="210" spans="1:5" ht="15.75" customHeight="1">
      <c r="A210" s="102"/>
      <c r="B210" s="102"/>
      <c r="C210" s="102"/>
      <c r="D210" s="102"/>
      <c r="E210" s="102"/>
    </row>
    <row r="211" spans="1:5" ht="15.75" customHeight="1">
      <c r="A211" s="102"/>
      <c r="B211" s="102"/>
      <c r="C211" s="102"/>
      <c r="D211" s="102"/>
      <c r="E211" s="102"/>
    </row>
    <row r="212" spans="1:5" ht="15.75" customHeight="1">
      <c r="A212" s="102"/>
      <c r="B212" s="102"/>
      <c r="C212" s="102"/>
      <c r="D212" s="102"/>
      <c r="E212" s="102"/>
    </row>
    <row r="213" spans="1:5" ht="15.75" customHeight="1">
      <c r="A213" s="102"/>
      <c r="B213" s="102"/>
      <c r="C213" s="102"/>
      <c r="D213" s="102"/>
      <c r="E213" s="102"/>
    </row>
    <row r="214" spans="1:5" ht="15.75" customHeight="1">
      <c r="A214" s="102"/>
      <c r="B214" s="102"/>
      <c r="C214" s="102"/>
      <c r="D214" s="102"/>
      <c r="E214" s="102"/>
    </row>
    <row r="215" spans="1:5" ht="15.75" customHeight="1">
      <c r="A215" s="102"/>
      <c r="B215" s="102"/>
      <c r="C215" s="102"/>
      <c r="D215" s="102"/>
      <c r="E215" s="102"/>
    </row>
    <row r="216" spans="1:5" ht="15.75" customHeight="1">
      <c r="A216" s="102"/>
      <c r="B216" s="102"/>
      <c r="C216" s="102"/>
      <c r="D216" s="102"/>
      <c r="E216" s="102"/>
    </row>
    <row r="217" spans="1:5" ht="15.75" customHeight="1">
      <c r="A217" s="102"/>
      <c r="B217" s="102"/>
      <c r="C217" s="102"/>
      <c r="D217" s="102"/>
      <c r="E217" s="102"/>
    </row>
    <row r="218" spans="1:5" ht="15.75" customHeight="1">
      <c r="A218" s="102"/>
      <c r="B218" s="102"/>
      <c r="C218" s="102"/>
      <c r="D218" s="102"/>
      <c r="E218" s="102"/>
    </row>
    <row r="219" spans="1:5" ht="15.75" customHeight="1">
      <c r="A219" s="102"/>
      <c r="B219" s="102"/>
      <c r="C219" s="102"/>
      <c r="D219" s="102"/>
      <c r="E219" s="102"/>
    </row>
    <row r="220" spans="1:5" ht="15.75" customHeight="1">
      <c r="A220" s="102"/>
      <c r="B220" s="102"/>
      <c r="C220" s="102"/>
      <c r="D220" s="102"/>
      <c r="E220" s="102"/>
    </row>
    <row r="221" spans="1:5" ht="15.75" customHeight="1">
      <c r="A221" s="102"/>
      <c r="B221" s="102"/>
      <c r="C221" s="102"/>
      <c r="D221" s="102"/>
      <c r="E221" s="102"/>
    </row>
    <row r="222" spans="1:5" ht="15.75" customHeight="1">
      <c r="A222" s="102"/>
      <c r="B222" s="102"/>
      <c r="C222" s="102"/>
      <c r="D222" s="102"/>
      <c r="E222" s="102"/>
    </row>
    <row r="223" spans="1:5" ht="15.75" customHeight="1">
      <c r="A223" s="102"/>
      <c r="B223" s="102"/>
      <c r="C223" s="102"/>
      <c r="D223" s="102"/>
      <c r="E223" s="102"/>
    </row>
    <row r="224" spans="1:5" ht="15.75" customHeight="1">
      <c r="A224" s="102"/>
      <c r="B224" s="102"/>
      <c r="C224" s="102"/>
      <c r="D224" s="102"/>
      <c r="E224" s="102"/>
    </row>
    <row r="225" spans="1:5" ht="15.75" customHeight="1">
      <c r="A225" s="102"/>
      <c r="B225" s="102"/>
      <c r="C225" s="102"/>
      <c r="D225" s="102"/>
      <c r="E225" s="102"/>
    </row>
    <row r="226" spans="1:5" ht="15.75" customHeight="1">
      <c r="A226" s="102"/>
      <c r="B226" s="102"/>
      <c r="C226" s="102"/>
      <c r="D226" s="102"/>
      <c r="E226" s="102"/>
    </row>
    <row r="227" spans="1:5" ht="15.75" customHeight="1">
      <c r="A227" s="102"/>
      <c r="B227" s="102"/>
      <c r="C227" s="102"/>
      <c r="D227" s="102"/>
      <c r="E227" s="102"/>
    </row>
    <row r="228" spans="1:5" ht="15.75" customHeight="1">
      <c r="A228" s="102"/>
      <c r="B228" s="102"/>
      <c r="C228" s="102"/>
      <c r="D228" s="102"/>
      <c r="E228" s="102"/>
    </row>
    <row r="229" spans="1:5" ht="15.75" customHeight="1">
      <c r="A229" s="102"/>
      <c r="B229" s="102"/>
      <c r="C229" s="102"/>
      <c r="D229" s="102"/>
      <c r="E229" s="102"/>
    </row>
    <row r="230" spans="1:5" ht="15.75" customHeight="1">
      <c r="A230" s="102"/>
      <c r="B230" s="102"/>
      <c r="C230" s="102"/>
      <c r="D230" s="102"/>
      <c r="E230" s="102"/>
    </row>
    <row r="231" spans="1:5" ht="15.75" customHeight="1">
      <c r="A231" s="102"/>
      <c r="B231" s="102"/>
      <c r="C231" s="102"/>
      <c r="D231" s="102"/>
      <c r="E231" s="102"/>
    </row>
    <row r="232" spans="1:5" ht="15.75" customHeight="1">
      <c r="A232" s="102"/>
      <c r="B232" s="102"/>
      <c r="C232" s="102"/>
      <c r="D232" s="102"/>
      <c r="E232" s="102"/>
    </row>
    <row r="233" spans="1:5" ht="15.75" customHeight="1">
      <c r="A233" s="102"/>
      <c r="B233" s="102"/>
      <c r="C233" s="102"/>
      <c r="D233" s="102"/>
      <c r="E233" s="102"/>
    </row>
    <row r="234" spans="1:5" ht="15.75" customHeight="1">
      <c r="A234" s="102"/>
      <c r="B234" s="102"/>
      <c r="C234" s="102"/>
      <c r="D234" s="102"/>
      <c r="E234" s="102"/>
    </row>
    <row r="235" spans="1:5" ht="15.75" customHeight="1">
      <c r="A235" s="102"/>
      <c r="B235" s="102"/>
      <c r="C235" s="102"/>
      <c r="D235" s="102"/>
      <c r="E235" s="102"/>
    </row>
    <row r="236" spans="1:5" ht="15.75" customHeight="1">
      <c r="A236" s="102"/>
      <c r="B236" s="102"/>
      <c r="C236" s="102"/>
      <c r="D236" s="102"/>
      <c r="E236" s="102"/>
    </row>
    <row r="237" spans="1:5" ht="15.75" customHeight="1">
      <c r="A237" s="102"/>
      <c r="B237" s="102"/>
      <c r="C237" s="102"/>
      <c r="D237" s="102"/>
      <c r="E237" s="102"/>
    </row>
    <row r="238" spans="1:5" ht="15.75" customHeight="1">
      <c r="A238" s="102"/>
      <c r="B238" s="102"/>
      <c r="C238" s="102"/>
      <c r="D238" s="102"/>
      <c r="E238" s="102"/>
    </row>
    <row r="239" spans="1:5" ht="15.75" customHeight="1">
      <c r="A239" s="102"/>
      <c r="B239" s="102"/>
      <c r="C239" s="102"/>
      <c r="D239" s="102"/>
      <c r="E239" s="102"/>
    </row>
    <row r="240" spans="1:5" ht="15.75" customHeight="1">
      <c r="A240" s="102"/>
      <c r="B240" s="102"/>
      <c r="C240" s="102"/>
      <c r="D240" s="102"/>
      <c r="E240" s="102"/>
    </row>
    <row r="241" spans="1:5" ht="15.75" customHeight="1">
      <c r="A241" s="102"/>
      <c r="B241" s="102"/>
      <c r="C241" s="102"/>
      <c r="D241" s="102"/>
      <c r="E241" s="102"/>
    </row>
    <row r="242" spans="1:5" ht="15.75" customHeight="1">
      <c r="A242" s="102"/>
      <c r="B242" s="102"/>
      <c r="C242" s="102"/>
      <c r="D242" s="102"/>
      <c r="E242" s="102"/>
    </row>
    <row r="243" spans="1:5" ht="15.75" customHeight="1">
      <c r="A243" s="102"/>
      <c r="B243" s="102"/>
      <c r="C243" s="102"/>
      <c r="D243" s="102"/>
      <c r="E243" s="102"/>
    </row>
    <row r="244" spans="1:5" ht="15.75" customHeight="1">
      <c r="A244" s="102"/>
      <c r="B244" s="102"/>
      <c r="C244" s="102"/>
      <c r="D244" s="102"/>
      <c r="E244" s="102"/>
    </row>
    <row r="245" spans="1:5" ht="15.75" customHeight="1">
      <c r="A245" s="102"/>
      <c r="B245" s="102"/>
      <c r="C245" s="102"/>
      <c r="D245" s="102"/>
      <c r="E245" s="102"/>
    </row>
    <row r="246" spans="1:5" ht="15.75" customHeight="1">
      <c r="A246" s="102"/>
      <c r="B246" s="102"/>
      <c r="C246" s="102"/>
      <c r="D246" s="102"/>
      <c r="E246" s="102"/>
    </row>
    <row r="247" spans="1:5" ht="15.75" customHeight="1">
      <c r="A247" s="102"/>
      <c r="B247" s="102"/>
      <c r="C247" s="102"/>
      <c r="D247" s="102"/>
      <c r="E247" s="102"/>
    </row>
    <row r="248" spans="1:5" ht="15.75" customHeight="1">
      <c r="A248" s="102"/>
      <c r="B248" s="102"/>
      <c r="C248" s="102"/>
      <c r="D248" s="102"/>
      <c r="E248" s="102"/>
    </row>
    <row r="249" spans="1:5" ht="15.75" customHeight="1">
      <c r="A249" s="102"/>
      <c r="B249" s="102"/>
      <c r="C249" s="102"/>
      <c r="D249" s="102"/>
      <c r="E249" s="102"/>
    </row>
    <row r="250" spans="1:5" ht="15.75" customHeight="1">
      <c r="A250" s="102"/>
      <c r="B250" s="102"/>
      <c r="C250" s="102"/>
      <c r="D250" s="102"/>
      <c r="E250" s="102"/>
    </row>
    <row r="251" spans="1:5" ht="15.75" customHeight="1">
      <c r="A251" s="102"/>
      <c r="B251" s="102"/>
      <c r="C251" s="102"/>
      <c r="D251" s="102"/>
      <c r="E251" s="102"/>
    </row>
    <row r="252" spans="1:5" ht="15.75" customHeight="1">
      <c r="A252" s="102"/>
      <c r="B252" s="102"/>
      <c r="C252" s="102"/>
      <c r="D252" s="102"/>
      <c r="E252" s="102"/>
    </row>
    <row r="253" spans="1:5" ht="15.75" customHeight="1">
      <c r="A253" s="102"/>
      <c r="B253" s="102"/>
      <c r="C253" s="102"/>
      <c r="D253" s="102"/>
      <c r="E253" s="102"/>
    </row>
    <row r="254" spans="1:5" ht="15.75" customHeight="1">
      <c r="A254" s="102"/>
      <c r="B254" s="102"/>
      <c r="C254" s="102"/>
      <c r="D254" s="102"/>
      <c r="E254" s="102"/>
    </row>
    <row r="255" spans="1:5" ht="15.75" customHeight="1">
      <c r="A255" s="102"/>
      <c r="B255" s="102"/>
      <c r="C255" s="102"/>
      <c r="D255" s="102"/>
      <c r="E255" s="102"/>
    </row>
    <row r="256" spans="1:5" ht="15.75" customHeight="1">
      <c r="A256" s="102"/>
      <c r="B256" s="102"/>
      <c r="C256" s="102"/>
      <c r="D256" s="102"/>
      <c r="E256" s="102"/>
    </row>
    <row r="257" spans="1:5" ht="15.75" customHeight="1">
      <c r="A257" s="102"/>
      <c r="B257" s="102"/>
      <c r="C257" s="102"/>
      <c r="D257" s="102"/>
      <c r="E257" s="102"/>
    </row>
    <row r="258" spans="1:5" ht="15.75" customHeight="1">
      <c r="A258" s="102"/>
      <c r="B258" s="102"/>
      <c r="C258" s="102"/>
      <c r="D258" s="102"/>
      <c r="E258" s="102"/>
    </row>
    <row r="259" spans="1:5" ht="15.75" customHeight="1">
      <c r="A259" s="102"/>
      <c r="B259" s="102"/>
      <c r="C259" s="102"/>
      <c r="D259" s="102"/>
      <c r="E259" s="102"/>
    </row>
    <row r="260" spans="1:5" ht="15.75" customHeight="1">
      <c r="A260" s="102"/>
      <c r="B260" s="102"/>
      <c r="C260" s="102"/>
      <c r="D260" s="102"/>
      <c r="E260" s="102"/>
    </row>
    <row r="261" spans="1:5" ht="15.75" customHeight="1">
      <c r="A261" s="102"/>
      <c r="B261" s="102"/>
      <c r="C261" s="102"/>
      <c r="D261" s="102"/>
      <c r="E261" s="102"/>
    </row>
    <row r="262" spans="1:5" ht="15.75" customHeight="1">
      <c r="A262" s="102"/>
      <c r="B262" s="102"/>
      <c r="C262" s="102"/>
      <c r="D262" s="102"/>
      <c r="E262" s="102"/>
    </row>
    <row r="263" spans="1:5" ht="15.75" customHeight="1">
      <c r="A263" s="102"/>
      <c r="B263" s="102"/>
      <c r="C263" s="102"/>
      <c r="D263" s="102"/>
      <c r="E263" s="102"/>
    </row>
    <row r="264" spans="1:5" ht="15.75" customHeight="1">
      <c r="A264" s="102"/>
      <c r="B264" s="102"/>
      <c r="C264" s="102"/>
      <c r="D264" s="102"/>
      <c r="E264" s="102"/>
    </row>
    <row r="265" spans="1:5" ht="15.75" customHeight="1">
      <c r="A265" s="102"/>
      <c r="B265" s="102"/>
      <c r="C265" s="102"/>
      <c r="D265" s="102"/>
      <c r="E265" s="102"/>
    </row>
    <row r="266" spans="1:5" ht="15.75" customHeight="1">
      <c r="A266" s="102"/>
      <c r="B266" s="102"/>
      <c r="C266" s="102"/>
      <c r="D266" s="102"/>
      <c r="E266" s="102"/>
    </row>
    <row r="267" spans="1:5" ht="15.75" customHeight="1">
      <c r="A267" s="102"/>
      <c r="B267" s="102"/>
      <c r="C267" s="102"/>
      <c r="D267" s="102"/>
      <c r="E267" s="102"/>
    </row>
    <row r="268" spans="1:5" ht="15.75" customHeight="1">
      <c r="A268" s="102"/>
      <c r="B268" s="102"/>
      <c r="C268" s="102"/>
      <c r="D268" s="102"/>
      <c r="E268" s="102"/>
    </row>
    <row r="269" spans="1:5" ht="15.75" customHeight="1">
      <c r="A269" s="102"/>
      <c r="B269" s="102"/>
      <c r="C269" s="102"/>
      <c r="D269" s="102"/>
      <c r="E269" s="102"/>
    </row>
    <row r="270" spans="1:5" ht="15.75" customHeight="1">
      <c r="A270" s="102"/>
      <c r="B270" s="102"/>
      <c r="C270" s="102"/>
      <c r="D270" s="102"/>
      <c r="E270" s="102"/>
    </row>
    <row r="271" spans="1:5" ht="15.75" customHeight="1">
      <c r="A271" s="102"/>
      <c r="B271" s="102"/>
      <c r="C271" s="102"/>
      <c r="D271" s="102"/>
      <c r="E271" s="102"/>
    </row>
    <row r="272" spans="1:5" ht="15.75" customHeight="1">
      <c r="A272" s="102"/>
      <c r="B272" s="102"/>
      <c r="C272" s="102"/>
      <c r="D272" s="102"/>
      <c r="E272" s="102"/>
    </row>
    <row r="273" spans="1:5" ht="15.75" customHeight="1">
      <c r="A273" s="102"/>
      <c r="B273" s="102"/>
      <c r="C273" s="102"/>
      <c r="D273" s="102"/>
      <c r="E273" s="102"/>
    </row>
    <row r="274" spans="1:5" ht="15.75" customHeight="1">
      <c r="A274" s="102"/>
      <c r="B274" s="102"/>
      <c r="C274" s="102"/>
      <c r="D274" s="102"/>
      <c r="E274" s="102"/>
    </row>
    <row r="275" spans="1:5" ht="15.75" customHeight="1">
      <c r="A275" s="102"/>
      <c r="B275" s="102"/>
      <c r="C275" s="102"/>
      <c r="D275" s="102"/>
      <c r="E275" s="102"/>
    </row>
    <row r="276" spans="1:5" ht="15.75" customHeight="1">
      <c r="A276" s="102"/>
      <c r="B276" s="102"/>
      <c r="C276" s="102"/>
      <c r="D276" s="102"/>
      <c r="E276" s="102"/>
    </row>
    <row r="277" spans="1:5" ht="15.75" customHeight="1">
      <c r="A277" s="102"/>
      <c r="B277" s="102"/>
      <c r="C277" s="102"/>
      <c r="D277" s="102"/>
      <c r="E277" s="102"/>
    </row>
    <row r="278" spans="1:5" ht="15.75" customHeight="1">
      <c r="A278" s="102"/>
      <c r="B278" s="102"/>
      <c r="C278" s="102"/>
      <c r="D278" s="102"/>
      <c r="E278" s="102"/>
    </row>
    <row r="279" spans="1:5" ht="15.75" customHeight="1">
      <c r="A279" s="102"/>
      <c r="B279" s="102"/>
      <c r="C279" s="102"/>
      <c r="D279" s="102"/>
      <c r="E279" s="102"/>
    </row>
    <row r="280" spans="1:5" ht="15.75" customHeight="1">
      <c r="A280" s="102"/>
      <c r="B280" s="102"/>
      <c r="C280" s="102"/>
      <c r="D280" s="102"/>
      <c r="E280" s="102"/>
    </row>
    <row r="281" spans="1:5" ht="15.75" customHeight="1">
      <c r="A281" s="102"/>
      <c r="B281" s="102"/>
      <c r="C281" s="102"/>
      <c r="D281" s="102"/>
      <c r="E281" s="102"/>
    </row>
    <row r="282" spans="1:5" ht="15.75" customHeight="1">
      <c r="A282" s="102"/>
      <c r="B282" s="102"/>
      <c r="C282" s="102"/>
      <c r="D282" s="102"/>
      <c r="E282" s="102"/>
    </row>
    <row r="283" spans="1:5" ht="15.75" customHeight="1">
      <c r="A283" s="102"/>
      <c r="B283" s="102"/>
      <c r="C283" s="102"/>
      <c r="D283" s="102"/>
      <c r="E283" s="102"/>
    </row>
    <row r="284" spans="1:5" ht="15.75" customHeight="1">
      <c r="A284" s="102"/>
      <c r="B284" s="102"/>
      <c r="C284" s="102"/>
      <c r="D284" s="102"/>
      <c r="E284" s="102"/>
    </row>
    <row r="285" spans="1:5" ht="15.75" customHeight="1">
      <c r="A285" s="102"/>
      <c r="B285" s="102"/>
      <c r="C285" s="102"/>
      <c r="D285" s="102"/>
      <c r="E285" s="102"/>
    </row>
    <row r="286" spans="1:5" ht="15.75" customHeight="1">
      <c r="A286" s="102"/>
      <c r="B286" s="102"/>
      <c r="C286" s="102"/>
      <c r="D286" s="102"/>
      <c r="E286" s="102"/>
    </row>
    <row r="287" spans="1:5" ht="15.75" customHeight="1">
      <c r="A287" s="102"/>
      <c r="B287" s="102"/>
      <c r="C287" s="102"/>
      <c r="D287" s="102"/>
      <c r="E287" s="102"/>
    </row>
    <row r="288" spans="1:5" ht="15.75" customHeight="1">
      <c r="A288" s="102"/>
      <c r="B288" s="102"/>
      <c r="C288" s="102"/>
      <c r="D288" s="102"/>
      <c r="E288" s="102"/>
    </row>
    <row r="289" spans="1:5" ht="15.75" customHeight="1">
      <c r="A289" s="102"/>
      <c r="B289" s="102"/>
      <c r="C289" s="102"/>
      <c r="D289" s="102"/>
      <c r="E289" s="102"/>
    </row>
    <row r="290" spans="1:5" ht="15.75" customHeight="1">
      <c r="A290" s="102"/>
      <c r="B290" s="102"/>
      <c r="C290" s="102"/>
      <c r="D290" s="102"/>
      <c r="E290" s="102"/>
    </row>
    <row r="291" spans="1:5" ht="15.75" customHeight="1">
      <c r="A291" s="102"/>
      <c r="B291" s="102"/>
      <c r="C291" s="102"/>
      <c r="D291" s="102"/>
      <c r="E291" s="102"/>
    </row>
    <row r="292" spans="1:5" ht="15.75" customHeight="1">
      <c r="A292" s="102"/>
      <c r="B292" s="102"/>
      <c r="C292" s="102"/>
      <c r="D292" s="102"/>
      <c r="E292" s="102"/>
    </row>
    <row r="293" spans="1:5" ht="15.75" customHeight="1">
      <c r="A293" s="102"/>
      <c r="B293" s="102"/>
      <c r="C293" s="102"/>
      <c r="D293" s="102"/>
      <c r="E293" s="102"/>
    </row>
    <row r="294" spans="1:5" ht="15.75" customHeight="1">
      <c r="A294" s="102"/>
      <c r="B294" s="102"/>
      <c r="C294" s="102"/>
      <c r="D294" s="102"/>
      <c r="E294" s="102"/>
    </row>
    <row r="295" spans="1:5" ht="15.75" customHeight="1">
      <c r="A295" s="102"/>
      <c r="B295" s="102"/>
      <c r="C295" s="102"/>
      <c r="D295" s="102"/>
      <c r="E295" s="102"/>
    </row>
    <row r="296" spans="1:5" ht="15.75" customHeight="1">
      <c r="A296" s="102"/>
      <c r="B296" s="102"/>
      <c r="C296" s="102"/>
      <c r="D296" s="102"/>
      <c r="E296" s="102"/>
    </row>
    <row r="297" spans="1:5" ht="15.75" customHeight="1">
      <c r="A297" s="102"/>
      <c r="B297" s="102"/>
      <c r="C297" s="102"/>
      <c r="D297" s="102"/>
      <c r="E297" s="102"/>
    </row>
    <row r="298" spans="1:5" ht="15.75" customHeight="1">
      <c r="A298" s="102"/>
      <c r="B298" s="102"/>
      <c r="C298" s="102"/>
      <c r="D298" s="102"/>
      <c r="E298" s="102"/>
    </row>
    <row r="299" spans="1:5" ht="15.75" customHeight="1">
      <c r="A299" s="102"/>
      <c r="B299" s="102"/>
      <c r="C299" s="102"/>
      <c r="D299" s="102"/>
      <c r="E299" s="102"/>
    </row>
    <row r="300" spans="1:5" ht="15.75" customHeight="1">
      <c r="A300" s="102"/>
      <c r="B300" s="102"/>
      <c r="C300" s="102"/>
      <c r="D300" s="102"/>
      <c r="E300" s="102"/>
    </row>
    <row r="301" spans="1:5" ht="15.75" customHeight="1">
      <c r="A301" s="102"/>
      <c r="B301" s="102"/>
      <c r="C301" s="102"/>
      <c r="D301" s="102"/>
      <c r="E301" s="102"/>
    </row>
    <row r="302" spans="1:5" ht="15.75" customHeight="1">
      <c r="A302" s="102"/>
      <c r="B302" s="102"/>
      <c r="C302" s="102"/>
      <c r="D302" s="102"/>
      <c r="E302" s="102"/>
    </row>
    <row r="303" spans="1:5" ht="15.75" customHeight="1">
      <c r="A303" s="102"/>
      <c r="B303" s="102"/>
      <c r="C303" s="102"/>
      <c r="D303" s="102"/>
      <c r="E303" s="102"/>
    </row>
    <row r="304" spans="1:5" ht="15.75" customHeight="1">
      <c r="A304" s="102"/>
      <c r="B304" s="102"/>
      <c r="C304" s="102"/>
      <c r="D304" s="102"/>
      <c r="E304" s="102"/>
    </row>
    <row r="305" spans="1:5" ht="15.75" customHeight="1">
      <c r="A305" s="102"/>
      <c r="B305" s="102"/>
      <c r="C305" s="102"/>
      <c r="D305" s="102"/>
      <c r="E305" s="102"/>
    </row>
    <row r="306" spans="1:5" ht="15.75" customHeight="1">
      <c r="A306" s="102"/>
      <c r="B306" s="102"/>
      <c r="C306" s="102"/>
      <c r="D306" s="102"/>
      <c r="E306" s="102"/>
    </row>
    <row r="307" spans="1:5" ht="15.75" customHeight="1">
      <c r="A307" s="102"/>
      <c r="B307" s="102"/>
      <c r="C307" s="102"/>
      <c r="D307" s="102"/>
      <c r="E307" s="102"/>
    </row>
    <row r="308" spans="1:5" ht="15.75" customHeight="1">
      <c r="A308" s="102"/>
      <c r="B308" s="102"/>
      <c r="C308" s="102"/>
      <c r="D308" s="102"/>
      <c r="E308" s="102"/>
    </row>
    <row r="309" spans="1:5" ht="15.75" customHeight="1">
      <c r="A309" s="102"/>
      <c r="B309" s="102"/>
      <c r="C309" s="102"/>
      <c r="D309" s="102"/>
      <c r="E309" s="102"/>
    </row>
    <row r="310" spans="1:5" ht="15.75" customHeight="1">
      <c r="A310" s="102"/>
      <c r="B310" s="102"/>
      <c r="C310" s="102"/>
      <c r="D310" s="102"/>
      <c r="E310" s="102"/>
    </row>
    <row r="311" spans="1:5" ht="15.75" customHeight="1">
      <c r="A311" s="102"/>
      <c r="B311" s="102"/>
      <c r="C311" s="102"/>
      <c r="D311" s="102"/>
      <c r="E311" s="102"/>
    </row>
    <row r="312" spans="1:5" ht="15.75" customHeight="1">
      <c r="A312" s="102"/>
      <c r="B312" s="102"/>
      <c r="C312" s="102"/>
      <c r="D312" s="102"/>
      <c r="E312" s="102"/>
    </row>
    <row r="313" spans="1:5" ht="15.75" customHeight="1">
      <c r="A313" s="102"/>
      <c r="B313" s="102"/>
      <c r="C313" s="102"/>
      <c r="D313" s="102"/>
      <c r="E313" s="102"/>
    </row>
    <row r="314" spans="1:5" ht="15.75" customHeight="1">
      <c r="A314" s="102"/>
      <c r="B314" s="102"/>
      <c r="C314" s="102"/>
      <c r="D314" s="102"/>
      <c r="E314" s="102"/>
    </row>
    <row r="315" spans="1:5" ht="15.75" customHeight="1">
      <c r="A315" s="102"/>
      <c r="B315" s="102"/>
      <c r="C315" s="102"/>
      <c r="D315" s="102"/>
      <c r="E315" s="102"/>
    </row>
    <row r="316" spans="1:5" ht="15.75" customHeight="1">
      <c r="A316" s="102"/>
      <c r="B316" s="102"/>
      <c r="C316" s="102"/>
      <c r="D316" s="102"/>
      <c r="E316" s="102"/>
    </row>
    <row r="317" spans="1:5" ht="15.75" customHeight="1">
      <c r="A317" s="102"/>
      <c r="B317" s="102"/>
      <c r="C317" s="102"/>
      <c r="D317" s="102"/>
      <c r="E317" s="102"/>
    </row>
    <row r="318" spans="1:5" ht="15.75" customHeight="1">
      <c r="A318" s="102"/>
      <c r="B318" s="102"/>
      <c r="C318" s="102"/>
      <c r="D318" s="102"/>
      <c r="E318" s="102"/>
    </row>
    <row r="319" spans="1:5" ht="15.75" customHeight="1">
      <c r="A319" s="102"/>
      <c r="B319" s="102"/>
      <c r="C319" s="102"/>
      <c r="D319" s="102"/>
      <c r="E319" s="102"/>
    </row>
    <row r="320" spans="1:5" ht="15.75" customHeight="1">
      <c r="A320" s="102"/>
      <c r="B320" s="102"/>
      <c r="C320" s="102"/>
      <c r="D320" s="102"/>
      <c r="E320" s="102"/>
    </row>
    <row r="321" spans="1:5" ht="15.75" customHeight="1">
      <c r="A321" s="102"/>
      <c r="B321" s="102"/>
      <c r="C321" s="102"/>
      <c r="D321" s="102"/>
      <c r="E321" s="102"/>
    </row>
    <row r="322" spans="1:5" ht="15.75" customHeight="1">
      <c r="A322" s="102"/>
      <c r="B322" s="102"/>
      <c r="C322" s="102"/>
      <c r="D322" s="102"/>
      <c r="E322" s="102"/>
    </row>
    <row r="323" spans="1:5" ht="15.75" customHeight="1">
      <c r="A323" s="102"/>
      <c r="B323" s="102"/>
      <c r="C323" s="102"/>
      <c r="D323" s="102"/>
      <c r="E323" s="102"/>
    </row>
    <row r="324" spans="1:5" ht="15.75" customHeight="1">
      <c r="A324" s="102"/>
      <c r="B324" s="102"/>
      <c r="C324" s="102"/>
      <c r="D324" s="102"/>
      <c r="E324" s="102"/>
    </row>
    <row r="325" spans="1:5" ht="15.75" customHeight="1">
      <c r="A325" s="102"/>
      <c r="B325" s="102"/>
      <c r="C325" s="102"/>
      <c r="D325" s="102"/>
      <c r="E325" s="102"/>
    </row>
    <row r="326" spans="1:5" ht="15.75" customHeight="1">
      <c r="A326" s="102"/>
      <c r="B326" s="102"/>
      <c r="C326" s="102"/>
      <c r="D326" s="102"/>
      <c r="E326" s="102"/>
    </row>
    <row r="327" spans="1:5" ht="15.75" customHeight="1">
      <c r="A327" s="102"/>
      <c r="B327" s="102"/>
      <c r="C327" s="102"/>
      <c r="D327" s="102"/>
      <c r="E327" s="102"/>
    </row>
    <row r="328" spans="1:5" ht="15.75" customHeight="1">
      <c r="A328" s="102"/>
      <c r="B328" s="102"/>
      <c r="C328" s="102"/>
      <c r="D328" s="102"/>
      <c r="E328" s="102"/>
    </row>
    <row r="329" spans="1:5" ht="15.75" customHeight="1">
      <c r="A329" s="102"/>
      <c r="B329" s="102"/>
      <c r="C329" s="102"/>
      <c r="D329" s="102"/>
      <c r="E329" s="102"/>
    </row>
    <row r="330" spans="1:5" ht="15.75" customHeight="1">
      <c r="A330" s="102"/>
      <c r="B330" s="102"/>
      <c r="C330" s="102"/>
      <c r="D330" s="102"/>
      <c r="E330" s="102"/>
    </row>
    <row r="331" spans="1:5" ht="15.75" customHeight="1">
      <c r="A331" s="102"/>
      <c r="B331" s="102"/>
      <c r="C331" s="102"/>
      <c r="D331" s="102"/>
      <c r="E331" s="102"/>
    </row>
    <row r="332" spans="1:5" ht="15.75" customHeight="1">
      <c r="A332" s="102"/>
      <c r="B332" s="102"/>
      <c r="C332" s="102"/>
      <c r="D332" s="102"/>
      <c r="E332" s="102"/>
    </row>
    <row r="333" spans="1:5" ht="15.75" customHeight="1">
      <c r="A333" s="102"/>
      <c r="B333" s="102"/>
      <c r="C333" s="102"/>
      <c r="D333" s="102"/>
      <c r="E333" s="102"/>
    </row>
    <row r="334" spans="1:5" ht="15.75" customHeight="1">
      <c r="A334" s="102"/>
      <c r="B334" s="102"/>
      <c r="C334" s="102"/>
      <c r="D334" s="102"/>
      <c r="E334" s="102"/>
    </row>
    <row r="335" spans="1:5" ht="15.75" customHeight="1">
      <c r="A335" s="102"/>
      <c r="B335" s="102"/>
      <c r="C335" s="102"/>
      <c r="D335" s="102"/>
      <c r="E335" s="102"/>
    </row>
    <row r="336" spans="1:5" ht="15.75" customHeight="1">
      <c r="A336" s="102"/>
      <c r="B336" s="102"/>
      <c r="C336" s="102"/>
      <c r="D336" s="102"/>
      <c r="E336" s="102"/>
    </row>
    <row r="337" spans="1:5" ht="15.75" customHeight="1">
      <c r="A337" s="102"/>
      <c r="B337" s="102"/>
      <c r="C337" s="102"/>
      <c r="D337" s="102"/>
      <c r="E337" s="102"/>
    </row>
    <row r="338" spans="1:5" ht="15.75" customHeight="1">
      <c r="A338" s="102"/>
      <c r="B338" s="102"/>
      <c r="C338" s="102"/>
      <c r="D338" s="102"/>
      <c r="E338" s="102"/>
    </row>
    <row r="339" spans="1:5" ht="15.75" customHeight="1">
      <c r="A339" s="102"/>
      <c r="B339" s="102"/>
      <c r="C339" s="102"/>
      <c r="D339" s="102"/>
      <c r="E339" s="102"/>
    </row>
    <row r="340" spans="1:5" ht="15.75" customHeight="1">
      <c r="A340" s="102"/>
      <c r="B340" s="102"/>
      <c r="C340" s="102"/>
      <c r="D340" s="102"/>
      <c r="E340" s="102"/>
    </row>
    <row r="341" spans="1:5" ht="15.75" customHeight="1">
      <c r="A341" s="102"/>
      <c r="B341" s="102"/>
      <c r="C341" s="102"/>
      <c r="D341" s="102"/>
      <c r="E341" s="102"/>
    </row>
    <row r="342" spans="1:5" ht="15.75" customHeight="1">
      <c r="A342" s="102"/>
      <c r="B342" s="102"/>
      <c r="C342" s="102"/>
      <c r="D342" s="102"/>
      <c r="E342" s="102"/>
    </row>
    <row r="343" spans="1:5" ht="15.75" customHeight="1">
      <c r="A343" s="102"/>
      <c r="B343" s="102"/>
      <c r="C343" s="102"/>
      <c r="D343" s="102"/>
      <c r="E343" s="102"/>
    </row>
    <row r="344" spans="1:5" ht="15.75" customHeight="1">
      <c r="A344" s="102"/>
      <c r="B344" s="102"/>
      <c r="C344" s="102"/>
      <c r="D344" s="102"/>
      <c r="E344" s="102"/>
    </row>
    <row r="345" spans="1:5" ht="15.75" customHeight="1">
      <c r="A345" s="102"/>
      <c r="B345" s="102"/>
      <c r="C345" s="102"/>
      <c r="D345" s="102"/>
      <c r="E345" s="102"/>
    </row>
    <row r="346" spans="1:5" ht="15.75" customHeight="1">
      <c r="A346" s="102"/>
      <c r="B346" s="102"/>
      <c r="C346" s="102"/>
      <c r="D346" s="102"/>
      <c r="E346" s="102"/>
    </row>
    <row r="347" spans="1:5" ht="15.75" customHeight="1">
      <c r="A347" s="102"/>
      <c r="B347" s="102"/>
      <c r="C347" s="102"/>
      <c r="D347" s="102"/>
      <c r="E347" s="102"/>
    </row>
    <row r="348" spans="1:5" ht="15.75" customHeight="1">
      <c r="A348" s="102"/>
      <c r="B348" s="102"/>
      <c r="C348" s="102"/>
      <c r="D348" s="102"/>
      <c r="E348" s="102"/>
    </row>
    <row r="349" spans="1:5" ht="15.75" customHeight="1">
      <c r="A349" s="102"/>
      <c r="B349" s="102"/>
      <c r="C349" s="102"/>
      <c r="D349" s="102"/>
      <c r="E349" s="102"/>
    </row>
    <row r="350" spans="1:5" ht="15.75" customHeight="1">
      <c r="A350" s="102"/>
      <c r="B350" s="102"/>
      <c r="C350" s="102"/>
      <c r="D350" s="102"/>
      <c r="E350" s="102"/>
    </row>
    <row r="351" spans="1:5" ht="15.75" customHeight="1">
      <c r="A351" s="102"/>
      <c r="B351" s="102"/>
      <c r="C351" s="102"/>
      <c r="D351" s="102"/>
      <c r="E351" s="102"/>
    </row>
    <row r="352" spans="1:5" ht="15.75" customHeight="1">
      <c r="A352" s="102"/>
      <c r="B352" s="102"/>
      <c r="C352" s="102"/>
      <c r="D352" s="102"/>
      <c r="E352" s="102"/>
    </row>
    <row r="353" spans="1:5" ht="15.75" customHeight="1">
      <c r="A353" s="102"/>
      <c r="B353" s="102"/>
      <c r="C353" s="102"/>
      <c r="D353" s="102"/>
      <c r="E353" s="102"/>
    </row>
    <row r="354" spans="1:5" ht="15.75" customHeight="1">
      <c r="A354" s="102"/>
      <c r="B354" s="102"/>
      <c r="C354" s="102"/>
      <c r="D354" s="102"/>
      <c r="E354" s="102"/>
    </row>
    <row r="355" spans="1:5" ht="15.75" customHeight="1">
      <c r="A355" s="102"/>
      <c r="B355" s="102"/>
      <c r="C355" s="102"/>
      <c r="D355" s="102"/>
      <c r="E355" s="102"/>
    </row>
    <row r="356" spans="1:5" ht="15.75" customHeight="1">
      <c r="A356" s="102"/>
      <c r="B356" s="102"/>
      <c r="C356" s="102"/>
      <c r="D356" s="102"/>
      <c r="E356" s="102"/>
    </row>
    <row r="357" spans="1:5" ht="15.75" customHeight="1">
      <c r="A357" s="102"/>
      <c r="B357" s="102"/>
      <c r="C357" s="102"/>
      <c r="D357" s="102"/>
      <c r="E357" s="102"/>
    </row>
    <row r="358" spans="1:5" ht="15.75" customHeight="1">
      <c r="A358" s="102"/>
      <c r="B358" s="102"/>
      <c r="C358" s="102"/>
      <c r="D358" s="102"/>
      <c r="E358" s="102"/>
    </row>
    <row r="359" spans="1:5" ht="15.75" customHeight="1">
      <c r="A359" s="102"/>
      <c r="B359" s="102"/>
      <c r="C359" s="102"/>
      <c r="D359" s="102"/>
      <c r="E359" s="102"/>
    </row>
    <row r="360" spans="1:5" ht="15.75" customHeight="1">
      <c r="A360" s="102"/>
      <c r="B360" s="102"/>
      <c r="C360" s="102"/>
      <c r="D360" s="102"/>
      <c r="E360" s="102"/>
    </row>
    <row r="361" spans="1:5" ht="15.75" customHeight="1">
      <c r="A361" s="102"/>
      <c r="B361" s="102"/>
      <c r="C361" s="102"/>
      <c r="D361" s="102"/>
      <c r="E361" s="102"/>
    </row>
    <row r="362" spans="1:5" ht="15.75" customHeight="1">
      <c r="A362" s="102"/>
      <c r="B362" s="102"/>
      <c r="C362" s="102"/>
      <c r="D362" s="102"/>
      <c r="E362" s="102"/>
    </row>
    <row r="363" spans="1:5" ht="15.75" customHeight="1">
      <c r="A363" s="102"/>
      <c r="B363" s="102"/>
      <c r="C363" s="102"/>
      <c r="D363" s="102"/>
      <c r="E363" s="102"/>
    </row>
    <row r="364" spans="1:5" ht="15.75" customHeight="1">
      <c r="A364" s="102"/>
      <c r="B364" s="102"/>
      <c r="C364" s="102"/>
      <c r="D364" s="102"/>
      <c r="E364" s="102"/>
    </row>
    <row r="365" spans="1:5" ht="15.75" customHeight="1">
      <c r="A365" s="102"/>
      <c r="B365" s="102"/>
      <c r="C365" s="102"/>
      <c r="D365" s="102"/>
      <c r="E365" s="102"/>
    </row>
    <row r="366" spans="1:5" ht="15.75" customHeight="1">
      <c r="A366" s="102"/>
      <c r="B366" s="102"/>
      <c r="C366" s="102"/>
      <c r="D366" s="102"/>
      <c r="E366" s="102"/>
    </row>
    <row r="367" spans="1:5" ht="15.75" customHeight="1">
      <c r="A367" s="102"/>
      <c r="B367" s="102"/>
      <c r="C367" s="102"/>
      <c r="D367" s="102"/>
      <c r="E367" s="102"/>
    </row>
    <row r="368" spans="1:5" ht="15.75" customHeight="1">
      <c r="A368" s="102"/>
      <c r="B368" s="102"/>
      <c r="C368" s="102"/>
      <c r="D368" s="102"/>
      <c r="E368" s="102"/>
    </row>
    <row r="369" spans="1:5" ht="15.75" customHeight="1">
      <c r="A369" s="102"/>
      <c r="B369" s="102"/>
      <c r="C369" s="102"/>
      <c r="D369" s="102"/>
      <c r="E369" s="102"/>
    </row>
    <row r="370" spans="1:5" ht="15.75" customHeight="1">
      <c r="A370" s="102"/>
      <c r="B370" s="102"/>
      <c r="C370" s="102"/>
      <c r="D370" s="102"/>
      <c r="E370" s="102"/>
    </row>
    <row r="371" spans="1:5" ht="15.75" customHeight="1">
      <c r="A371" s="102"/>
      <c r="B371" s="102"/>
      <c r="C371" s="102"/>
      <c r="D371" s="102"/>
      <c r="E371" s="102"/>
    </row>
    <row r="372" spans="1:5" ht="15.75" customHeight="1">
      <c r="A372" s="102"/>
      <c r="B372" s="102"/>
      <c r="C372" s="102"/>
      <c r="D372" s="102"/>
      <c r="E372" s="102"/>
    </row>
    <row r="373" spans="1:5" ht="15.75" customHeight="1">
      <c r="A373" s="102"/>
      <c r="B373" s="102"/>
      <c r="C373" s="102"/>
      <c r="D373" s="102"/>
      <c r="E373" s="102"/>
    </row>
    <row r="374" spans="1:5" ht="15.75" customHeight="1">
      <c r="A374" s="102"/>
      <c r="B374" s="102"/>
      <c r="C374" s="102"/>
      <c r="D374" s="102"/>
      <c r="E374" s="102"/>
    </row>
    <row r="375" spans="1:5" ht="15.75" customHeight="1">
      <c r="A375" s="102"/>
      <c r="B375" s="102"/>
      <c r="C375" s="102"/>
      <c r="D375" s="102"/>
      <c r="E375" s="102"/>
    </row>
    <row r="376" spans="1:5" ht="15.75" customHeight="1">
      <c r="A376" s="102"/>
      <c r="B376" s="102"/>
      <c r="C376" s="102"/>
      <c r="D376" s="102"/>
      <c r="E376" s="102"/>
    </row>
    <row r="377" spans="1:5" ht="15.75" customHeight="1">
      <c r="A377" s="102"/>
      <c r="B377" s="102"/>
      <c r="C377" s="102"/>
      <c r="D377" s="102"/>
      <c r="E377" s="102"/>
    </row>
    <row r="378" spans="1:5" ht="15.75" customHeight="1">
      <c r="A378" s="102"/>
      <c r="B378" s="102"/>
      <c r="C378" s="102"/>
      <c r="D378" s="102"/>
      <c r="E378" s="102"/>
    </row>
    <row r="379" spans="1:5" ht="15.75" customHeight="1">
      <c r="A379" s="102"/>
      <c r="B379" s="102"/>
      <c r="C379" s="102"/>
      <c r="D379" s="102"/>
      <c r="E379" s="102"/>
    </row>
    <row r="380" spans="1:5" ht="15.75" customHeight="1">
      <c r="A380" s="102"/>
      <c r="B380" s="102"/>
      <c r="C380" s="102"/>
      <c r="D380" s="102"/>
      <c r="E380" s="102"/>
    </row>
    <row r="381" spans="1:5" ht="15.75" customHeight="1">
      <c r="A381" s="102"/>
      <c r="B381" s="102"/>
      <c r="C381" s="102"/>
      <c r="D381" s="102"/>
      <c r="E381" s="102"/>
    </row>
    <row r="382" spans="1:5" ht="15.75" customHeight="1">
      <c r="A382" s="102"/>
      <c r="B382" s="102"/>
      <c r="C382" s="102"/>
      <c r="D382" s="102"/>
      <c r="E382" s="102"/>
    </row>
    <row r="383" spans="1:5" ht="15.75" customHeight="1">
      <c r="A383" s="102"/>
      <c r="B383" s="102"/>
      <c r="C383" s="102"/>
      <c r="D383" s="102"/>
      <c r="E383" s="102"/>
    </row>
    <row r="384" spans="1:5" ht="15.75" customHeight="1">
      <c r="A384" s="102"/>
      <c r="B384" s="102"/>
      <c r="C384" s="102"/>
      <c r="D384" s="102"/>
      <c r="E384" s="102"/>
    </row>
    <row r="385" spans="1:5" ht="15.75" customHeight="1">
      <c r="A385" s="102"/>
      <c r="B385" s="102"/>
      <c r="C385" s="102"/>
      <c r="D385" s="102"/>
      <c r="E385" s="102"/>
    </row>
    <row r="386" spans="1:5" ht="15.75" customHeight="1">
      <c r="A386" s="102"/>
      <c r="B386" s="102"/>
      <c r="C386" s="102"/>
      <c r="D386" s="102"/>
      <c r="E386" s="102"/>
    </row>
    <row r="387" spans="1:5" ht="15.75" customHeight="1">
      <c r="A387" s="102"/>
      <c r="B387" s="102"/>
      <c r="C387" s="102"/>
      <c r="D387" s="102"/>
      <c r="E387" s="102"/>
    </row>
    <row r="388" spans="1:5" ht="15.75" customHeight="1">
      <c r="A388" s="102"/>
      <c r="B388" s="102"/>
      <c r="C388" s="102"/>
      <c r="D388" s="102"/>
      <c r="E388" s="102"/>
    </row>
    <row r="389" spans="1:5" ht="15.75" customHeight="1">
      <c r="A389" s="102"/>
      <c r="B389" s="102"/>
      <c r="C389" s="102"/>
      <c r="D389" s="102"/>
      <c r="E389" s="102"/>
    </row>
    <row r="390" spans="1:5" ht="15.75" customHeight="1">
      <c r="A390" s="102"/>
      <c r="B390" s="102"/>
      <c r="C390" s="102"/>
      <c r="D390" s="102"/>
      <c r="E390" s="102"/>
    </row>
    <row r="391" spans="1:5" ht="15.75" customHeight="1">
      <c r="A391" s="102"/>
      <c r="B391" s="102"/>
      <c r="C391" s="102"/>
      <c r="D391" s="102"/>
      <c r="E391" s="102"/>
    </row>
    <row r="392" spans="1:5" ht="15.75" customHeight="1">
      <c r="A392" s="102"/>
      <c r="B392" s="102"/>
      <c r="C392" s="102"/>
      <c r="D392" s="102"/>
      <c r="E392" s="102"/>
    </row>
    <row r="393" spans="1:5" ht="15.75" customHeight="1">
      <c r="A393" s="102"/>
      <c r="B393" s="102"/>
      <c r="C393" s="102"/>
      <c r="D393" s="102"/>
      <c r="E393" s="102"/>
    </row>
    <row r="394" spans="1:5" ht="15.75" customHeight="1">
      <c r="A394" s="102"/>
      <c r="B394" s="102"/>
      <c r="C394" s="102"/>
      <c r="D394" s="102"/>
      <c r="E394" s="102"/>
    </row>
    <row r="395" spans="1:5" ht="15.75" customHeight="1">
      <c r="A395" s="102"/>
      <c r="B395" s="102"/>
      <c r="C395" s="102"/>
      <c r="D395" s="102"/>
      <c r="E395" s="102"/>
    </row>
    <row r="396" spans="1:5" ht="15.75" customHeight="1">
      <c r="A396" s="102"/>
      <c r="B396" s="102"/>
      <c r="C396" s="102"/>
      <c r="D396" s="102"/>
      <c r="E396" s="102"/>
    </row>
    <row r="397" spans="1:5" ht="15.75" customHeight="1">
      <c r="A397" s="102"/>
      <c r="B397" s="102"/>
      <c r="C397" s="102"/>
      <c r="D397" s="102"/>
      <c r="E397" s="102"/>
    </row>
    <row r="398" spans="1:5" ht="15.75" customHeight="1">
      <c r="A398" s="102"/>
      <c r="B398" s="102"/>
      <c r="C398" s="102"/>
      <c r="D398" s="102"/>
      <c r="E398" s="102"/>
    </row>
    <row r="399" spans="1:5" ht="15.75" customHeight="1">
      <c r="A399" s="102"/>
      <c r="B399" s="102"/>
      <c r="C399" s="102"/>
      <c r="D399" s="102"/>
      <c r="E399" s="102"/>
    </row>
    <row r="400" spans="1:5" ht="15.75" customHeight="1">
      <c r="A400" s="102"/>
      <c r="B400" s="102"/>
      <c r="C400" s="102"/>
      <c r="D400" s="102"/>
      <c r="E400" s="102"/>
    </row>
    <row r="401" spans="1:5" ht="15.75" customHeight="1">
      <c r="A401" s="102"/>
      <c r="B401" s="102"/>
      <c r="C401" s="102"/>
      <c r="D401" s="102"/>
      <c r="E401" s="102"/>
    </row>
    <row r="402" spans="1:5" ht="15.75" customHeight="1">
      <c r="A402" s="102"/>
      <c r="B402" s="102"/>
      <c r="C402" s="102"/>
      <c r="D402" s="102"/>
      <c r="E402" s="102"/>
    </row>
    <row r="403" spans="1:5" ht="15.75" customHeight="1">
      <c r="A403" s="102"/>
      <c r="B403" s="102"/>
      <c r="C403" s="102"/>
      <c r="D403" s="102"/>
      <c r="E403" s="102"/>
    </row>
    <row r="404" spans="1:5" ht="15.75" customHeight="1">
      <c r="A404" s="102"/>
      <c r="B404" s="102"/>
      <c r="C404" s="102"/>
      <c r="D404" s="102"/>
      <c r="E404" s="102"/>
    </row>
    <row r="405" spans="1:5" ht="15.75" customHeight="1">
      <c r="A405" s="102"/>
      <c r="B405" s="102"/>
      <c r="C405" s="102"/>
      <c r="D405" s="102"/>
      <c r="E405" s="102"/>
    </row>
    <row r="406" spans="1:5" ht="15.75" customHeight="1">
      <c r="A406" s="102"/>
      <c r="B406" s="102"/>
      <c r="C406" s="102"/>
      <c r="D406" s="102"/>
      <c r="E406" s="102"/>
    </row>
    <row r="407" spans="1:5" ht="15.75" customHeight="1">
      <c r="A407" s="102"/>
      <c r="B407" s="102"/>
      <c r="C407" s="102"/>
      <c r="D407" s="102"/>
      <c r="E407" s="102"/>
    </row>
    <row r="408" spans="1:5" ht="15.75" customHeight="1">
      <c r="A408" s="102"/>
      <c r="B408" s="102"/>
      <c r="C408" s="102"/>
      <c r="D408" s="102"/>
      <c r="E408" s="102"/>
    </row>
    <row r="409" spans="1:5" ht="15.75" customHeight="1">
      <c r="A409" s="102"/>
      <c r="B409" s="102"/>
      <c r="C409" s="102"/>
      <c r="D409" s="102"/>
      <c r="E409" s="102"/>
    </row>
    <row r="410" spans="1:5" ht="15.75" customHeight="1">
      <c r="A410" s="102"/>
      <c r="B410" s="102"/>
      <c r="C410" s="102"/>
      <c r="D410" s="102"/>
      <c r="E410" s="102"/>
    </row>
    <row r="411" spans="1:5" ht="15.75" customHeight="1">
      <c r="A411" s="102"/>
      <c r="B411" s="102"/>
      <c r="C411" s="102"/>
      <c r="D411" s="102"/>
      <c r="E411" s="102"/>
    </row>
    <row r="412" spans="1:5" ht="15.75" customHeight="1">
      <c r="A412" s="102"/>
      <c r="B412" s="102"/>
      <c r="C412" s="102"/>
      <c r="D412" s="102"/>
      <c r="E412" s="102"/>
    </row>
    <row r="413" spans="1:5" ht="15.75" customHeight="1">
      <c r="A413" s="102"/>
      <c r="B413" s="102"/>
      <c r="C413" s="102"/>
      <c r="D413" s="102"/>
      <c r="E413" s="102"/>
    </row>
    <row r="414" spans="1:5" ht="15.75" customHeight="1">
      <c r="A414" s="102"/>
      <c r="B414" s="102"/>
      <c r="C414" s="102"/>
      <c r="D414" s="102"/>
      <c r="E414" s="102"/>
    </row>
    <row r="415" spans="1:5" ht="15.75" customHeight="1">
      <c r="A415" s="102"/>
      <c r="B415" s="102"/>
      <c r="C415" s="102"/>
      <c r="D415" s="102"/>
      <c r="E415" s="102"/>
    </row>
    <row r="416" spans="1:5" ht="15.75" customHeight="1">
      <c r="A416" s="102"/>
      <c r="B416" s="102"/>
      <c r="C416" s="102"/>
      <c r="D416" s="102"/>
      <c r="E416" s="102"/>
    </row>
    <row r="417" spans="1:5" ht="15.75" customHeight="1">
      <c r="A417" s="102"/>
      <c r="B417" s="102"/>
      <c r="C417" s="102"/>
      <c r="D417" s="102"/>
      <c r="E417" s="102"/>
    </row>
    <row r="418" spans="1:5" ht="15.75" customHeight="1">
      <c r="A418" s="102"/>
      <c r="B418" s="102"/>
      <c r="C418" s="102"/>
      <c r="D418" s="102"/>
      <c r="E418" s="102"/>
    </row>
    <row r="419" spans="1:5" ht="15.75" customHeight="1">
      <c r="A419" s="102"/>
      <c r="B419" s="102"/>
      <c r="C419" s="102"/>
      <c r="D419" s="102"/>
      <c r="E419" s="102"/>
    </row>
    <row r="420" spans="1:5" ht="15.75" customHeight="1">
      <c r="A420" s="102"/>
      <c r="B420" s="102"/>
      <c r="C420" s="102"/>
      <c r="D420" s="102"/>
      <c r="E420" s="102"/>
    </row>
    <row r="421" spans="1:5" ht="15.75" customHeight="1">
      <c r="A421" s="102"/>
      <c r="B421" s="102"/>
      <c r="C421" s="102"/>
      <c r="D421" s="102"/>
      <c r="E421" s="102"/>
    </row>
    <row r="422" spans="1:5" ht="15.75" customHeight="1">
      <c r="A422" s="102"/>
      <c r="B422" s="102"/>
      <c r="C422" s="102"/>
      <c r="D422" s="102"/>
      <c r="E422" s="102"/>
    </row>
    <row r="423" spans="1:5" ht="15.75" customHeight="1">
      <c r="A423" s="102"/>
      <c r="B423" s="102"/>
      <c r="C423" s="102"/>
      <c r="D423" s="102"/>
      <c r="E423" s="102"/>
    </row>
    <row r="424" spans="1:5" ht="15.75" customHeight="1">
      <c r="A424" s="102"/>
      <c r="B424" s="102"/>
      <c r="C424" s="102"/>
      <c r="D424" s="102"/>
      <c r="E424" s="102"/>
    </row>
    <row r="425" spans="1:5" ht="15.75" customHeight="1">
      <c r="A425" s="102"/>
      <c r="B425" s="102"/>
      <c r="C425" s="102"/>
      <c r="D425" s="102"/>
      <c r="E425" s="102"/>
    </row>
    <row r="426" spans="1:5" ht="15.75" customHeight="1">
      <c r="A426" s="102"/>
      <c r="B426" s="102"/>
      <c r="C426" s="102"/>
      <c r="D426" s="102"/>
      <c r="E426" s="102"/>
    </row>
    <row r="427" spans="1:5" ht="15.75" customHeight="1">
      <c r="A427" s="102"/>
      <c r="B427" s="102"/>
      <c r="C427" s="102"/>
      <c r="D427" s="102"/>
      <c r="E427" s="102"/>
    </row>
    <row r="428" spans="1:5" ht="15.75" customHeight="1">
      <c r="A428" s="102"/>
      <c r="B428" s="102"/>
      <c r="C428" s="102"/>
      <c r="D428" s="102"/>
      <c r="E428" s="102"/>
    </row>
    <row r="429" spans="1:5" ht="15.75" customHeight="1">
      <c r="A429" s="102"/>
      <c r="B429" s="102"/>
      <c r="C429" s="102"/>
      <c r="D429" s="102"/>
      <c r="E429" s="102"/>
    </row>
    <row r="430" spans="1:5" ht="15.75" customHeight="1">
      <c r="A430" s="102"/>
      <c r="B430" s="102"/>
      <c r="C430" s="102"/>
      <c r="D430" s="102"/>
      <c r="E430" s="102"/>
    </row>
    <row r="431" spans="1:5" ht="15.75" customHeight="1">
      <c r="A431" s="102"/>
      <c r="B431" s="102"/>
      <c r="C431" s="102"/>
      <c r="D431" s="102"/>
      <c r="E431" s="102"/>
    </row>
    <row r="432" spans="1:5" ht="15.75" customHeight="1">
      <c r="A432" s="102"/>
      <c r="B432" s="102"/>
      <c r="C432" s="102"/>
      <c r="D432" s="102"/>
      <c r="E432" s="102"/>
    </row>
    <row r="433" spans="1:5" ht="15.75" customHeight="1">
      <c r="A433" s="102"/>
      <c r="B433" s="102"/>
      <c r="C433" s="102"/>
      <c r="D433" s="102"/>
      <c r="E433" s="102"/>
    </row>
    <row r="434" spans="1:5" ht="15.75" customHeight="1">
      <c r="A434" s="102"/>
      <c r="B434" s="102"/>
      <c r="C434" s="102"/>
      <c r="D434" s="102"/>
      <c r="E434" s="102"/>
    </row>
    <row r="435" spans="1:5" ht="15.75" customHeight="1">
      <c r="A435" s="102"/>
      <c r="B435" s="102"/>
      <c r="C435" s="102"/>
      <c r="D435" s="102"/>
      <c r="E435" s="102"/>
    </row>
    <row r="436" spans="1:5" ht="15.75" customHeight="1">
      <c r="A436" s="102"/>
      <c r="B436" s="102"/>
      <c r="C436" s="102"/>
      <c r="D436" s="102"/>
      <c r="E436" s="102"/>
    </row>
    <row r="437" spans="1:5" ht="15.75" customHeight="1">
      <c r="A437" s="102"/>
      <c r="B437" s="102"/>
      <c r="C437" s="102"/>
      <c r="D437" s="102"/>
      <c r="E437" s="102"/>
    </row>
    <row r="438" spans="1:5" ht="15.75" customHeight="1">
      <c r="A438" s="102"/>
      <c r="B438" s="102"/>
      <c r="C438" s="102"/>
      <c r="D438" s="102"/>
      <c r="E438" s="102"/>
    </row>
    <row r="439" spans="1:5" ht="15.75" customHeight="1">
      <c r="A439" s="102"/>
      <c r="B439" s="102"/>
      <c r="C439" s="102"/>
      <c r="D439" s="102"/>
      <c r="E439" s="102"/>
    </row>
    <row r="440" spans="1:5" ht="15.75" customHeight="1">
      <c r="A440" s="102"/>
      <c r="B440" s="102"/>
      <c r="C440" s="102"/>
      <c r="D440" s="102"/>
      <c r="E440" s="102"/>
    </row>
    <row r="441" spans="1:5" ht="15.75" customHeight="1">
      <c r="A441" s="102"/>
      <c r="B441" s="102"/>
      <c r="C441" s="102"/>
      <c r="D441" s="102"/>
      <c r="E441" s="102"/>
    </row>
    <row r="442" spans="1:5" ht="15.75" customHeight="1">
      <c r="A442" s="102"/>
      <c r="B442" s="102"/>
      <c r="C442" s="102"/>
      <c r="D442" s="102"/>
      <c r="E442" s="102"/>
    </row>
    <row r="443" spans="1:5" ht="15.75" customHeight="1">
      <c r="A443" s="102"/>
      <c r="B443" s="102"/>
      <c r="C443" s="102"/>
      <c r="D443" s="102"/>
      <c r="E443" s="102"/>
    </row>
    <row r="444" spans="1:5" ht="15.75" customHeight="1">
      <c r="A444" s="102"/>
      <c r="B444" s="102"/>
      <c r="C444" s="102"/>
      <c r="D444" s="102"/>
      <c r="E444" s="102"/>
    </row>
    <row r="445" spans="1:5" ht="15.75" customHeight="1">
      <c r="A445" s="102"/>
      <c r="B445" s="102"/>
      <c r="C445" s="102"/>
      <c r="D445" s="102"/>
      <c r="E445" s="102"/>
    </row>
    <row r="446" spans="1:5" ht="15.75" customHeight="1">
      <c r="A446" s="102"/>
      <c r="B446" s="102"/>
      <c r="C446" s="102"/>
      <c r="D446" s="102"/>
      <c r="E446" s="102"/>
    </row>
    <row r="447" spans="1:5" ht="15.75" customHeight="1">
      <c r="A447" s="102"/>
      <c r="B447" s="102"/>
      <c r="C447" s="102"/>
      <c r="D447" s="102"/>
      <c r="E447" s="102"/>
    </row>
    <row r="448" spans="1:5" ht="15.75" customHeight="1">
      <c r="A448" s="102"/>
      <c r="B448" s="102"/>
      <c r="C448" s="102"/>
      <c r="D448" s="102"/>
      <c r="E448" s="102"/>
    </row>
    <row r="449" spans="1:5" ht="15.75" customHeight="1">
      <c r="A449" s="102"/>
      <c r="B449" s="102"/>
      <c r="C449" s="102"/>
      <c r="D449" s="102"/>
      <c r="E449" s="102"/>
    </row>
    <row r="450" spans="1:5" ht="15.75" customHeight="1">
      <c r="A450" s="102"/>
      <c r="B450" s="102"/>
      <c r="C450" s="102"/>
      <c r="D450" s="102"/>
      <c r="E450" s="102"/>
    </row>
    <row r="451" spans="1:5" ht="15.75" customHeight="1">
      <c r="A451" s="102"/>
      <c r="B451" s="102"/>
      <c r="C451" s="102"/>
      <c r="D451" s="102"/>
      <c r="E451" s="102"/>
    </row>
    <row r="452" spans="1:5" ht="15.75" customHeight="1">
      <c r="A452" s="102"/>
      <c r="B452" s="102"/>
      <c r="C452" s="102"/>
      <c r="D452" s="102"/>
      <c r="E452" s="102"/>
    </row>
    <row r="453" spans="1:5" ht="15.75" customHeight="1">
      <c r="A453" s="102"/>
      <c r="B453" s="102"/>
      <c r="C453" s="102"/>
      <c r="D453" s="102"/>
      <c r="E453" s="102"/>
    </row>
    <row r="454" spans="1:5" ht="15.75" customHeight="1">
      <c r="A454" s="102"/>
      <c r="B454" s="102"/>
      <c r="C454" s="102"/>
      <c r="D454" s="102"/>
      <c r="E454" s="102"/>
    </row>
    <row r="455" spans="1:5" ht="15.75" customHeight="1">
      <c r="A455" s="102"/>
      <c r="B455" s="102"/>
      <c r="C455" s="102"/>
      <c r="D455" s="102"/>
      <c r="E455" s="102"/>
    </row>
    <row r="456" spans="1:5" ht="15.75" customHeight="1">
      <c r="A456" s="102"/>
      <c r="B456" s="102"/>
      <c r="C456" s="102"/>
      <c r="D456" s="102"/>
      <c r="E456" s="102"/>
    </row>
    <row r="457" spans="1:5" ht="15.75" customHeight="1">
      <c r="A457" s="102"/>
      <c r="B457" s="102"/>
      <c r="C457" s="102"/>
      <c r="D457" s="102"/>
      <c r="E457" s="102"/>
    </row>
    <row r="458" spans="1:5" ht="15.75" customHeight="1">
      <c r="A458" s="102"/>
      <c r="B458" s="102"/>
      <c r="C458" s="102"/>
      <c r="D458" s="102"/>
      <c r="E458" s="102"/>
    </row>
    <row r="459" spans="1:5" ht="15.75" customHeight="1">
      <c r="A459" s="102"/>
      <c r="B459" s="102"/>
      <c r="C459" s="102"/>
      <c r="D459" s="102"/>
      <c r="E459" s="102"/>
    </row>
    <row r="460" spans="1:5" ht="15.75" customHeight="1">
      <c r="A460" s="102"/>
      <c r="B460" s="102"/>
      <c r="C460" s="102"/>
      <c r="D460" s="102"/>
      <c r="E460" s="102"/>
    </row>
    <row r="461" spans="1:5" ht="15.75" customHeight="1">
      <c r="A461" s="102"/>
      <c r="B461" s="102"/>
      <c r="C461" s="102"/>
      <c r="D461" s="102"/>
      <c r="E461" s="102"/>
    </row>
    <row r="462" spans="1:5" ht="15.75" customHeight="1">
      <c r="A462" s="102"/>
      <c r="B462" s="102"/>
      <c r="C462" s="102"/>
      <c r="D462" s="102"/>
      <c r="E462" s="102"/>
    </row>
    <row r="463" spans="1:5" ht="15.75" customHeight="1">
      <c r="A463" s="102"/>
      <c r="B463" s="102"/>
      <c r="C463" s="102"/>
      <c r="D463" s="102"/>
      <c r="E463" s="102"/>
    </row>
    <row r="464" spans="1:5" ht="15.75" customHeight="1">
      <c r="A464" s="102"/>
      <c r="B464" s="102"/>
      <c r="C464" s="102"/>
      <c r="D464" s="102"/>
      <c r="E464" s="102"/>
    </row>
    <row r="465" spans="1:5" ht="15.75" customHeight="1">
      <c r="A465" s="102"/>
      <c r="B465" s="102"/>
      <c r="C465" s="102"/>
      <c r="D465" s="102"/>
      <c r="E465" s="102"/>
    </row>
    <row r="466" spans="1:5" ht="15.75" customHeight="1">
      <c r="A466" s="102"/>
      <c r="B466" s="102"/>
      <c r="C466" s="102"/>
      <c r="D466" s="102"/>
      <c r="E466" s="102"/>
    </row>
    <row r="467" spans="1:5" ht="15.75" customHeight="1">
      <c r="A467" s="102"/>
      <c r="B467" s="102"/>
      <c r="C467" s="102"/>
      <c r="D467" s="102"/>
      <c r="E467" s="102"/>
    </row>
    <row r="468" spans="1:5" ht="15.75" customHeight="1">
      <c r="A468" s="102"/>
      <c r="B468" s="102"/>
      <c r="C468" s="102"/>
      <c r="D468" s="102"/>
      <c r="E468" s="102"/>
    </row>
    <row r="469" spans="1:5" ht="15.75" customHeight="1">
      <c r="A469" s="102"/>
      <c r="B469" s="102"/>
      <c r="C469" s="102"/>
      <c r="D469" s="102"/>
      <c r="E469" s="102"/>
    </row>
    <row r="470" spans="1:5" ht="15.75" customHeight="1">
      <c r="A470" s="102"/>
      <c r="B470" s="102"/>
      <c r="C470" s="102"/>
      <c r="D470" s="102"/>
      <c r="E470" s="102"/>
    </row>
    <row r="471" spans="1:5" ht="15.75" customHeight="1">
      <c r="A471" s="102"/>
      <c r="B471" s="102"/>
      <c r="C471" s="102"/>
      <c r="D471" s="102"/>
      <c r="E471" s="102"/>
    </row>
    <row r="472" spans="1:5" ht="15.75" customHeight="1">
      <c r="A472" s="102"/>
      <c r="B472" s="102"/>
      <c r="C472" s="102"/>
      <c r="D472" s="102"/>
      <c r="E472" s="102"/>
    </row>
    <row r="473" spans="1:5" ht="15.75" customHeight="1">
      <c r="A473" s="102"/>
      <c r="B473" s="102"/>
      <c r="C473" s="102"/>
      <c r="D473" s="102"/>
      <c r="E473" s="102"/>
    </row>
    <row r="474" spans="1:5" ht="15.75" customHeight="1">
      <c r="A474" s="102"/>
      <c r="B474" s="102"/>
      <c r="C474" s="102"/>
      <c r="D474" s="102"/>
      <c r="E474" s="102"/>
    </row>
    <row r="475" spans="1:5" ht="15.75" customHeight="1">
      <c r="A475" s="102"/>
      <c r="B475" s="102"/>
      <c r="C475" s="102"/>
      <c r="D475" s="102"/>
      <c r="E475" s="102"/>
    </row>
    <row r="476" spans="1:5" ht="15.75" customHeight="1">
      <c r="A476" s="102"/>
      <c r="B476" s="102"/>
      <c r="C476" s="102"/>
      <c r="D476" s="102"/>
      <c r="E476" s="102"/>
    </row>
    <row r="477" spans="1:5" ht="15.75" customHeight="1">
      <c r="A477" s="102"/>
      <c r="B477" s="102"/>
      <c r="C477" s="102"/>
      <c r="D477" s="102"/>
      <c r="E477" s="102"/>
    </row>
    <row r="478" spans="1:5" ht="15.75" customHeight="1">
      <c r="A478" s="102"/>
      <c r="B478" s="102"/>
      <c r="C478" s="102"/>
      <c r="D478" s="102"/>
      <c r="E478" s="102"/>
    </row>
    <row r="479" spans="1:5" ht="15.75" customHeight="1">
      <c r="A479" s="102"/>
      <c r="B479" s="102"/>
      <c r="C479" s="102"/>
      <c r="D479" s="102"/>
      <c r="E479" s="102"/>
    </row>
    <row r="480" spans="1:5" ht="15.75" customHeight="1">
      <c r="A480" s="102"/>
      <c r="B480" s="102"/>
      <c r="C480" s="102"/>
      <c r="D480" s="102"/>
      <c r="E480" s="102"/>
    </row>
    <row r="481" spans="1:5" ht="15.75" customHeight="1">
      <c r="A481" s="102"/>
      <c r="B481" s="102"/>
      <c r="C481" s="102"/>
      <c r="D481" s="102"/>
      <c r="E481" s="102"/>
    </row>
    <row r="482" spans="1:5" ht="15.75" customHeight="1">
      <c r="A482" s="102"/>
      <c r="B482" s="102"/>
      <c r="C482" s="102"/>
      <c r="D482" s="102"/>
      <c r="E482" s="102"/>
    </row>
    <row r="483" spans="1:5" ht="15.75" customHeight="1">
      <c r="A483" s="102"/>
      <c r="B483" s="102"/>
      <c r="C483" s="102"/>
      <c r="D483" s="102"/>
      <c r="E483" s="102"/>
    </row>
    <row r="484" spans="1:5" ht="15.75" customHeight="1">
      <c r="A484" s="102"/>
      <c r="B484" s="102"/>
      <c r="C484" s="102"/>
      <c r="D484" s="102"/>
      <c r="E484" s="102"/>
    </row>
    <row r="485" spans="1:5" ht="15.75" customHeight="1">
      <c r="A485" s="102"/>
      <c r="B485" s="102"/>
      <c r="C485" s="102"/>
      <c r="D485" s="102"/>
      <c r="E485" s="102"/>
    </row>
    <row r="486" spans="1:5" ht="15.75" customHeight="1">
      <c r="A486" s="102"/>
      <c r="B486" s="102"/>
      <c r="C486" s="102"/>
      <c r="D486" s="102"/>
      <c r="E486" s="102"/>
    </row>
    <row r="487" spans="1:5" ht="15.75" customHeight="1">
      <c r="A487" s="102"/>
      <c r="B487" s="102"/>
      <c r="C487" s="102"/>
      <c r="D487" s="102"/>
      <c r="E487" s="102"/>
    </row>
    <row r="488" spans="1:5" ht="15.75" customHeight="1">
      <c r="A488" s="102"/>
      <c r="B488" s="102"/>
      <c r="C488" s="102"/>
      <c r="D488" s="102"/>
      <c r="E488" s="102"/>
    </row>
    <row r="489" spans="1:5" ht="15.75" customHeight="1">
      <c r="A489" s="102"/>
      <c r="B489" s="102"/>
      <c r="C489" s="102"/>
      <c r="D489" s="102"/>
      <c r="E489" s="102"/>
    </row>
    <row r="490" spans="1:5" ht="15.75" customHeight="1">
      <c r="A490" s="102"/>
      <c r="B490" s="102"/>
      <c r="C490" s="102"/>
      <c r="D490" s="102"/>
      <c r="E490" s="102"/>
    </row>
    <row r="491" spans="1:5" ht="15.75" customHeight="1">
      <c r="A491" s="102"/>
      <c r="B491" s="102"/>
      <c r="C491" s="102"/>
      <c r="D491" s="102"/>
      <c r="E491" s="102"/>
    </row>
    <row r="492" spans="1:5" ht="15.75" customHeight="1">
      <c r="A492" s="102"/>
      <c r="B492" s="102"/>
      <c r="C492" s="102"/>
      <c r="D492" s="102"/>
      <c r="E492" s="102"/>
    </row>
    <row r="493" spans="1:5" ht="15.75" customHeight="1">
      <c r="A493" s="102"/>
      <c r="B493" s="102"/>
      <c r="C493" s="102"/>
      <c r="D493" s="102"/>
      <c r="E493" s="102"/>
    </row>
    <row r="494" spans="1:5" ht="15.75" customHeight="1">
      <c r="A494" s="102"/>
      <c r="B494" s="102"/>
      <c r="C494" s="102"/>
      <c r="D494" s="102"/>
      <c r="E494" s="102"/>
    </row>
    <row r="495" spans="1:5" ht="15.75" customHeight="1">
      <c r="A495" s="102"/>
      <c r="B495" s="102"/>
      <c r="C495" s="102"/>
      <c r="D495" s="102"/>
      <c r="E495" s="102"/>
    </row>
    <row r="496" spans="1:5" ht="15.75" customHeight="1">
      <c r="A496" s="102"/>
      <c r="B496" s="102"/>
      <c r="C496" s="102"/>
      <c r="D496" s="102"/>
      <c r="E496" s="102"/>
    </row>
    <row r="497" spans="1:5" ht="15.75" customHeight="1">
      <c r="A497" s="102"/>
      <c r="B497" s="102"/>
      <c r="C497" s="102"/>
      <c r="D497" s="102"/>
      <c r="E497" s="102"/>
    </row>
    <row r="498" spans="1:5" ht="15.75" customHeight="1">
      <c r="A498" s="102"/>
      <c r="B498" s="102"/>
      <c r="C498" s="102"/>
      <c r="D498" s="102"/>
      <c r="E498" s="102"/>
    </row>
    <row r="499" spans="1:5" ht="15.75" customHeight="1">
      <c r="A499" s="102"/>
      <c r="B499" s="102"/>
      <c r="C499" s="102"/>
      <c r="D499" s="102"/>
      <c r="E499" s="102"/>
    </row>
    <row r="500" spans="1:5" ht="15.75" customHeight="1">
      <c r="A500" s="102"/>
      <c r="B500" s="102"/>
      <c r="C500" s="102"/>
      <c r="D500" s="102"/>
      <c r="E500" s="102"/>
    </row>
    <row r="501" spans="1:5" ht="15.75" customHeight="1">
      <c r="A501" s="102"/>
      <c r="B501" s="102"/>
      <c r="C501" s="102"/>
      <c r="D501" s="102"/>
      <c r="E501" s="102"/>
    </row>
    <row r="502" spans="1:5" ht="15.75" customHeight="1">
      <c r="A502" s="102"/>
      <c r="B502" s="102"/>
      <c r="C502" s="102"/>
      <c r="D502" s="102"/>
      <c r="E502" s="102"/>
    </row>
    <row r="503" spans="1:5" ht="15.75" customHeight="1">
      <c r="A503" s="102"/>
      <c r="B503" s="102"/>
      <c r="C503" s="102"/>
      <c r="D503" s="102"/>
      <c r="E503" s="102"/>
    </row>
    <row r="504" spans="1:5" ht="15.75" customHeight="1">
      <c r="A504" s="102"/>
      <c r="B504" s="102"/>
      <c r="C504" s="102"/>
      <c r="D504" s="102"/>
      <c r="E504" s="102"/>
    </row>
    <row r="505" spans="1:5" ht="15.75" customHeight="1">
      <c r="A505" s="102"/>
      <c r="B505" s="102"/>
      <c r="C505" s="102"/>
      <c r="D505" s="102"/>
      <c r="E505" s="102"/>
    </row>
    <row r="506" spans="1:5" ht="15.75" customHeight="1">
      <c r="A506" s="102"/>
      <c r="B506" s="102"/>
      <c r="C506" s="102"/>
      <c r="D506" s="102"/>
      <c r="E506" s="102"/>
    </row>
    <row r="507" spans="1:5" ht="15.75" customHeight="1">
      <c r="A507" s="102"/>
      <c r="B507" s="102"/>
      <c r="C507" s="102"/>
      <c r="D507" s="102"/>
      <c r="E507" s="102"/>
    </row>
    <row r="508" spans="1:5" ht="15.75" customHeight="1">
      <c r="A508" s="102"/>
      <c r="B508" s="102"/>
      <c r="C508" s="102"/>
      <c r="D508" s="102"/>
      <c r="E508" s="102"/>
    </row>
    <row r="509" spans="1:5" ht="15.75" customHeight="1">
      <c r="A509" s="102"/>
      <c r="B509" s="102"/>
      <c r="C509" s="102"/>
      <c r="D509" s="102"/>
      <c r="E509" s="102"/>
    </row>
    <row r="510" spans="1:5" ht="15.75" customHeight="1">
      <c r="A510" s="102"/>
      <c r="B510" s="102"/>
      <c r="C510" s="102"/>
      <c r="D510" s="102"/>
      <c r="E510" s="102"/>
    </row>
    <row r="511" spans="1:5" ht="15.75" customHeight="1">
      <c r="A511" s="102"/>
      <c r="B511" s="102"/>
      <c r="C511" s="102"/>
      <c r="D511" s="102"/>
      <c r="E511" s="102"/>
    </row>
    <row r="512" spans="1:5" ht="15.75" customHeight="1">
      <c r="A512" s="102"/>
      <c r="B512" s="102"/>
      <c r="C512" s="102"/>
      <c r="D512" s="102"/>
      <c r="E512" s="102"/>
    </row>
    <row r="513" spans="1:5" ht="15.75" customHeight="1">
      <c r="A513" s="102"/>
      <c r="B513" s="102"/>
      <c r="C513" s="102"/>
      <c r="D513" s="102"/>
      <c r="E513" s="102"/>
    </row>
    <row r="514" spans="1:5" ht="15.75" customHeight="1">
      <c r="A514" s="102"/>
      <c r="B514" s="102"/>
      <c r="C514" s="102"/>
      <c r="D514" s="102"/>
      <c r="E514" s="102"/>
    </row>
    <row r="515" spans="1:5" ht="15.75" customHeight="1">
      <c r="A515" s="102"/>
      <c r="B515" s="102"/>
      <c r="C515" s="102"/>
      <c r="D515" s="102"/>
      <c r="E515" s="102"/>
    </row>
    <row r="516" spans="1:5" ht="15.75" customHeight="1">
      <c r="A516" s="102"/>
      <c r="B516" s="102"/>
      <c r="C516" s="102"/>
      <c r="D516" s="102"/>
      <c r="E516" s="102"/>
    </row>
    <row r="517" spans="1:5" ht="15.75" customHeight="1">
      <c r="A517" s="102"/>
      <c r="B517" s="102"/>
      <c r="C517" s="102"/>
      <c r="D517" s="102"/>
      <c r="E517" s="102"/>
    </row>
    <row r="518" spans="1:5" ht="15.75" customHeight="1">
      <c r="A518" s="102"/>
      <c r="B518" s="102"/>
      <c r="C518" s="102"/>
      <c r="D518" s="102"/>
      <c r="E518" s="102"/>
    </row>
    <row r="519" spans="1:5" ht="15.75" customHeight="1">
      <c r="A519" s="102"/>
      <c r="B519" s="102"/>
      <c r="C519" s="102"/>
      <c r="D519" s="102"/>
      <c r="E519" s="102"/>
    </row>
    <row r="520" spans="1:5" ht="15.75" customHeight="1">
      <c r="A520" s="102"/>
      <c r="B520" s="102"/>
      <c r="C520" s="102"/>
      <c r="D520" s="102"/>
      <c r="E520" s="102"/>
    </row>
    <row r="521" spans="1:5" ht="15.75" customHeight="1">
      <c r="A521" s="102"/>
      <c r="B521" s="102"/>
      <c r="C521" s="102"/>
      <c r="D521" s="102"/>
      <c r="E521" s="102"/>
    </row>
    <row r="522" spans="1:5" ht="15.75" customHeight="1">
      <c r="A522" s="102"/>
      <c r="B522" s="102"/>
      <c r="C522" s="102"/>
      <c r="D522" s="102"/>
      <c r="E522" s="102"/>
    </row>
    <row r="523" spans="1:5" ht="15.75" customHeight="1">
      <c r="A523" s="102"/>
      <c r="B523" s="102"/>
      <c r="C523" s="102"/>
      <c r="D523" s="102"/>
      <c r="E523" s="102"/>
    </row>
    <row r="524" spans="1:5" ht="15.75" customHeight="1">
      <c r="A524" s="102"/>
      <c r="B524" s="102"/>
      <c r="C524" s="102"/>
      <c r="D524" s="102"/>
      <c r="E524" s="102"/>
    </row>
    <row r="525" spans="1:5" ht="15.75" customHeight="1">
      <c r="A525" s="102"/>
      <c r="B525" s="102"/>
      <c r="C525" s="102"/>
      <c r="D525" s="102"/>
      <c r="E525" s="102"/>
    </row>
    <row r="526" spans="1:5" ht="15.75" customHeight="1">
      <c r="A526" s="102"/>
      <c r="B526" s="102"/>
      <c r="C526" s="102"/>
      <c r="D526" s="102"/>
      <c r="E526" s="102"/>
    </row>
    <row r="527" spans="1:5" ht="15.75" customHeight="1">
      <c r="A527" s="102"/>
      <c r="B527" s="102"/>
      <c r="C527" s="102"/>
      <c r="D527" s="102"/>
      <c r="E527" s="102"/>
    </row>
    <row r="528" spans="1:5" ht="15.75" customHeight="1">
      <c r="A528" s="102"/>
      <c r="B528" s="102"/>
      <c r="C528" s="102"/>
      <c r="D528" s="102"/>
      <c r="E528" s="102"/>
    </row>
    <row r="529" spans="1:5" ht="15.75" customHeight="1">
      <c r="A529" s="102"/>
      <c r="B529" s="102"/>
      <c r="C529" s="102"/>
      <c r="D529" s="102"/>
      <c r="E529" s="102"/>
    </row>
    <row r="530" spans="1:5" ht="15.75" customHeight="1">
      <c r="A530" s="102"/>
      <c r="B530" s="102"/>
      <c r="C530" s="102"/>
      <c r="D530" s="102"/>
      <c r="E530" s="102"/>
    </row>
    <row r="531" spans="1:5" ht="15.75" customHeight="1">
      <c r="A531" s="102"/>
      <c r="B531" s="102"/>
      <c r="C531" s="102"/>
      <c r="D531" s="102"/>
      <c r="E531" s="102"/>
    </row>
    <row r="532" spans="1:5" ht="15.75" customHeight="1">
      <c r="A532" s="102"/>
      <c r="B532" s="102"/>
      <c r="C532" s="102"/>
      <c r="D532" s="102"/>
      <c r="E532" s="102"/>
    </row>
    <row r="533" spans="1:5" ht="15.75" customHeight="1">
      <c r="A533" s="102"/>
      <c r="B533" s="102"/>
      <c r="C533" s="102"/>
      <c r="D533" s="102"/>
      <c r="E533" s="102"/>
    </row>
    <row r="534" spans="1:5" ht="15.75" customHeight="1">
      <c r="A534" s="102"/>
      <c r="B534" s="102"/>
      <c r="C534" s="102"/>
      <c r="D534" s="102"/>
      <c r="E534" s="102"/>
    </row>
    <row r="535" spans="1:5" ht="15.75" customHeight="1">
      <c r="A535" s="102"/>
      <c r="B535" s="102"/>
      <c r="C535" s="102"/>
      <c r="D535" s="102"/>
      <c r="E535" s="102"/>
    </row>
    <row r="536" spans="1:5" ht="15.75" customHeight="1">
      <c r="A536" s="102"/>
      <c r="B536" s="102"/>
      <c r="C536" s="102"/>
      <c r="D536" s="102"/>
      <c r="E536" s="102"/>
    </row>
    <row r="537" spans="1:5" ht="15.75" customHeight="1">
      <c r="A537" s="102"/>
      <c r="B537" s="102"/>
      <c r="C537" s="102"/>
      <c r="D537" s="102"/>
      <c r="E537" s="102"/>
    </row>
    <row r="538" spans="1:5" ht="15.75" customHeight="1">
      <c r="A538" s="102"/>
      <c r="B538" s="102"/>
      <c r="C538" s="102"/>
      <c r="D538" s="102"/>
      <c r="E538" s="102"/>
    </row>
    <row r="539" spans="1:5" ht="15.75" customHeight="1">
      <c r="A539" s="102"/>
      <c r="B539" s="102"/>
      <c r="C539" s="102"/>
      <c r="D539" s="102"/>
      <c r="E539" s="102"/>
    </row>
    <row r="540" spans="1:5" ht="15.75" customHeight="1">
      <c r="A540" s="102"/>
      <c r="B540" s="102"/>
      <c r="C540" s="102"/>
      <c r="D540" s="102"/>
      <c r="E540" s="102"/>
    </row>
    <row r="541" spans="1:5" ht="15.75" customHeight="1">
      <c r="A541" s="102"/>
      <c r="B541" s="102"/>
      <c r="C541" s="102"/>
      <c r="D541" s="102"/>
      <c r="E541" s="102"/>
    </row>
    <row r="542" spans="1:5" ht="15.75" customHeight="1">
      <c r="A542" s="102"/>
      <c r="B542" s="102"/>
      <c r="C542" s="102"/>
      <c r="D542" s="102"/>
      <c r="E542" s="102"/>
    </row>
    <row r="543" spans="1:5" ht="15.75" customHeight="1">
      <c r="A543" s="102"/>
      <c r="B543" s="102"/>
      <c r="C543" s="102"/>
      <c r="D543" s="102"/>
      <c r="E543" s="102"/>
    </row>
    <row r="544" spans="1:5" ht="15.75" customHeight="1">
      <c r="A544" s="102"/>
      <c r="B544" s="102"/>
      <c r="C544" s="102"/>
      <c r="D544" s="102"/>
      <c r="E544" s="102"/>
    </row>
    <row r="545" spans="1:5" ht="15.75" customHeight="1">
      <c r="A545" s="102"/>
      <c r="B545" s="102"/>
      <c r="C545" s="102"/>
      <c r="D545" s="102"/>
      <c r="E545" s="102"/>
    </row>
    <row r="546" spans="1:5" ht="15.75" customHeight="1">
      <c r="A546" s="102"/>
      <c r="B546" s="102"/>
      <c r="C546" s="102"/>
      <c r="D546" s="102"/>
      <c r="E546" s="102"/>
    </row>
    <row r="547" spans="1:5" ht="15.75" customHeight="1">
      <c r="A547" s="102"/>
      <c r="B547" s="102"/>
      <c r="C547" s="102"/>
      <c r="D547" s="102"/>
      <c r="E547" s="102"/>
    </row>
    <row r="548" spans="1:5" ht="15.75" customHeight="1">
      <c r="A548" s="102"/>
      <c r="B548" s="102"/>
      <c r="C548" s="102"/>
      <c r="D548" s="102"/>
      <c r="E548" s="102"/>
    </row>
    <row r="549" spans="1:5" ht="15.75" customHeight="1">
      <c r="A549" s="102"/>
      <c r="B549" s="102"/>
      <c r="C549" s="102"/>
      <c r="D549" s="102"/>
      <c r="E549" s="102"/>
    </row>
    <row r="550" spans="1:5" ht="15.75" customHeight="1">
      <c r="A550" s="102"/>
      <c r="B550" s="102"/>
      <c r="C550" s="102"/>
      <c r="D550" s="102"/>
      <c r="E550" s="102"/>
    </row>
    <row r="551" spans="1:5" ht="15.75" customHeight="1">
      <c r="A551" s="102"/>
      <c r="B551" s="102"/>
      <c r="C551" s="102"/>
      <c r="D551" s="102"/>
      <c r="E551" s="102"/>
    </row>
    <row r="552" spans="1:5" ht="15.75" customHeight="1">
      <c r="A552" s="102"/>
      <c r="B552" s="102"/>
      <c r="C552" s="102"/>
      <c r="D552" s="102"/>
      <c r="E552" s="102"/>
    </row>
    <row r="553" spans="1:5" ht="15.75" customHeight="1">
      <c r="A553" s="102"/>
      <c r="B553" s="102"/>
      <c r="C553" s="102"/>
      <c r="D553" s="102"/>
      <c r="E553" s="102"/>
    </row>
    <row r="554" spans="1:5" ht="15.75" customHeight="1">
      <c r="A554" s="102"/>
      <c r="B554" s="102"/>
      <c r="C554" s="102"/>
      <c r="D554" s="102"/>
      <c r="E554" s="102"/>
    </row>
    <row r="555" spans="1:5" ht="15.75" customHeight="1">
      <c r="A555" s="102"/>
      <c r="B555" s="102"/>
      <c r="C555" s="102"/>
      <c r="D555" s="102"/>
      <c r="E555" s="102"/>
    </row>
    <row r="556" spans="1:5" ht="15.75" customHeight="1">
      <c r="A556" s="102"/>
      <c r="B556" s="102"/>
      <c r="C556" s="102"/>
      <c r="D556" s="102"/>
      <c r="E556" s="102"/>
    </row>
    <row r="557" spans="1:5" ht="15.75" customHeight="1">
      <c r="A557" s="102"/>
      <c r="B557" s="102"/>
      <c r="C557" s="102"/>
      <c r="D557" s="102"/>
      <c r="E557" s="102"/>
    </row>
    <row r="558" spans="1:5" ht="15.75" customHeight="1">
      <c r="A558" s="102"/>
      <c r="B558" s="102"/>
      <c r="C558" s="102"/>
      <c r="D558" s="102"/>
      <c r="E558" s="102"/>
    </row>
    <row r="559" spans="1:5" ht="15.75" customHeight="1">
      <c r="A559" s="102"/>
      <c r="B559" s="102"/>
      <c r="C559" s="102"/>
      <c r="D559" s="102"/>
      <c r="E559" s="102"/>
    </row>
    <row r="560" spans="1:5" ht="15.75" customHeight="1">
      <c r="A560" s="102"/>
      <c r="B560" s="102"/>
      <c r="C560" s="102"/>
      <c r="D560" s="102"/>
      <c r="E560" s="102"/>
    </row>
    <row r="561" spans="1:5" ht="15.75" customHeight="1">
      <c r="A561" s="102"/>
      <c r="B561" s="102"/>
      <c r="C561" s="102"/>
      <c r="D561" s="102"/>
      <c r="E561" s="102"/>
    </row>
    <row r="562" spans="1:5" ht="15.75" customHeight="1">
      <c r="A562" s="102"/>
      <c r="B562" s="102"/>
      <c r="C562" s="102"/>
      <c r="D562" s="102"/>
      <c r="E562" s="102"/>
    </row>
    <row r="563" spans="1:5" ht="15.75" customHeight="1">
      <c r="A563" s="102"/>
      <c r="B563" s="102"/>
      <c r="C563" s="102"/>
      <c r="D563" s="102"/>
      <c r="E563" s="102"/>
    </row>
    <row r="564" spans="1:5" ht="15.75" customHeight="1">
      <c r="A564" s="102"/>
      <c r="B564" s="102"/>
      <c r="C564" s="102"/>
      <c r="D564" s="102"/>
      <c r="E564" s="102"/>
    </row>
    <row r="565" spans="1:5" ht="15.75" customHeight="1">
      <c r="A565" s="102"/>
      <c r="B565" s="102"/>
      <c r="C565" s="102"/>
      <c r="D565" s="102"/>
      <c r="E565" s="102"/>
    </row>
    <row r="566" spans="1:5" ht="15.75" customHeight="1">
      <c r="A566" s="102"/>
      <c r="B566" s="102"/>
      <c r="C566" s="102"/>
      <c r="D566" s="102"/>
      <c r="E566" s="102"/>
    </row>
    <row r="567" spans="1:5" ht="15.75" customHeight="1">
      <c r="A567" s="102"/>
      <c r="B567" s="102"/>
      <c r="C567" s="102"/>
      <c r="D567" s="102"/>
      <c r="E567" s="102"/>
    </row>
    <row r="568" spans="1:5" ht="15.75" customHeight="1">
      <c r="A568" s="102"/>
      <c r="B568" s="102"/>
      <c r="C568" s="102"/>
      <c r="D568" s="102"/>
      <c r="E568" s="102"/>
    </row>
    <row r="569" spans="1:5" ht="15.75" customHeight="1">
      <c r="A569" s="102"/>
      <c r="B569" s="102"/>
      <c r="C569" s="102"/>
      <c r="D569" s="102"/>
      <c r="E569" s="102"/>
    </row>
    <row r="570" spans="1:5" ht="15.75" customHeight="1">
      <c r="A570" s="102"/>
      <c r="B570" s="102"/>
      <c r="C570" s="102"/>
      <c r="D570" s="102"/>
      <c r="E570" s="102"/>
    </row>
    <row r="571" spans="1:5" ht="15.75" customHeight="1">
      <c r="A571" s="102"/>
      <c r="B571" s="102"/>
      <c r="C571" s="102"/>
      <c r="D571" s="102"/>
      <c r="E571" s="102"/>
    </row>
    <row r="572" spans="1:5" ht="15.75" customHeight="1">
      <c r="A572" s="102"/>
      <c r="B572" s="102"/>
      <c r="C572" s="102"/>
      <c r="D572" s="102"/>
      <c r="E572" s="102"/>
    </row>
    <row r="573" spans="1:5" ht="15.75" customHeight="1">
      <c r="A573" s="102"/>
      <c r="B573" s="102"/>
      <c r="C573" s="102"/>
      <c r="D573" s="102"/>
      <c r="E573" s="102"/>
    </row>
    <row r="574" spans="1:5" ht="15.75" customHeight="1">
      <c r="A574" s="102"/>
      <c r="B574" s="102"/>
      <c r="C574" s="102"/>
      <c r="D574" s="102"/>
      <c r="E574" s="102"/>
    </row>
    <row r="575" spans="1:5" ht="15.75" customHeight="1">
      <c r="A575" s="102"/>
      <c r="B575" s="102"/>
      <c r="C575" s="102"/>
      <c r="D575" s="102"/>
      <c r="E575" s="102"/>
    </row>
    <row r="576" spans="1:5" ht="15.75" customHeight="1">
      <c r="A576" s="102"/>
      <c r="B576" s="102"/>
      <c r="C576" s="102"/>
      <c r="D576" s="102"/>
      <c r="E576" s="102"/>
    </row>
    <row r="577" spans="1:5" ht="15.75" customHeight="1">
      <c r="A577" s="102"/>
      <c r="B577" s="102"/>
      <c r="C577" s="102"/>
      <c r="D577" s="102"/>
      <c r="E577" s="102"/>
    </row>
    <row r="578" spans="1:5" ht="15.75" customHeight="1">
      <c r="A578" s="102"/>
      <c r="B578" s="102"/>
      <c r="C578" s="102"/>
      <c r="D578" s="102"/>
      <c r="E578" s="102"/>
    </row>
    <row r="579" spans="1:5" ht="15.75" customHeight="1">
      <c r="A579" s="102"/>
      <c r="B579" s="102"/>
      <c r="C579" s="102"/>
      <c r="D579" s="102"/>
      <c r="E579" s="102"/>
    </row>
    <row r="580" spans="1:5" ht="15.75" customHeight="1">
      <c r="A580" s="102"/>
      <c r="B580" s="102"/>
      <c r="C580" s="102"/>
      <c r="D580" s="102"/>
      <c r="E580" s="102"/>
    </row>
    <row r="581" spans="1:5" ht="15.75" customHeight="1">
      <c r="A581" s="102"/>
      <c r="B581" s="102"/>
      <c r="C581" s="102"/>
      <c r="D581" s="102"/>
      <c r="E581" s="102"/>
    </row>
    <row r="582" spans="1:5" ht="15.75" customHeight="1">
      <c r="A582" s="102"/>
      <c r="B582" s="102"/>
      <c r="C582" s="102"/>
      <c r="D582" s="102"/>
      <c r="E582" s="102"/>
    </row>
    <row r="583" spans="1:5" ht="15.75" customHeight="1">
      <c r="A583" s="102"/>
      <c r="B583" s="102"/>
      <c r="C583" s="102"/>
      <c r="D583" s="102"/>
      <c r="E583" s="102"/>
    </row>
    <row r="584" spans="1:5" ht="15.75" customHeight="1">
      <c r="A584" s="102"/>
      <c r="B584" s="102"/>
      <c r="C584" s="102"/>
      <c r="D584" s="102"/>
      <c r="E584" s="102"/>
    </row>
    <row r="585" spans="1:5" ht="15.75" customHeight="1">
      <c r="A585" s="102"/>
      <c r="B585" s="102"/>
      <c r="C585" s="102"/>
      <c r="D585" s="102"/>
      <c r="E585" s="102"/>
    </row>
    <row r="586" spans="1:5" ht="15.75" customHeight="1">
      <c r="A586" s="102"/>
      <c r="B586" s="102"/>
      <c r="C586" s="102"/>
      <c r="D586" s="102"/>
      <c r="E586" s="102"/>
    </row>
    <row r="587" spans="1:5" ht="15.75" customHeight="1">
      <c r="A587" s="102"/>
      <c r="B587" s="102"/>
      <c r="C587" s="102"/>
      <c r="D587" s="102"/>
      <c r="E587" s="102"/>
    </row>
    <row r="588" spans="1:5" ht="15.75" customHeight="1">
      <c r="A588" s="102"/>
      <c r="B588" s="102"/>
      <c r="C588" s="102"/>
      <c r="D588" s="102"/>
      <c r="E588" s="102"/>
    </row>
    <row r="589" spans="1:5" ht="15.75" customHeight="1">
      <c r="A589" s="102"/>
      <c r="B589" s="102"/>
      <c r="C589" s="102"/>
      <c r="D589" s="102"/>
      <c r="E589" s="102"/>
    </row>
    <row r="590" spans="1:5" ht="15.75" customHeight="1">
      <c r="A590" s="102"/>
      <c r="B590" s="102"/>
      <c r="C590" s="102"/>
      <c r="D590" s="102"/>
      <c r="E590" s="102"/>
    </row>
    <row r="591" spans="1:5" ht="15.75" customHeight="1">
      <c r="A591" s="102"/>
      <c r="B591" s="102"/>
      <c r="C591" s="102"/>
      <c r="D591" s="102"/>
      <c r="E591" s="102"/>
    </row>
    <row r="592" spans="1:5" ht="15.75" customHeight="1">
      <c r="A592" s="102"/>
      <c r="B592" s="102"/>
      <c r="C592" s="102"/>
      <c r="D592" s="102"/>
      <c r="E592" s="102"/>
    </row>
    <row r="593" spans="1:5" ht="15.75" customHeight="1">
      <c r="A593" s="102"/>
      <c r="B593" s="102"/>
      <c r="C593" s="102"/>
      <c r="D593" s="102"/>
      <c r="E593" s="102"/>
    </row>
    <row r="594" spans="1:5" ht="15.75" customHeight="1">
      <c r="A594" s="102"/>
      <c r="B594" s="102"/>
      <c r="C594" s="102"/>
      <c r="D594" s="102"/>
      <c r="E594" s="102"/>
    </row>
    <row r="595" spans="1:5" ht="15.75" customHeight="1">
      <c r="A595" s="102"/>
      <c r="B595" s="102"/>
      <c r="C595" s="102"/>
      <c r="D595" s="102"/>
      <c r="E595" s="102"/>
    </row>
    <row r="596" spans="1:5" ht="15.75" customHeight="1">
      <c r="A596" s="102"/>
      <c r="B596" s="102"/>
      <c r="C596" s="102"/>
      <c r="D596" s="102"/>
      <c r="E596" s="102"/>
    </row>
    <row r="597" spans="1:5" ht="15.75" customHeight="1">
      <c r="A597" s="102"/>
      <c r="B597" s="102"/>
      <c r="C597" s="102"/>
      <c r="D597" s="102"/>
      <c r="E597" s="102"/>
    </row>
    <row r="598" spans="1:5" ht="15.75" customHeight="1">
      <c r="A598" s="102"/>
      <c r="B598" s="102"/>
      <c r="C598" s="102"/>
      <c r="D598" s="102"/>
      <c r="E598" s="102"/>
    </row>
    <row r="599" spans="1:5" ht="15.75" customHeight="1">
      <c r="A599" s="102"/>
      <c r="B599" s="102"/>
      <c r="C599" s="102"/>
      <c r="D599" s="102"/>
      <c r="E599" s="102"/>
    </row>
    <row r="600" spans="1:5" ht="15.75" customHeight="1">
      <c r="A600" s="102"/>
      <c r="B600" s="102"/>
      <c r="C600" s="102"/>
      <c r="D600" s="102"/>
      <c r="E600" s="102"/>
    </row>
    <row r="601" spans="1:5" ht="15.75" customHeight="1">
      <c r="A601" s="102"/>
      <c r="B601" s="102"/>
      <c r="C601" s="102"/>
      <c r="D601" s="102"/>
      <c r="E601" s="102"/>
    </row>
    <row r="602" spans="1:5" ht="15.75" customHeight="1">
      <c r="A602" s="102"/>
      <c r="B602" s="102"/>
      <c r="C602" s="102"/>
      <c r="D602" s="102"/>
      <c r="E602" s="102"/>
    </row>
    <row r="603" spans="1:5" ht="15.75" customHeight="1">
      <c r="A603" s="102"/>
      <c r="B603" s="102"/>
      <c r="C603" s="102"/>
      <c r="D603" s="102"/>
      <c r="E603" s="102"/>
    </row>
    <row r="604" spans="1:5" ht="15.75" customHeight="1">
      <c r="A604" s="102"/>
      <c r="B604" s="102"/>
      <c r="C604" s="102"/>
      <c r="D604" s="102"/>
      <c r="E604" s="102"/>
    </row>
    <row r="605" spans="1:5" ht="15.75" customHeight="1">
      <c r="A605" s="102"/>
      <c r="B605" s="102"/>
      <c r="C605" s="102"/>
      <c r="D605" s="102"/>
      <c r="E605" s="102"/>
    </row>
    <row r="606" spans="1:5" ht="15.75" customHeight="1">
      <c r="A606" s="102"/>
      <c r="B606" s="102"/>
      <c r="C606" s="102"/>
      <c r="D606" s="102"/>
      <c r="E606" s="102"/>
    </row>
    <row r="607" spans="1:5" ht="15.75" customHeight="1">
      <c r="A607" s="102"/>
      <c r="B607" s="102"/>
      <c r="C607" s="102"/>
      <c r="D607" s="102"/>
      <c r="E607" s="102"/>
    </row>
    <row r="608" spans="1:5" ht="15.75" customHeight="1">
      <c r="A608" s="102"/>
      <c r="B608" s="102"/>
      <c r="C608" s="102"/>
      <c r="D608" s="102"/>
      <c r="E608" s="102"/>
    </row>
    <row r="609" spans="1:5" ht="15.75" customHeight="1">
      <c r="A609" s="102"/>
      <c r="B609" s="102"/>
      <c r="C609" s="102"/>
      <c r="D609" s="102"/>
      <c r="E609" s="102"/>
    </row>
    <row r="610" spans="1:5" ht="15.75" customHeight="1">
      <c r="A610" s="102"/>
      <c r="B610" s="102"/>
      <c r="C610" s="102"/>
      <c r="D610" s="102"/>
      <c r="E610" s="102"/>
    </row>
    <row r="611" spans="1:5" ht="15.75" customHeight="1">
      <c r="A611" s="102"/>
      <c r="B611" s="102"/>
      <c r="C611" s="102"/>
      <c r="D611" s="102"/>
      <c r="E611" s="102"/>
    </row>
    <row r="612" spans="1:5" ht="15.75" customHeight="1">
      <c r="A612" s="102"/>
      <c r="B612" s="102"/>
      <c r="C612" s="102"/>
      <c r="D612" s="102"/>
      <c r="E612" s="102"/>
    </row>
    <row r="613" spans="1:5" ht="15.75" customHeight="1">
      <c r="A613" s="102"/>
      <c r="B613" s="102"/>
      <c r="C613" s="102"/>
      <c r="D613" s="102"/>
      <c r="E613" s="102"/>
    </row>
    <row r="614" spans="1:5" ht="15.75" customHeight="1">
      <c r="A614" s="102"/>
      <c r="B614" s="102"/>
      <c r="C614" s="102"/>
      <c r="D614" s="102"/>
      <c r="E614" s="102"/>
    </row>
    <row r="615" spans="1:5" ht="15.75" customHeight="1">
      <c r="A615" s="102"/>
      <c r="B615" s="102"/>
      <c r="C615" s="102"/>
      <c r="D615" s="102"/>
      <c r="E615" s="102"/>
    </row>
    <row r="616" spans="1:5" ht="15.75" customHeight="1">
      <c r="A616" s="102"/>
      <c r="B616" s="102"/>
      <c r="C616" s="102"/>
      <c r="D616" s="102"/>
      <c r="E616" s="102"/>
    </row>
    <row r="617" spans="1:5" ht="15.75" customHeight="1">
      <c r="A617" s="102"/>
      <c r="B617" s="102"/>
      <c r="C617" s="102"/>
      <c r="D617" s="102"/>
      <c r="E617" s="102"/>
    </row>
    <row r="618" spans="1:5" ht="15.75" customHeight="1">
      <c r="A618" s="102"/>
      <c r="B618" s="102"/>
      <c r="C618" s="102"/>
      <c r="D618" s="102"/>
      <c r="E618" s="102"/>
    </row>
    <row r="619" spans="1:5" ht="15.75" customHeight="1">
      <c r="A619" s="102"/>
      <c r="B619" s="102"/>
      <c r="C619" s="102"/>
      <c r="D619" s="102"/>
      <c r="E619" s="102"/>
    </row>
    <row r="620" spans="1:5" ht="15.75" customHeight="1">
      <c r="A620" s="102"/>
      <c r="B620" s="102"/>
      <c r="C620" s="102"/>
      <c r="D620" s="102"/>
      <c r="E620" s="102"/>
    </row>
    <row r="621" spans="1:5" ht="15.75" customHeight="1">
      <c r="A621" s="102"/>
      <c r="B621" s="102"/>
      <c r="C621" s="102"/>
      <c r="D621" s="102"/>
      <c r="E621" s="102"/>
    </row>
    <row r="622" spans="1:5" ht="15.75" customHeight="1">
      <c r="A622" s="102"/>
      <c r="B622" s="102"/>
      <c r="C622" s="102"/>
      <c r="D622" s="102"/>
      <c r="E622" s="102"/>
    </row>
    <row r="623" spans="1:5" ht="15.75" customHeight="1">
      <c r="A623" s="102"/>
      <c r="B623" s="102"/>
      <c r="C623" s="102"/>
      <c r="D623" s="102"/>
      <c r="E623" s="102"/>
    </row>
    <row r="624" spans="1:5" ht="15.75" customHeight="1">
      <c r="A624" s="102"/>
      <c r="B624" s="102"/>
      <c r="C624" s="102"/>
      <c r="D624" s="102"/>
      <c r="E624" s="102"/>
    </row>
    <row r="625" spans="1:5" ht="15.75" customHeight="1">
      <c r="A625" s="102"/>
      <c r="B625" s="102"/>
      <c r="C625" s="102"/>
      <c r="D625" s="102"/>
      <c r="E625" s="102"/>
    </row>
    <row r="626" spans="1:5" ht="15.75" customHeight="1">
      <c r="A626" s="102"/>
      <c r="B626" s="102"/>
      <c r="C626" s="102"/>
      <c r="D626" s="102"/>
      <c r="E626" s="102"/>
    </row>
    <row r="627" spans="1:5" ht="15.75" customHeight="1">
      <c r="A627" s="102"/>
      <c r="B627" s="102"/>
      <c r="C627" s="102"/>
      <c r="D627" s="102"/>
      <c r="E627" s="102"/>
    </row>
    <row r="628" spans="1:5" ht="15.75" customHeight="1">
      <c r="A628" s="102"/>
      <c r="B628" s="102"/>
      <c r="C628" s="102"/>
      <c r="D628" s="102"/>
      <c r="E628" s="102"/>
    </row>
    <row r="629" spans="1:5" ht="15.75" customHeight="1">
      <c r="A629" s="102"/>
      <c r="B629" s="102"/>
      <c r="C629" s="102"/>
      <c r="D629" s="102"/>
      <c r="E629" s="102"/>
    </row>
    <row r="630" spans="1:5" ht="15.75" customHeight="1">
      <c r="A630" s="102"/>
      <c r="B630" s="102"/>
      <c r="C630" s="102"/>
      <c r="D630" s="102"/>
      <c r="E630" s="102"/>
    </row>
    <row r="631" spans="1:5" ht="15.75" customHeight="1">
      <c r="A631" s="102"/>
      <c r="B631" s="102"/>
      <c r="C631" s="102"/>
      <c r="D631" s="102"/>
      <c r="E631" s="102"/>
    </row>
    <row r="632" spans="1:5" ht="15.75" customHeight="1">
      <c r="A632" s="102"/>
      <c r="B632" s="102"/>
      <c r="C632" s="102"/>
      <c r="D632" s="102"/>
      <c r="E632" s="102"/>
    </row>
    <row r="633" spans="1:5" ht="15.75" customHeight="1">
      <c r="A633" s="102"/>
      <c r="B633" s="102"/>
      <c r="C633" s="102"/>
      <c r="D633" s="102"/>
      <c r="E633" s="102"/>
    </row>
    <row r="634" spans="1:5" ht="15.75" customHeight="1">
      <c r="A634" s="102"/>
      <c r="B634" s="102"/>
      <c r="C634" s="102"/>
      <c r="D634" s="102"/>
      <c r="E634" s="102"/>
    </row>
    <row r="635" spans="1:5" ht="15.75" customHeight="1">
      <c r="A635" s="102"/>
      <c r="B635" s="102"/>
      <c r="C635" s="102"/>
      <c r="D635" s="102"/>
      <c r="E635" s="102"/>
    </row>
    <row r="636" spans="1:5" ht="15.75" customHeight="1">
      <c r="A636" s="102"/>
      <c r="B636" s="102"/>
      <c r="C636" s="102"/>
      <c r="D636" s="102"/>
      <c r="E636" s="102"/>
    </row>
    <row r="637" spans="1:5" ht="15.75" customHeight="1">
      <c r="A637" s="102"/>
      <c r="B637" s="102"/>
      <c r="C637" s="102"/>
      <c r="D637" s="102"/>
      <c r="E637" s="102"/>
    </row>
    <row r="638" spans="1:5" ht="15.75" customHeight="1">
      <c r="A638" s="102"/>
      <c r="B638" s="102"/>
      <c r="C638" s="102"/>
      <c r="D638" s="102"/>
      <c r="E638" s="102"/>
    </row>
    <row r="639" spans="1:5" ht="15.75" customHeight="1">
      <c r="A639" s="102"/>
      <c r="B639" s="102"/>
      <c r="C639" s="102"/>
      <c r="D639" s="102"/>
      <c r="E639" s="102"/>
    </row>
    <row r="640" spans="1:5" ht="15.75" customHeight="1">
      <c r="A640" s="102"/>
      <c r="B640" s="102"/>
      <c r="C640" s="102"/>
      <c r="D640" s="102"/>
      <c r="E640" s="102"/>
    </row>
    <row r="641" spans="1:5" ht="15.75" customHeight="1">
      <c r="A641" s="102"/>
      <c r="B641" s="102"/>
      <c r="C641" s="102"/>
      <c r="D641" s="102"/>
      <c r="E641" s="102"/>
    </row>
    <row r="642" spans="1:5" ht="15.75" customHeight="1">
      <c r="A642" s="102"/>
      <c r="B642" s="102"/>
      <c r="C642" s="102"/>
      <c r="D642" s="102"/>
      <c r="E642" s="102"/>
    </row>
    <row r="643" spans="1:5" ht="15.75" customHeight="1">
      <c r="A643" s="102"/>
      <c r="B643" s="102"/>
      <c r="C643" s="102"/>
      <c r="D643" s="102"/>
      <c r="E643" s="102"/>
    </row>
    <row r="644" spans="1:5" ht="15.75" customHeight="1">
      <c r="A644" s="102"/>
      <c r="B644" s="102"/>
      <c r="C644" s="102"/>
      <c r="D644" s="102"/>
      <c r="E644" s="102"/>
    </row>
    <row r="645" spans="1:5" ht="15.75" customHeight="1">
      <c r="A645" s="102"/>
      <c r="B645" s="102"/>
      <c r="C645" s="102"/>
      <c r="D645" s="102"/>
      <c r="E645" s="102"/>
    </row>
    <row r="646" spans="1:5" ht="15.75" customHeight="1">
      <c r="A646" s="102"/>
      <c r="B646" s="102"/>
      <c r="C646" s="102"/>
      <c r="D646" s="102"/>
      <c r="E646" s="102"/>
    </row>
    <row r="647" spans="1:5" ht="15.75" customHeight="1">
      <c r="A647" s="102"/>
      <c r="B647" s="102"/>
      <c r="C647" s="102"/>
      <c r="D647" s="102"/>
      <c r="E647" s="102"/>
    </row>
    <row r="648" spans="1:5" ht="15.75" customHeight="1">
      <c r="A648" s="102"/>
      <c r="B648" s="102"/>
      <c r="C648" s="102"/>
      <c r="D648" s="102"/>
      <c r="E648" s="102"/>
    </row>
    <row r="649" spans="1:5" ht="15.75" customHeight="1">
      <c r="A649" s="102"/>
      <c r="B649" s="102"/>
      <c r="C649" s="102"/>
      <c r="D649" s="102"/>
      <c r="E649" s="102"/>
    </row>
    <row r="650" spans="1:5" ht="15.75" customHeight="1">
      <c r="A650" s="102"/>
      <c r="B650" s="102"/>
      <c r="C650" s="102"/>
      <c r="D650" s="102"/>
      <c r="E650" s="102"/>
    </row>
    <row r="651" spans="1:5" ht="15.75" customHeight="1">
      <c r="A651" s="102"/>
      <c r="B651" s="102"/>
      <c r="C651" s="102"/>
      <c r="D651" s="102"/>
      <c r="E651" s="102"/>
    </row>
    <row r="652" spans="1:5" ht="15.75" customHeight="1">
      <c r="A652" s="102"/>
      <c r="B652" s="102"/>
      <c r="C652" s="102"/>
      <c r="D652" s="102"/>
      <c r="E652" s="102"/>
    </row>
    <row r="653" spans="1:5" ht="15.75" customHeight="1">
      <c r="A653" s="102"/>
      <c r="B653" s="102"/>
      <c r="C653" s="102"/>
      <c r="D653" s="102"/>
      <c r="E653" s="102"/>
    </row>
    <row r="654" spans="1:5" ht="15.75" customHeight="1">
      <c r="A654" s="102"/>
      <c r="B654" s="102"/>
      <c r="C654" s="102"/>
      <c r="D654" s="102"/>
      <c r="E654" s="102"/>
    </row>
    <row r="655" spans="1:5" ht="15.75" customHeight="1">
      <c r="A655" s="102"/>
      <c r="B655" s="102"/>
      <c r="C655" s="102"/>
      <c r="D655" s="102"/>
      <c r="E655" s="102"/>
    </row>
    <row r="656" spans="1:5" ht="15.75" customHeight="1">
      <c r="A656" s="102"/>
      <c r="B656" s="102"/>
      <c r="C656" s="102"/>
      <c r="D656" s="102"/>
      <c r="E656" s="102"/>
    </row>
    <row r="657" spans="1:5" ht="15.75" customHeight="1">
      <c r="A657" s="102"/>
      <c r="B657" s="102"/>
      <c r="C657" s="102"/>
      <c r="D657" s="102"/>
      <c r="E657" s="102"/>
    </row>
    <row r="658" spans="1:5" ht="15.75" customHeight="1">
      <c r="A658" s="102"/>
      <c r="B658" s="102"/>
      <c r="C658" s="102"/>
      <c r="D658" s="102"/>
      <c r="E658" s="102"/>
    </row>
    <row r="659" spans="1:5" ht="15.75" customHeight="1">
      <c r="A659" s="102"/>
      <c r="B659" s="102"/>
      <c r="C659" s="102"/>
      <c r="D659" s="102"/>
      <c r="E659" s="102"/>
    </row>
    <row r="660" spans="1:5" ht="15.75" customHeight="1">
      <c r="A660" s="102"/>
      <c r="B660" s="102"/>
      <c r="C660" s="102"/>
      <c r="D660" s="102"/>
      <c r="E660" s="102"/>
    </row>
    <row r="661" spans="1:5" ht="15.75" customHeight="1">
      <c r="A661" s="102"/>
      <c r="B661" s="102"/>
      <c r="C661" s="102"/>
      <c r="D661" s="102"/>
      <c r="E661" s="102"/>
    </row>
    <row r="662" spans="1:5" ht="15.75" customHeight="1">
      <c r="A662" s="102"/>
      <c r="B662" s="102"/>
      <c r="C662" s="102"/>
      <c r="D662" s="102"/>
      <c r="E662" s="102"/>
    </row>
    <row r="663" spans="1:5" ht="15.75" customHeight="1">
      <c r="A663" s="102"/>
      <c r="B663" s="102"/>
      <c r="C663" s="102"/>
      <c r="D663" s="102"/>
      <c r="E663" s="102"/>
    </row>
    <row r="664" spans="1:5" ht="15.75" customHeight="1">
      <c r="A664" s="102"/>
      <c r="B664" s="102"/>
      <c r="C664" s="102"/>
      <c r="D664" s="102"/>
      <c r="E664" s="102"/>
    </row>
    <row r="665" spans="1:5" ht="15.75" customHeight="1">
      <c r="A665" s="102"/>
      <c r="B665" s="102"/>
      <c r="C665" s="102"/>
      <c r="D665" s="102"/>
      <c r="E665" s="102"/>
    </row>
    <row r="666" spans="1:5" ht="15.75" customHeight="1">
      <c r="A666" s="102"/>
      <c r="B666" s="102"/>
      <c r="C666" s="102"/>
      <c r="D666" s="102"/>
      <c r="E666" s="102"/>
    </row>
    <row r="667" spans="1:5" ht="15.75" customHeight="1">
      <c r="A667" s="102"/>
      <c r="B667" s="102"/>
      <c r="C667" s="102"/>
      <c r="D667" s="102"/>
      <c r="E667" s="102"/>
    </row>
    <row r="668" spans="1:5" ht="15.75" customHeight="1">
      <c r="A668" s="102"/>
      <c r="B668" s="102"/>
      <c r="C668" s="102"/>
      <c r="D668" s="102"/>
      <c r="E668" s="102"/>
    </row>
    <row r="669" spans="1:5" ht="15.75" customHeight="1">
      <c r="A669" s="102"/>
      <c r="B669" s="102"/>
      <c r="C669" s="102"/>
      <c r="D669" s="102"/>
      <c r="E669" s="102"/>
    </row>
    <row r="670" spans="1:5" ht="15.75" customHeight="1">
      <c r="A670" s="102"/>
      <c r="B670" s="102"/>
      <c r="C670" s="102"/>
      <c r="D670" s="102"/>
      <c r="E670" s="102"/>
    </row>
    <row r="671" spans="1:5" ht="15.75" customHeight="1">
      <c r="A671" s="102"/>
      <c r="B671" s="102"/>
      <c r="C671" s="102"/>
      <c r="D671" s="102"/>
      <c r="E671" s="102"/>
    </row>
    <row r="672" spans="1:5" ht="15.75" customHeight="1">
      <c r="A672" s="102"/>
      <c r="B672" s="102"/>
      <c r="C672" s="102"/>
      <c r="D672" s="102"/>
      <c r="E672" s="102"/>
    </row>
    <row r="673" spans="1:5" ht="15.75" customHeight="1">
      <c r="A673" s="102"/>
      <c r="B673" s="102"/>
      <c r="C673" s="102"/>
      <c r="D673" s="102"/>
      <c r="E673" s="102"/>
    </row>
    <row r="674" spans="1:5" ht="15.75" customHeight="1">
      <c r="A674" s="102"/>
      <c r="B674" s="102"/>
      <c r="C674" s="102"/>
      <c r="D674" s="102"/>
      <c r="E674" s="102"/>
    </row>
    <row r="675" spans="1:5" ht="15.75" customHeight="1">
      <c r="A675" s="102"/>
      <c r="B675" s="102"/>
      <c r="C675" s="102"/>
      <c r="D675" s="102"/>
      <c r="E675" s="102"/>
    </row>
    <row r="676" spans="1:5" ht="15.75" customHeight="1">
      <c r="A676" s="102"/>
      <c r="B676" s="102"/>
      <c r="C676" s="102"/>
      <c r="D676" s="102"/>
      <c r="E676" s="102"/>
    </row>
    <row r="677" spans="1:5" ht="15.75" customHeight="1">
      <c r="A677" s="102"/>
      <c r="B677" s="102"/>
      <c r="C677" s="102"/>
      <c r="D677" s="102"/>
      <c r="E677" s="102"/>
    </row>
    <row r="678" spans="1:5" ht="15.75" customHeight="1">
      <c r="A678" s="102"/>
      <c r="B678" s="102"/>
      <c r="C678" s="102"/>
      <c r="D678" s="102"/>
      <c r="E678" s="102"/>
    </row>
    <row r="679" spans="1:5" ht="15.75" customHeight="1">
      <c r="A679" s="102"/>
      <c r="B679" s="102"/>
      <c r="C679" s="102"/>
      <c r="D679" s="102"/>
      <c r="E679" s="102"/>
    </row>
    <row r="680" spans="1:5" ht="15.75" customHeight="1">
      <c r="A680" s="102"/>
      <c r="B680" s="102"/>
      <c r="C680" s="102"/>
      <c r="D680" s="102"/>
      <c r="E680" s="102"/>
    </row>
    <row r="681" spans="1:5" ht="15.75" customHeight="1">
      <c r="A681" s="102"/>
      <c r="B681" s="102"/>
      <c r="C681" s="102"/>
      <c r="D681" s="102"/>
      <c r="E681" s="102"/>
    </row>
    <row r="682" spans="1:5" ht="15.75" customHeight="1">
      <c r="A682" s="102"/>
      <c r="B682" s="102"/>
      <c r="C682" s="102"/>
      <c r="D682" s="102"/>
      <c r="E682" s="102"/>
    </row>
    <row r="683" spans="1:5" ht="15.75" customHeight="1">
      <c r="A683" s="102"/>
      <c r="B683" s="102"/>
      <c r="C683" s="102"/>
      <c r="D683" s="102"/>
      <c r="E683" s="102"/>
    </row>
    <row r="684" spans="1:5" ht="15.75" customHeight="1">
      <c r="A684" s="102"/>
      <c r="B684" s="102"/>
      <c r="C684" s="102"/>
      <c r="D684" s="102"/>
      <c r="E684" s="102"/>
    </row>
    <row r="685" spans="1:5" ht="15.75" customHeight="1">
      <c r="A685" s="102"/>
      <c r="B685" s="102"/>
      <c r="C685" s="102"/>
      <c r="D685" s="102"/>
      <c r="E685" s="102"/>
    </row>
    <row r="686" spans="1:5" ht="15.75" customHeight="1">
      <c r="A686" s="102"/>
      <c r="B686" s="102"/>
      <c r="C686" s="102"/>
      <c r="D686" s="102"/>
      <c r="E686" s="102"/>
    </row>
    <row r="687" spans="1:5" ht="15.75" customHeight="1">
      <c r="A687" s="102"/>
      <c r="B687" s="102"/>
      <c r="C687" s="102"/>
      <c r="D687" s="102"/>
      <c r="E687" s="102"/>
    </row>
    <row r="688" spans="1:5" ht="15.75" customHeight="1">
      <c r="A688" s="102"/>
      <c r="B688" s="102"/>
      <c r="C688" s="102"/>
      <c r="D688" s="102"/>
      <c r="E688" s="102"/>
    </row>
    <row r="689" spans="1:5" ht="15.75" customHeight="1">
      <c r="A689" s="102"/>
      <c r="B689" s="102"/>
      <c r="C689" s="102"/>
      <c r="D689" s="102"/>
      <c r="E689" s="102"/>
    </row>
    <row r="690" spans="1:5" ht="15.75" customHeight="1">
      <c r="A690" s="102"/>
      <c r="B690" s="102"/>
      <c r="C690" s="102"/>
      <c r="D690" s="102"/>
      <c r="E690" s="102"/>
    </row>
    <row r="691" spans="1:5" ht="15.75" customHeight="1">
      <c r="A691" s="102"/>
      <c r="B691" s="102"/>
      <c r="C691" s="102"/>
      <c r="D691" s="102"/>
      <c r="E691" s="102"/>
    </row>
    <row r="692" spans="1:5" ht="15.75" customHeight="1">
      <c r="A692" s="102"/>
      <c r="B692" s="102"/>
      <c r="C692" s="102"/>
      <c r="D692" s="102"/>
      <c r="E692" s="102"/>
    </row>
    <row r="693" spans="1:5" ht="15.75" customHeight="1">
      <c r="A693" s="102"/>
      <c r="B693" s="102"/>
      <c r="C693" s="102"/>
      <c r="D693" s="102"/>
      <c r="E693" s="102"/>
    </row>
    <row r="694" spans="1:5" ht="15.75" customHeight="1">
      <c r="A694" s="102"/>
      <c r="B694" s="102"/>
      <c r="C694" s="102"/>
      <c r="D694" s="102"/>
      <c r="E694" s="102"/>
    </row>
    <row r="695" spans="1:5" ht="15.75" customHeight="1">
      <c r="A695" s="102"/>
      <c r="B695" s="102"/>
      <c r="C695" s="102"/>
      <c r="D695" s="102"/>
      <c r="E695" s="102"/>
    </row>
    <row r="696" spans="1:5" ht="15.75" customHeight="1">
      <c r="A696" s="102"/>
      <c r="B696" s="102"/>
      <c r="C696" s="102"/>
      <c r="D696" s="102"/>
      <c r="E696" s="102"/>
    </row>
    <row r="697" spans="1:5" ht="15.75" customHeight="1">
      <c r="A697" s="102"/>
      <c r="B697" s="102"/>
      <c r="C697" s="102"/>
      <c r="D697" s="102"/>
      <c r="E697" s="102"/>
    </row>
    <row r="698" spans="1:5" ht="15.75" customHeight="1">
      <c r="A698" s="102"/>
      <c r="B698" s="102"/>
      <c r="C698" s="102"/>
      <c r="D698" s="102"/>
      <c r="E698" s="102"/>
    </row>
    <row r="699" spans="1:5" ht="15.75" customHeight="1">
      <c r="A699" s="102"/>
      <c r="B699" s="102"/>
      <c r="C699" s="102"/>
      <c r="D699" s="102"/>
      <c r="E699" s="102"/>
    </row>
    <row r="700" spans="1:5" ht="15.75" customHeight="1">
      <c r="A700" s="102"/>
      <c r="B700" s="102"/>
      <c r="C700" s="102"/>
      <c r="D700" s="102"/>
      <c r="E700" s="102"/>
    </row>
    <row r="701" spans="1:5" ht="15.75" customHeight="1">
      <c r="A701" s="102"/>
      <c r="B701" s="102"/>
      <c r="C701" s="102"/>
      <c r="D701" s="102"/>
      <c r="E701" s="102"/>
    </row>
    <row r="702" spans="1:5" ht="15.75" customHeight="1">
      <c r="A702" s="102"/>
      <c r="B702" s="102"/>
      <c r="C702" s="102"/>
      <c r="D702" s="102"/>
      <c r="E702" s="102"/>
    </row>
    <row r="703" spans="1:5" ht="15.75" customHeight="1">
      <c r="A703" s="102"/>
      <c r="B703" s="102"/>
      <c r="C703" s="102"/>
      <c r="D703" s="102"/>
      <c r="E703" s="102"/>
    </row>
    <row r="704" spans="1:5" ht="15.75" customHeight="1">
      <c r="A704" s="102"/>
      <c r="B704" s="102"/>
      <c r="C704" s="102"/>
      <c r="D704" s="102"/>
      <c r="E704" s="102"/>
    </row>
    <row r="705" spans="1:5" ht="15.75" customHeight="1">
      <c r="A705" s="102"/>
      <c r="B705" s="102"/>
      <c r="C705" s="102"/>
      <c r="D705" s="102"/>
      <c r="E705" s="102"/>
    </row>
    <row r="706" spans="1:5" ht="15.75" customHeight="1">
      <c r="A706" s="102"/>
      <c r="B706" s="102"/>
      <c r="C706" s="102"/>
      <c r="D706" s="102"/>
      <c r="E706" s="102"/>
    </row>
    <row r="707" spans="1:5" ht="15.75" customHeight="1">
      <c r="A707" s="102"/>
      <c r="B707" s="102"/>
      <c r="C707" s="102"/>
      <c r="D707" s="102"/>
      <c r="E707" s="102"/>
    </row>
    <row r="708" spans="1:5" ht="15.75" customHeight="1">
      <c r="A708" s="102"/>
      <c r="B708" s="102"/>
      <c r="C708" s="102"/>
      <c r="D708" s="102"/>
      <c r="E708" s="102"/>
    </row>
    <row r="709" spans="1:5" ht="15.75" customHeight="1">
      <c r="A709" s="102"/>
      <c r="B709" s="102"/>
      <c r="C709" s="102"/>
      <c r="D709" s="102"/>
      <c r="E709" s="102"/>
    </row>
    <row r="710" spans="1:5" ht="15.75" customHeight="1">
      <c r="A710" s="102"/>
      <c r="B710" s="102"/>
      <c r="C710" s="102"/>
      <c r="D710" s="102"/>
      <c r="E710" s="102"/>
    </row>
    <row r="711" spans="1:5" ht="15.75" customHeight="1">
      <c r="A711" s="102"/>
      <c r="B711" s="102"/>
      <c r="C711" s="102"/>
      <c r="D711" s="102"/>
      <c r="E711" s="102"/>
    </row>
    <row r="712" spans="1:5" ht="15.75" customHeight="1">
      <c r="A712" s="102"/>
      <c r="B712" s="102"/>
      <c r="C712" s="102"/>
      <c r="D712" s="102"/>
      <c r="E712" s="102"/>
    </row>
    <row r="713" spans="1:5" ht="15.75" customHeight="1">
      <c r="A713" s="102"/>
      <c r="B713" s="102"/>
      <c r="C713" s="102"/>
      <c r="D713" s="102"/>
      <c r="E713" s="102"/>
    </row>
    <row r="714" spans="1:5" ht="15.75" customHeight="1">
      <c r="A714" s="102"/>
      <c r="B714" s="102"/>
      <c r="C714" s="102"/>
      <c r="D714" s="102"/>
      <c r="E714" s="102"/>
    </row>
    <row r="715" spans="1:5" ht="15.75" customHeight="1">
      <c r="A715" s="102"/>
      <c r="B715" s="102"/>
      <c r="C715" s="102"/>
      <c r="D715" s="102"/>
      <c r="E715" s="102"/>
    </row>
    <row r="716" spans="1:5" ht="15.75" customHeight="1">
      <c r="A716" s="102"/>
      <c r="B716" s="102"/>
      <c r="C716" s="102"/>
      <c r="D716" s="102"/>
      <c r="E716" s="102"/>
    </row>
    <row r="717" spans="1:5" ht="15.75" customHeight="1">
      <c r="A717" s="102"/>
      <c r="B717" s="102"/>
      <c r="C717" s="102"/>
      <c r="D717" s="102"/>
      <c r="E717" s="102"/>
    </row>
    <row r="718" spans="1:5" ht="15.75" customHeight="1">
      <c r="A718" s="102"/>
      <c r="B718" s="102"/>
      <c r="C718" s="102"/>
      <c r="D718" s="102"/>
      <c r="E718" s="102"/>
    </row>
    <row r="719" spans="1:5" ht="15.75" customHeight="1">
      <c r="A719" s="102"/>
      <c r="B719" s="102"/>
      <c r="C719" s="102"/>
      <c r="D719" s="102"/>
      <c r="E719" s="102"/>
    </row>
    <row r="720" spans="1:5" ht="15.75" customHeight="1">
      <c r="A720" s="102"/>
      <c r="B720" s="102"/>
      <c r="C720" s="102"/>
      <c r="D720" s="102"/>
      <c r="E720" s="102"/>
    </row>
    <row r="721" spans="1:5" ht="15.75" customHeight="1">
      <c r="A721" s="102"/>
      <c r="B721" s="102"/>
      <c r="C721" s="102"/>
      <c r="D721" s="102"/>
      <c r="E721" s="102"/>
    </row>
    <row r="722" spans="1:5" ht="15.75" customHeight="1">
      <c r="A722" s="102"/>
      <c r="B722" s="102"/>
      <c r="C722" s="102"/>
      <c r="D722" s="102"/>
      <c r="E722" s="102"/>
    </row>
    <row r="723" spans="1:5" ht="15.75" customHeight="1">
      <c r="A723" s="102"/>
      <c r="B723" s="102"/>
      <c r="C723" s="102"/>
      <c r="D723" s="102"/>
      <c r="E723" s="102"/>
    </row>
    <row r="724" spans="1:5" ht="15.75" customHeight="1">
      <c r="A724" s="102"/>
      <c r="B724" s="102"/>
      <c r="C724" s="102"/>
      <c r="D724" s="102"/>
      <c r="E724" s="102"/>
    </row>
    <row r="725" spans="1:5" ht="15.75" customHeight="1">
      <c r="A725" s="102"/>
      <c r="B725" s="102"/>
      <c r="C725" s="102"/>
      <c r="D725" s="102"/>
      <c r="E725" s="102"/>
    </row>
    <row r="726" spans="1:5" ht="15.75" customHeight="1">
      <c r="A726" s="102"/>
      <c r="B726" s="102"/>
      <c r="C726" s="102"/>
      <c r="D726" s="102"/>
      <c r="E726" s="102"/>
    </row>
    <row r="727" spans="1:5" ht="15.75" customHeight="1">
      <c r="A727" s="102"/>
      <c r="B727" s="102"/>
      <c r="C727" s="102"/>
      <c r="D727" s="102"/>
      <c r="E727" s="102"/>
    </row>
    <row r="728" spans="1:5" ht="15.75" customHeight="1">
      <c r="A728" s="102"/>
      <c r="B728" s="102"/>
      <c r="C728" s="102"/>
      <c r="D728" s="102"/>
      <c r="E728" s="102"/>
    </row>
    <row r="729" spans="1:5" ht="15.75" customHeight="1">
      <c r="A729" s="102"/>
      <c r="B729" s="102"/>
      <c r="C729" s="102"/>
      <c r="D729" s="102"/>
      <c r="E729" s="102"/>
    </row>
    <row r="730" spans="1:5" ht="15.75" customHeight="1">
      <c r="A730" s="102"/>
      <c r="B730" s="102"/>
      <c r="C730" s="102"/>
      <c r="D730" s="102"/>
      <c r="E730" s="102"/>
    </row>
    <row r="731" spans="1:5" ht="15.75" customHeight="1">
      <c r="A731" s="102"/>
      <c r="B731" s="102"/>
      <c r="C731" s="102"/>
      <c r="D731" s="102"/>
      <c r="E731" s="102"/>
    </row>
    <row r="732" spans="1:5" ht="15.75" customHeight="1">
      <c r="A732" s="102"/>
      <c r="B732" s="102"/>
      <c r="C732" s="102"/>
      <c r="D732" s="102"/>
      <c r="E732" s="102"/>
    </row>
    <row r="733" spans="1:5" ht="15.75" customHeight="1">
      <c r="A733" s="102"/>
      <c r="B733" s="102"/>
      <c r="C733" s="102"/>
      <c r="D733" s="102"/>
      <c r="E733" s="102"/>
    </row>
    <row r="734" spans="1:5" ht="15.75" customHeight="1">
      <c r="A734" s="102"/>
      <c r="B734" s="102"/>
      <c r="C734" s="102"/>
      <c r="D734" s="102"/>
      <c r="E734" s="102"/>
    </row>
    <row r="735" spans="1:5" ht="15.75" customHeight="1">
      <c r="A735" s="102"/>
      <c r="B735" s="102"/>
      <c r="C735" s="102"/>
      <c r="D735" s="102"/>
      <c r="E735" s="102"/>
    </row>
    <row r="736" spans="1:5" ht="15.75" customHeight="1">
      <c r="A736" s="102"/>
      <c r="B736" s="102"/>
      <c r="C736" s="102"/>
      <c r="D736" s="102"/>
      <c r="E736" s="102"/>
    </row>
    <row r="737" spans="1:5" ht="15.75" customHeight="1">
      <c r="A737" s="102"/>
      <c r="B737" s="102"/>
      <c r="C737" s="102"/>
      <c r="D737" s="102"/>
      <c r="E737" s="102"/>
    </row>
    <row r="738" spans="1:5" ht="15.75" customHeight="1">
      <c r="A738" s="102"/>
      <c r="B738" s="102"/>
      <c r="C738" s="102"/>
      <c r="D738" s="102"/>
      <c r="E738" s="102"/>
    </row>
    <row r="739" spans="1:5" ht="15.75" customHeight="1">
      <c r="A739" s="102"/>
      <c r="B739" s="102"/>
      <c r="C739" s="102"/>
      <c r="D739" s="102"/>
      <c r="E739" s="102"/>
    </row>
    <row r="740" spans="1:5" ht="15.75" customHeight="1">
      <c r="A740" s="102"/>
      <c r="B740" s="102"/>
      <c r="C740" s="102"/>
      <c r="D740" s="102"/>
      <c r="E740" s="102"/>
    </row>
    <row r="741" spans="1:5" ht="15.75" customHeight="1">
      <c r="A741" s="102"/>
      <c r="B741" s="102"/>
      <c r="C741" s="102"/>
      <c r="D741" s="102"/>
      <c r="E741" s="102"/>
    </row>
    <row r="742" spans="1:5" ht="15.75" customHeight="1">
      <c r="A742" s="102"/>
      <c r="B742" s="102"/>
      <c r="C742" s="102"/>
      <c r="D742" s="102"/>
      <c r="E742" s="102"/>
    </row>
    <row r="743" spans="1:5" ht="15.75" customHeight="1">
      <c r="A743" s="102"/>
      <c r="B743" s="102"/>
      <c r="C743" s="102"/>
      <c r="D743" s="102"/>
      <c r="E743" s="102"/>
    </row>
    <row r="744" spans="1:5" ht="15.75" customHeight="1">
      <c r="A744" s="102"/>
      <c r="B744" s="102"/>
      <c r="C744" s="102"/>
      <c r="D744" s="102"/>
      <c r="E744" s="102"/>
    </row>
    <row r="745" spans="1:5" ht="15.75" customHeight="1">
      <c r="A745" s="102"/>
      <c r="B745" s="102"/>
      <c r="C745" s="102"/>
      <c r="D745" s="102"/>
      <c r="E745" s="102"/>
    </row>
    <row r="746" spans="1:5" ht="15.75" customHeight="1">
      <c r="A746" s="102"/>
      <c r="B746" s="102"/>
      <c r="C746" s="102"/>
      <c r="D746" s="102"/>
      <c r="E746" s="102"/>
    </row>
    <row r="747" spans="1:5" ht="15.75" customHeight="1">
      <c r="A747" s="102"/>
      <c r="B747" s="102"/>
      <c r="C747" s="102"/>
      <c r="D747" s="102"/>
      <c r="E747" s="102"/>
    </row>
    <row r="748" spans="1:5" ht="15.75" customHeight="1">
      <c r="A748" s="102"/>
      <c r="B748" s="102"/>
      <c r="C748" s="102"/>
      <c r="D748" s="102"/>
      <c r="E748" s="102"/>
    </row>
    <row r="749" spans="1:5" ht="15.75" customHeight="1">
      <c r="A749" s="102"/>
      <c r="B749" s="102"/>
      <c r="C749" s="102"/>
      <c r="D749" s="102"/>
      <c r="E749" s="102"/>
    </row>
    <row r="750" spans="1:5" ht="15.75" customHeight="1">
      <c r="A750" s="102"/>
      <c r="B750" s="102"/>
      <c r="C750" s="102"/>
      <c r="D750" s="102"/>
      <c r="E750" s="102"/>
    </row>
    <row r="751" spans="1:5" ht="15.75" customHeight="1">
      <c r="A751" s="102"/>
      <c r="B751" s="102"/>
      <c r="C751" s="102"/>
      <c r="D751" s="102"/>
      <c r="E751" s="102"/>
    </row>
    <row r="752" spans="1:5" ht="15.75" customHeight="1">
      <c r="A752" s="102"/>
      <c r="B752" s="102"/>
      <c r="C752" s="102"/>
      <c r="D752" s="102"/>
      <c r="E752" s="102"/>
    </row>
    <row r="753" spans="1:5" ht="15.75" customHeight="1">
      <c r="A753" s="102"/>
      <c r="B753" s="102"/>
      <c r="C753" s="102"/>
      <c r="D753" s="102"/>
      <c r="E753" s="102"/>
    </row>
    <row r="754" spans="1:5" ht="15.75" customHeight="1">
      <c r="A754" s="102"/>
      <c r="B754" s="102"/>
      <c r="C754" s="102"/>
      <c r="D754" s="102"/>
      <c r="E754" s="102"/>
    </row>
    <row r="755" spans="1:5" ht="15.75" customHeight="1">
      <c r="A755" s="102"/>
      <c r="B755" s="102"/>
      <c r="C755" s="102"/>
      <c r="D755" s="102"/>
      <c r="E755" s="102"/>
    </row>
    <row r="756" spans="1:5" ht="15.75" customHeight="1">
      <c r="A756" s="102"/>
      <c r="B756" s="102"/>
      <c r="C756" s="102"/>
      <c r="D756" s="102"/>
      <c r="E756" s="102"/>
    </row>
    <row r="757" spans="1:5" ht="15.75" customHeight="1">
      <c r="A757" s="102"/>
      <c r="B757" s="102"/>
      <c r="C757" s="102"/>
      <c r="D757" s="102"/>
      <c r="E757" s="102"/>
    </row>
    <row r="758" spans="1:5" ht="15.75" customHeight="1">
      <c r="A758" s="102"/>
      <c r="B758" s="102"/>
      <c r="C758" s="102"/>
      <c r="D758" s="102"/>
      <c r="E758" s="102"/>
    </row>
    <row r="759" spans="1:5" ht="15.75" customHeight="1">
      <c r="A759" s="102"/>
      <c r="B759" s="102"/>
      <c r="C759" s="102"/>
      <c r="D759" s="102"/>
      <c r="E759" s="102"/>
    </row>
    <row r="760" spans="1:5" ht="15.75" customHeight="1">
      <c r="A760" s="102"/>
      <c r="B760" s="102"/>
      <c r="C760" s="102"/>
      <c r="D760" s="102"/>
      <c r="E760" s="102"/>
    </row>
    <row r="761" spans="1:5" ht="15.75" customHeight="1">
      <c r="A761" s="102"/>
      <c r="B761" s="102"/>
      <c r="C761" s="102"/>
      <c r="D761" s="102"/>
      <c r="E761" s="102"/>
    </row>
    <row r="762" spans="1:5" ht="15.75" customHeight="1">
      <c r="A762" s="102"/>
      <c r="B762" s="102"/>
      <c r="C762" s="102"/>
      <c r="D762" s="102"/>
      <c r="E762" s="102"/>
    </row>
    <row r="763" spans="1:5" ht="15.75" customHeight="1">
      <c r="A763" s="102"/>
      <c r="B763" s="102"/>
      <c r="C763" s="102"/>
      <c r="D763" s="102"/>
      <c r="E763" s="102"/>
    </row>
    <row r="764" spans="1:5" ht="15.75" customHeight="1">
      <c r="A764" s="102"/>
      <c r="B764" s="102"/>
      <c r="C764" s="102"/>
      <c r="D764" s="102"/>
      <c r="E764" s="102"/>
    </row>
    <row r="765" spans="1:5" ht="15.75" customHeight="1">
      <c r="A765" s="102"/>
      <c r="B765" s="102"/>
      <c r="C765" s="102"/>
      <c r="D765" s="102"/>
      <c r="E765" s="102"/>
    </row>
    <row r="766" spans="1:5" ht="15.75" customHeight="1">
      <c r="A766" s="102"/>
      <c r="B766" s="102"/>
      <c r="C766" s="102"/>
      <c r="D766" s="102"/>
      <c r="E766" s="102"/>
    </row>
    <row r="767" spans="1:5" ht="15.75" customHeight="1">
      <c r="A767" s="102"/>
      <c r="B767" s="102"/>
      <c r="C767" s="102"/>
      <c r="D767" s="102"/>
      <c r="E767" s="102"/>
    </row>
    <row r="768" spans="1:5" ht="15.75" customHeight="1">
      <c r="A768" s="102"/>
      <c r="B768" s="102"/>
      <c r="C768" s="102"/>
      <c r="D768" s="102"/>
      <c r="E768" s="102"/>
    </row>
    <row r="769" spans="1:5" ht="15.75" customHeight="1">
      <c r="A769" s="102"/>
      <c r="B769" s="102"/>
      <c r="C769" s="102"/>
      <c r="D769" s="102"/>
      <c r="E769" s="102"/>
    </row>
    <row r="770" spans="1:5" ht="15.75" customHeight="1">
      <c r="A770" s="102"/>
      <c r="B770" s="102"/>
      <c r="C770" s="102"/>
      <c r="D770" s="102"/>
      <c r="E770" s="102"/>
    </row>
    <row r="771" spans="1:5" ht="15.75" customHeight="1">
      <c r="A771" s="102"/>
      <c r="B771" s="102"/>
      <c r="C771" s="102"/>
      <c r="D771" s="102"/>
      <c r="E771" s="102"/>
    </row>
    <row r="772" spans="1:5" ht="15.75" customHeight="1">
      <c r="A772" s="102"/>
      <c r="B772" s="102"/>
      <c r="C772" s="102"/>
      <c r="D772" s="102"/>
      <c r="E772" s="102"/>
    </row>
    <row r="773" spans="1:5" ht="15.75" customHeight="1">
      <c r="A773" s="102"/>
      <c r="B773" s="102"/>
      <c r="C773" s="102"/>
      <c r="D773" s="102"/>
      <c r="E773" s="102"/>
    </row>
    <row r="774" spans="1:5" ht="15.75" customHeight="1">
      <c r="A774" s="102"/>
      <c r="B774" s="102"/>
      <c r="C774" s="102"/>
      <c r="D774" s="102"/>
      <c r="E774" s="102"/>
    </row>
    <row r="775" spans="1:5" ht="15.75" customHeight="1">
      <c r="A775" s="102"/>
      <c r="B775" s="102"/>
      <c r="C775" s="102"/>
      <c r="D775" s="102"/>
      <c r="E775" s="102"/>
    </row>
    <row r="776" spans="1:5" ht="15.75" customHeight="1">
      <c r="A776" s="102"/>
      <c r="B776" s="102"/>
      <c r="C776" s="102"/>
      <c r="D776" s="102"/>
      <c r="E776" s="102"/>
    </row>
    <row r="777" spans="1:5" ht="15.75" customHeight="1">
      <c r="A777" s="102"/>
      <c r="B777" s="102"/>
      <c r="C777" s="102"/>
      <c r="D777" s="102"/>
      <c r="E777" s="102"/>
    </row>
    <row r="778" spans="1:5" ht="15.75" customHeight="1">
      <c r="A778" s="102"/>
      <c r="B778" s="102"/>
      <c r="C778" s="102"/>
      <c r="D778" s="102"/>
      <c r="E778" s="102"/>
    </row>
    <row r="779" spans="1:5" ht="15.75" customHeight="1">
      <c r="A779" s="102"/>
      <c r="B779" s="102"/>
      <c r="C779" s="102"/>
      <c r="D779" s="102"/>
      <c r="E779" s="102"/>
    </row>
    <row r="780" spans="1:5" ht="15.75" customHeight="1">
      <c r="A780" s="102"/>
      <c r="B780" s="102"/>
      <c r="C780" s="102"/>
      <c r="D780" s="102"/>
      <c r="E780" s="102"/>
    </row>
    <row r="781" spans="1:5" ht="15.75" customHeight="1">
      <c r="A781" s="102"/>
      <c r="B781" s="102"/>
      <c r="C781" s="102"/>
      <c r="D781" s="102"/>
      <c r="E781" s="102"/>
    </row>
    <row r="782" spans="1:5" ht="15.75" customHeight="1">
      <c r="A782" s="102"/>
      <c r="B782" s="102"/>
      <c r="C782" s="102"/>
      <c r="D782" s="102"/>
      <c r="E782" s="102"/>
    </row>
    <row r="783" spans="1:5" ht="15.75" customHeight="1">
      <c r="A783" s="102"/>
      <c r="B783" s="102"/>
      <c r="C783" s="102"/>
      <c r="D783" s="102"/>
      <c r="E783" s="102"/>
    </row>
    <row r="784" spans="1:5" ht="15.75" customHeight="1">
      <c r="A784" s="102"/>
      <c r="B784" s="102"/>
      <c r="C784" s="102"/>
      <c r="D784" s="102"/>
      <c r="E784" s="102"/>
    </row>
    <row r="785" spans="1:5" ht="15.75" customHeight="1">
      <c r="A785" s="102"/>
      <c r="B785" s="102"/>
      <c r="C785" s="102"/>
      <c r="D785" s="102"/>
      <c r="E785" s="102"/>
    </row>
    <row r="786" spans="1:5" ht="15.75" customHeight="1">
      <c r="A786" s="102"/>
      <c r="B786" s="102"/>
      <c r="C786" s="102"/>
      <c r="D786" s="102"/>
      <c r="E786" s="102"/>
    </row>
    <row r="787" spans="1:5" ht="15.75" customHeight="1">
      <c r="A787" s="102"/>
      <c r="B787" s="102"/>
      <c r="C787" s="102"/>
      <c r="D787" s="102"/>
      <c r="E787" s="102"/>
    </row>
    <row r="788" spans="1:5" ht="15.75" customHeight="1">
      <c r="A788" s="102"/>
      <c r="B788" s="102"/>
      <c r="C788" s="102"/>
      <c r="D788" s="102"/>
      <c r="E788" s="102"/>
    </row>
    <row r="789" spans="1:5" ht="15.75" customHeight="1">
      <c r="A789" s="102"/>
      <c r="B789" s="102"/>
      <c r="C789" s="102"/>
      <c r="D789" s="102"/>
      <c r="E789" s="102"/>
    </row>
    <row r="790" spans="1:5" ht="15.75" customHeight="1">
      <c r="A790" s="102"/>
      <c r="B790" s="102"/>
      <c r="C790" s="102"/>
      <c r="D790" s="102"/>
      <c r="E790" s="102"/>
    </row>
    <row r="791" spans="1:5" ht="15.75" customHeight="1">
      <c r="A791" s="102"/>
      <c r="B791" s="102"/>
      <c r="C791" s="102"/>
      <c r="D791" s="102"/>
      <c r="E791" s="102"/>
    </row>
    <row r="792" spans="1:5" ht="15.75" customHeight="1">
      <c r="A792" s="102"/>
      <c r="B792" s="102"/>
      <c r="C792" s="102"/>
      <c r="D792" s="102"/>
      <c r="E792" s="102"/>
    </row>
    <row r="793" spans="1:5" ht="15.75" customHeight="1">
      <c r="A793" s="102"/>
      <c r="B793" s="102"/>
      <c r="C793" s="102"/>
      <c r="D793" s="102"/>
      <c r="E793" s="102"/>
    </row>
    <row r="794" spans="1:5" ht="15.75" customHeight="1">
      <c r="A794" s="102"/>
      <c r="B794" s="102"/>
      <c r="C794" s="102"/>
      <c r="D794" s="102"/>
      <c r="E794" s="102"/>
    </row>
    <row r="795" spans="1:5" ht="15.75" customHeight="1">
      <c r="A795" s="102"/>
      <c r="B795" s="102"/>
      <c r="C795" s="102"/>
      <c r="D795" s="102"/>
      <c r="E795" s="102"/>
    </row>
    <row r="796" spans="1:5" ht="15.75" customHeight="1">
      <c r="A796" s="102"/>
      <c r="B796" s="102"/>
      <c r="C796" s="102"/>
      <c r="D796" s="102"/>
      <c r="E796" s="102"/>
    </row>
    <row r="797" spans="1:5" ht="15.75" customHeight="1">
      <c r="A797" s="102"/>
      <c r="B797" s="102"/>
      <c r="C797" s="102"/>
      <c r="D797" s="102"/>
      <c r="E797" s="102"/>
    </row>
    <row r="798" spans="1:5" ht="15.75" customHeight="1">
      <c r="A798" s="102"/>
      <c r="B798" s="102"/>
      <c r="C798" s="102"/>
      <c r="D798" s="102"/>
      <c r="E798" s="102"/>
    </row>
    <row r="799" spans="1:5" ht="15.75" customHeight="1">
      <c r="A799" s="102"/>
      <c r="B799" s="102"/>
      <c r="C799" s="102"/>
      <c r="D799" s="102"/>
      <c r="E799" s="102"/>
    </row>
    <row r="800" spans="1:5" ht="15.75" customHeight="1">
      <c r="A800" s="102"/>
      <c r="B800" s="102"/>
      <c r="C800" s="102"/>
      <c r="D800" s="102"/>
      <c r="E800" s="102"/>
    </row>
    <row r="801" spans="1:5" ht="15.75" customHeight="1">
      <c r="A801" s="102"/>
      <c r="B801" s="102"/>
      <c r="C801" s="102"/>
      <c r="D801" s="102"/>
      <c r="E801" s="102"/>
    </row>
    <row r="802" spans="1:5" ht="15.75" customHeight="1">
      <c r="A802" s="102"/>
      <c r="B802" s="102"/>
      <c r="C802" s="102"/>
      <c r="D802" s="102"/>
      <c r="E802" s="102"/>
    </row>
    <row r="803" spans="1:5" ht="15.75" customHeight="1">
      <c r="A803" s="102"/>
      <c r="B803" s="102"/>
      <c r="C803" s="102"/>
      <c r="D803" s="102"/>
      <c r="E803" s="102"/>
    </row>
    <row r="804" spans="1:5" ht="15.75" customHeight="1">
      <c r="A804" s="102"/>
      <c r="B804" s="102"/>
      <c r="C804" s="102"/>
      <c r="D804" s="102"/>
      <c r="E804" s="102"/>
    </row>
    <row r="805" spans="1:5" ht="15.75" customHeight="1">
      <c r="A805" s="102"/>
      <c r="B805" s="102"/>
      <c r="C805" s="102"/>
      <c r="D805" s="102"/>
      <c r="E805" s="102"/>
    </row>
    <row r="806" spans="1:5" ht="15.75" customHeight="1">
      <c r="A806" s="102"/>
      <c r="B806" s="102"/>
      <c r="C806" s="102"/>
      <c r="D806" s="102"/>
      <c r="E806" s="102"/>
    </row>
    <row r="807" spans="1:5" ht="15.75" customHeight="1">
      <c r="A807" s="102"/>
      <c r="B807" s="102"/>
      <c r="C807" s="102"/>
      <c r="D807" s="102"/>
      <c r="E807" s="102"/>
    </row>
    <row r="808" spans="1:5" ht="15.75" customHeight="1">
      <c r="A808" s="102"/>
      <c r="B808" s="102"/>
      <c r="C808" s="102"/>
      <c r="D808" s="102"/>
      <c r="E808" s="102"/>
    </row>
    <row r="809" spans="1:5" ht="15.75" customHeight="1">
      <c r="A809" s="102"/>
      <c r="B809" s="102"/>
      <c r="C809" s="102"/>
      <c r="D809" s="102"/>
      <c r="E809" s="102"/>
    </row>
    <row r="810" spans="1:5" ht="15.75" customHeight="1">
      <c r="A810" s="102"/>
      <c r="B810" s="102"/>
      <c r="C810" s="102"/>
      <c r="D810" s="102"/>
      <c r="E810" s="102"/>
    </row>
    <row r="811" spans="1:5" ht="15.75" customHeight="1">
      <c r="A811" s="102"/>
      <c r="B811" s="102"/>
      <c r="C811" s="102"/>
      <c r="D811" s="102"/>
      <c r="E811" s="102"/>
    </row>
    <row r="812" spans="1:5" ht="15.75" customHeight="1">
      <c r="A812" s="102"/>
      <c r="B812" s="102"/>
      <c r="C812" s="102"/>
      <c r="D812" s="102"/>
      <c r="E812" s="102"/>
    </row>
    <row r="813" spans="1:5" ht="15.75" customHeight="1">
      <c r="A813" s="102"/>
      <c r="B813" s="102"/>
      <c r="C813" s="102"/>
      <c r="D813" s="102"/>
      <c r="E813" s="102"/>
    </row>
    <row r="814" spans="1:5" ht="15.75" customHeight="1">
      <c r="A814" s="102"/>
      <c r="B814" s="102"/>
      <c r="C814" s="102"/>
      <c r="D814" s="102"/>
      <c r="E814" s="102"/>
    </row>
    <row r="815" spans="1:5" ht="15.75" customHeight="1">
      <c r="A815" s="102"/>
      <c r="B815" s="102"/>
      <c r="C815" s="102"/>
      <c r="D815" s="102"/>
      <c r="E815" s="102"/>
    </row>
    <row r="816" spans="1:5" ht="15.75" customHeight="1">
      <c r="A816" s="102"/>
      <c r="B816" s="102"/>
      <c r="C816" s="102"/>
      <c r="D816" s="102"/>
      <c r="E816" s="102"/>
    </row>
    <row r="817" spans="1:5" ht="15.75" customHeight="1">
      <c r="A817" s="102"/>
      <c r="B817" s="102"/>
      <c r="C817" s="102"/>
      <c r="D817" s="102"/>
      <c r="E817" s="102"/>
    </row>
    <row r="818" spans="1:5" ht="15.75" customHeight="1">
      <c r="A818" s="102"/>
      <c r="B818" s="102"/>
      <c r="C818" s="102"/>
      <c r="D818" s="102"/>
      <c r="E818" s="102"/>
    </row>
    <row r="819" spans="1:5" ht="15.75" customHeight="1">
      <c r="A819" s="102"/>
      <c r="B819" s="102"/>
      <c r="C819" s="102"/>
      <c r="D819" s="102"/>
      <c r="E819" s="102"/>
    </row>
    <row r="820" spans="1:5" ht="15.75" customHeight="1">
      <c r="A820" s="102"/>
      <c r="B820" s="102"/>
      <c r="C820" s="102"/>
      <c r="D820" s="102"/>
      <c r="E820" s="102"/>
    </row>
    <row r="821" spans="1:5" ht="15.75" customHeight="1">
      <c r="A821" s="102"/>
      <c r="B821" s="102"/>
      <c r="C821" s="102"/>
      <c r="D821" s="102"/>
      <c r="E821" s="102"/>
    </row>
    <row r="822" spans="1:5" ht="15.75" customHeight="1">
      <c r="A822" s="102"/>
      <c r="B822" s="102"/>
      <c r="C822" s="102"/>
      <c r="D822" s="102"/>
      <c r="E822" s="102"/>
    </row>
    <row r="823" spans="1:5" ht="15.75" customHeight="1">
      <c r="A823" s="102"/>
      <c r="B823" s="102"/>
      <c r="C823" s="102"/>
      <c r="D823" s="102"/>
      <c r="E823" s="102"/>
    </row>
    <row r="824" spans="1:5" ht="15.75" customHeight="1">
      <c r="A824" s="102"/>
      <c r="B824" s="102"/>
      <c r="C824" s="102"/>
      <c r="D824" s="102"/>
      <c r="E824" s="102"/>
    </row>
    <row r="825" spans="1:5" ht="15.75" customHeight="1">
      <c r="A825" s="102"/>
      <c r="B825" s="102"/>
      <c r="C825" s="102"/>
      <c r="D825" s="102"/>
      <c r="E825" s="102"/>
    </row>
    <row r="826" spans="1:5" ht="15.75" customHeight="1">
      <c r="A826" s="102"/>
      <c r="B826" s="102"/>
      <c r="C826" s="102"/>
      <c r="D826" s="102"/>
      <c r="E826" s="102"/>
    </row>
    <row r="827" spans="1:5" ht="15.75" customHeight="1">
      <c r="A827" s="102"/>
      <c r="B827" s="102"/>
      <c r="C827" s="102"/>
      <c r="D827" s="102"/>
      <c r="E827" s="102"/>
    </row>
    <row r="828" spans="1:5" ht="15.75" customHeight="1">
      <c r="A828" s="102"/>
      <c r="B828" s="102"/>
      <c r="C828" s="102"/>
      <c r="D828" s="102"/>
      <c r="E828" s="102"/>
    </row>
    <row r="829" spans="1:5" ht="15.75" customHeight="1">
      <c r="A829" s="102"/>
      <c r="B829" s="102"/>
      <c r="C829" s="102"/>
      <c r="D829" s="102"/>
      <c r="E829" s="102"/>
    </row>
    <row r="830" spans="1:5" ht="15.75" customHeight="1">
      <c r="A830" s="102"/>
      <c r="B830" s="102"/>
      <c r="C830" s="102"/>
      <c r="D830" s="102"/>
      <c r="E830" s="102"/>
    </row>
    <row r="831" spans="1:5" ht="15.75" customHeight="1">
      <c r="A831" s="102"/>
      <c r="B831" s="102"/>
      <c r="C831" s="102"/>
      <c r="D831" s="102"/>
      <c r="E831" s="102"/>
    </row>
    <row r="832" spans="1:5" ht="15.75" customHeight="1">
      <c r="A832" s="102"/>
      <c r="B832" s="102"/>
      <c r="C832" s="102"/>
      <c r="D832" s="102"/>
      <c r="E832" s="102"/>
    </row>
    <row r="833" spans="1:5" ht="15.75" customHeight="1">
      <c r="A833" s="102"/>
      <c r="B833" s="102"/>
      <c r="C833" s="102"/>
      <c r="D833" s="102"/>
      <c r="E833" s="102"/>
    </row>
    <row r="834" spans="1:5" ht="15.75" customHeight="1">
      <c r="A834" s="102"/>
      <c r="B834" s="102"/>
      <c r="C834" s="102"/>
      <c r="D834" s="102"/>
      <c r="E834" s="102"/>
    </row>
    <row r="835" spans="1:5" ht="15.75" customHeight="1">
      <c r="A835" s="102"/>
      <c r="B835" s="102"/>
      <c r="C835" s="102"/>
      <c r="D835" s="102"/>
      <c r="E835" s="102"/>
    </row>
    <row r="836" spans="1:5" ht="15.75" customHeight="1">
      <c r="A836" s="102"/>
      <c r="B836" s="102"/>
      <c r="C836" s="102"/>
      <c r="D836" s="102"/>
      <c r="E836" s="102"/>
    </row>
    <row r="837" spans="1:5" ht="15.75" customHeight="1">
      <c r="A837" s="102"/>
      <c r="B837" s="102"/>
      <c r="C837" s="102"/>
      <c r="D837" s="102"/>
      <c r="E837" s="102"/>
    </row>
    <row r="838" spans="1:5" ht="15.75" customHeight="1">
      <c r="A838" s="102"/>
      <c r="B838" s="102"/>
      <c r="C838" s="102"/>
      <c r="D838" s="102"/>
      <c r="E838" s="102"/>
    </row>
    <row r="839" spans="1:5" ht="15.75" customHeight="1">
      <c r="A839" s="102"/>
      <c r="B839" s="102"/>
      <c r="C839" s="102"/>
      <c r="D839" s="102"/>
      <c r="E839" s="102"/>
    </row>
    <row r="840" spans="1:5" ht="15.75" customHeight="1">
      <c r="A840" s="102"/>
      <c r="B840" s="102"/>
      <c r="C840" s="102"/>
      <c r="D840" s="102"/>
      <c r="E840" s="102"/>
    </row>
    <row r="841" spans="1:5" ht="15.75" customHeight="1">
      <c r="A841" s="102"/>
      <c r="B841" s="102"/>
      <c r="C841" s="102"/>
      <c r="D841" s="102"/>
      <c r="E841" s="102"/>
    </row>
    <row r="842" spans="1:5" ht="15.75" customHeight="1">
      <c r="A842" s="102"/>
      <c r="B842" s="102"/>
      <c r="C842" s="102"/>
      <c r="D842" s="102"/>
      <c r="E842" s="102"/>
    </row>
    <row r="843" spans="1:5" ht="15.75" customHeight="1">
      <c r="A843" s="102"/>
      <c r="B843" s="102"/>
      <c r="C843" s="102"/>
      <c r="D843" s="102"/>
      <c r="E843" s="102"/>
    </row>
    <row r="844" spans="1:5" ht="15.75" customHeight="1">
      <c r="A844" s="102"/>
      <c r="B844" s="102"/>
      <c r="C844" s="102"/>
      <c r="D844" s="102"/>
      <c r="E844" s="102"/>
    </row>
    <row r="845" spans="1:5" ht="15.75" customHeight="1">
      <c r="A845" s="102"/>
      <c r="B845" s="102"/>
      <c r="C845" s="102"/>
      <c r="D845" s="102"/>
      <c r="E845" s="102"/>
    </row>
    <row r="846" spans="1:5" ht="15.75" customHeight="1">
      <c r="A846" s="102"/>
      <c r="B846" s="102"/>
      <c r="C846" s="102"/>
      <c r="D846" s="102"/>
      <c r="E846" s="102"/>
    </row>
    <row r="847" spans="1:5" ht="15.75" customHeight="1">
      <c r="A847" s="102"/>
      <c r="B847" s="102"/>
      <c r="C847" s="102"/>
      <c r="D847" s="102"/>
      <c r="E847" s="102"/>
    </row>
    <row r="848" spans="1:5" ht="15.75" customHeight="1">
      <c r="A848" s="102"/>
      <c r="B848" s="102"/>
      <c r="C848" s="102"/>
      <c r="D848" s="102"/>
      <c r="E848" s="102"/>
    </row>
    <row r="849" spans="1:5" ht="15.75" customHeight="1">
      <c r="A849" s="102"/>
      <c r="B849" s="102"/>
      <c r="C849" s="102"/>
      <c r="D849" s="102"/>
      <c r="E849" s="102"/>
    </row>
    <row r="850" spans="1:5" ht="15.75" customHeight="1">
      <c r="A850" s="102"/>
      <c r="B850" s="102"/>
      <c r="C850" s="102"/>
      <c r="D850" s="102"/>
      <c r="E850" s="102"/>
    </row>
    <row r="851" spans="1:5" ht="15.75" customHeight="1">
      <c r="A851" s="102"/>
      <c r="B851" s="102"/>
      <c r="C851" s="102"/>
      <c r="D851" s="102"/>
      <c r="E851" s="102"/>
    </row>
    <row r="852" spans="1:5" ht="15.75" customHeight="1">
      <c r="A852" s="102"/>
      <c r="B852" s="102"/>
      <c r="C852" s="102"/>
      <c r="D852" s="102"/>
      <c r="E852" s="102"/>
    </row>
    <row r="853" spans="1:5" ht="15.75" customHeight="1">
      <c r="A853" s="102"/>
      <c r="B853" s="102"/>
      <c r="C853" s="102"/>
      <c r="D853" s="102"/>
      <c r="E853" s="102"/>
    </row>
    <row r="854" spans="1:5" ht="15.75" customHeight="1">
      <c r="A854" s="102"/>
      <c r="B854" s="102"/>
      <c r="C854" s="102"/>
      <c r="D854" s="102"/>
      <c r="E854" s="102"/>
    </row>
    <row r="855" spans="1:5" ht="15.75" customHeight="1">
      <c r="A855" s="102"/>
      <c r="B855" s="102"/>
      <c r="C855" s="102"/>
      <c r="D855" s="102"/>
      <c r="E855" s="102"/>
    </row>
    <row r="856" spans="1:5" ht="15.75" customHeight="1">
      <c r="A856" s="102"/>
      <c r="B856" s="102"/>
      <c r="C856" s="102"/>
      <c r="D856" s="102"/>
      <c r="E856" s="102"/>
    </row>
    <row r="857" spans="1:5" ht="15.75" customHeight="1">
      <c r="A857" s="102"/>
      <c r="B857" s="102"/>
      <c r="C857" s="102"/>
      <c r="D857" s="102"/>
      <c r="E857" s="102"/>
    </row>
    <row r="858" spans="1:5" ht="15.75" customHeight="1">
      <c r="A858" s="102"/>
      <c r="B858" s="102"/>
      <c r="C858" s="102"/>
      <c r="D858" s="102"/>
      <c r="E858" s="102"/>
    </row>
    <row r="859" spans="1:5" ht="15.75" customHeight="1">
      <c r="A859" s="102"/>
      <c r="B859" s="102"/>
      <c r="C859" s="102"/>
      <c r="D859" s="102"/>
      <c r="E859" s="102"/>
    </row>
    <row r="860" spans="1:5" ht="15.75" customHeight="1">
      <c r="A860" s="102"/>
      <c r="B860" s="102"/>
      <c r="C860" s="102"/>
      <c r="D860" s="102"/>
      <c r="E860" s="102"/>
    </row>
    <row r="861" spans="1:5" ht="15.75" customHeight="1">
      <c r="A861" s="102"/>
      <c r="B861" s="102"/>
      <c r="C861" s="102"/>
      <c r="D861" s="102"/>
      <c r="E861" s="102"/>
    </row>
    <row r="862" spans="1:5" ht="15.75" customHeight="1">
      <c r="A862" s="102"/>
      <c r="B862" s="102"/>
      <c r="C862" s="102"/>
      <c r="D862" s="102"/>
      <c r="E862" s="102"/>
    </row>
    <row r="863" spans="1:5" ht="15.75" customHeight="1">
      <c r="A863" s="102"/>
      <c r="B863" s="102"/>
      <c r="C863" s="102"/>
      <c r="D863" s="102"/>
      <c r="E863" s="102"/>
    </row>
    <row r="864" spans="1:5" ht="15.75" customHeight="1">
      <c r="A864" s="102"/>
      <c r="B864" s="102"/>
      <c r="C864" s="102"/>
      <c r="D864" s="102"/>
      <c r="E864" s="102"/>
    </row>
    <row r="865" spans="1:5" ht="15.75" customHeight="1">
      <c r="A865" s="102"/>
      <c r="B865" s="102"/>
      <c r="C865" s="102"/>
      <c r="D865" s="102"/>
      <c r="E865" s="102"/>
    </row>
    <row r="866" spans="1:5" ht="15.75" customHeight="1">
      <c r="A866" s="102"/>
      <c r="B866" s="102"/>
      <c r="C866" s="102"/>
      <c r="D866" s="102"/>
      <c r="E866" s="102"/>
    </row>
    <row r="867" spans="1:5" ht="15.75" customHeight="1">
      <c r="A867" s="102"/>
      <c r="B867" s="102"/>
      <c r="C867" s="102"/>
      <c r="D867" s="102"/>
      <c r="E867" s="102"/>
    </row>
    <row r="868" spans="1:5" ht="15.75" customHeight="1">
      <c r="A868" s="102"/>
      <c r="B868" s="102"/>
      <c r="C868" s="102"/>
      <c r="D868" s="102"/>
      <c r="E868" s="102"/>
    </row>
    <row r="869" spans="1:5" ht="15.75" customHeight="1">
      <c r="A869" s="102"/>
      <c r="B869" s="102"/>
      <c r="C869" s="102"/>
      <c r="D869" s="102"/>
      <c r="E869" s="102"/>
    </row>
    <row r="870" spans="1:5" ht="15.75" customHeight="1">
      <c r="A870" s="102"/>
      <c r="B870" s="102"/>
      <c r="C870" s="102"/>
      <c r="D870" s="102"/>
      <c r="E870" s="102"/>
    </row>
    <row r="871" spans="1:5" ht="15.75" customHeight="1">
      <c r="A871" s="102"/>
      <c r="B871" s="102"/>
      <c r="C871" s="102"/>
      <c r="D871" s="102"/>
      <c r="E871" s="102"/>
    </row>
    <row r="872" spans="1:5" ht="15.75" customHeight="1">
      <c r="A872" s="102"/>
      <c r="B872" s="102"/>
      <c r="C872" s="102"/>
      <c r="D872" s="102"/>
      <c r="E872" s="102"/>
    </row>
    <row r="873" spans="1:5" ht="15.75" customHeight="1">
      <c r="A873" s="102"/>
      <c r="B873" s="102"/>
      <c r="C873" s="102"/>
      <c r="D873" s="102"/>
      <c r="E873" s="102"/>
    </row>
    <row r="874" spans="1:5" ht="15.75" customHeight="1">
      <c r="A874" s="102"/>
      <c r="B874" s="102"/>
      <c r="C874" s="102"/>
      <c r="D874" s="102"/>
      <c r="E874" s="102"/>
    </row>
    <row r="875" spans="1:5" ht="15.75" customHeight="1">
      <c r="A875" s="102"/>
      <c r="B875" s="102"/>
      <c r="C875" s="102"/>
      <c r="D875" s="102"/>
      <c r="E875" s="102"/>
    </row>
    <row r="876" spans="1:5" ht="15.75" customHeight="1">
      <c r="A876" s="102"/>
      <c r="B876" s="102"/>
      <c r="C876" s="102"/>
      <c r="D876" s="102"/>
      <c r="E876" s="102"/>
    </row>
    <row r="877" spans="1:5" ht="15.75" customHeight="1">
      <c r="A877" s="102"/>
      <c r="B877" s="102"/>
      <c r="C877" s="102"/>
      <c r="D877" s="102"/>
      <c r="E877" s="102"/>
    </row>
    <row r="878" spans="1:5" ht="15.75" customHeight="1">
      <c r="A878" s="102"/>
      <c r="B878" s="102"/>
      <c r="C878" s="102"/>
      <c r="D878" s="102"/>
      <c r="E878" s="102"/>
    </row>
    <row r="879" spans="1:5" ht="15.75" customHeight="1">
      <c r="A879" s="102"/>
      <c r="B879" s="102"/>
      <c r="C879" s="102"/>
      <c r="D879" s="102"/>
      <c r="E879" s="102"/>
    </row>
    <row r="880" spans="1:5" ht="15.75" customHeight="1">
      <c r="A880" s="102"/>
      <c r="B880" s="102"/>
      <c r="C880" s="102"/>
      <c r="D880" s="102"/>
      <c r="E880" s="102"/>
    </row>
    <row r="881" spans="1:5" ht="15.75" customHeight="1">
      <c r="A881" s="102"/>
      <c r="B881" s="102"/>
      <c r="C881" s="102"/>
      <c r="D881" s="102"/>
      <c r="E881" s="102"/>
    </row>
    <row r="882" spans="1:5" ht="15.75" customHeight="1">
      <c r="A882" s="102"/>
      <c r="B882" s="102"/>
      <c r="C882" s="102"/>
      <c r="D882" s="102"/>
      <c r="E882" s="102"/>
    </row>
    <row r="883" spans="1:5" ht="15.75" customHeight="1">
      <c r="A883" s="102"/>
      <c r="B883" s="102"/>
      <c r="C883" s="102"/>
      <c r="D883" s="102"/>
      <c r="E883" s="102"/>
    </row>
    <row r="884" spans="1:5" ht="15.75" customHeight="1">
      <c r="A884" s="102"/>
      <c r="B884" s="102"/>
      <c r="C884" s="102"/>
      <c r="D884" s="102"/>
      <c r="E884" s="102"/>
    </row>
    <row r="885" spans="1:5" ht="15.75" customHeight="1">
      <c r="A885" s="102"/>
      <c r="B885" s="102"/>
      <c r="C885" s="102"/>
      <c r="D885" s="102"/>
      <c r="E885" s="102"/>
    </row>
    <row r="886" spans="1:5" ht="15.75" customHeight="1">
      <c r="A886" s="102"/>
      <c r="B886" s="102"/>
      <c r="C886" s="102"/>
      <c r="D886" s="102"/>
      <c r="E886" s="102"/>
    </row>
    <row r="887" spans="1:5" ht="15.75" customHeight="1">
      <c r="A887" s="102"/>
      <c r="B887" s="102"/>
      <c r="C887" s="102"/>
      <c r="D887" s="102"/>
      <c r="E887" s="102"/>
    </row>
    <row r="888" spans="1:5" ht="15.75" customHeight="1">
      <c r="A888" s="102"/>
      <c r="B888" s="102"/>
      <c r="C888" s="102"/>
      <c r="D888" s="102"/>
      <c r="E888" s="102"/>
    </row>
    <row r="889" spans="1:5" ht="15.75" customHeight="1">
      <c r="A889" s="102"/>
      <c r="B889" s="102"/>
      <c r="C889" s="102"/>
      <c r="D889" s="102"/>
      <c r="E889" s="102"/>
    </row>
    <row r="890" spans="1:5" ht="15.75" customHeight="1">
      <c r="A890" s="102"/>
      <c r="B890" s="102"/>
      <c r="C890" s="102"/>
      <c r="D890" s="102"/>
      <c r="E890" s="102"/>
    </row>
    <row r="891" spans="1:5" ht="15.75" customHeight="1">
      <c r="A891" s="102"/>
      <c r="B891" s="102"/>
      <c r="C891" s="102"/>
      <c r="D891" s="102"/>
      <c r="E891" s="102"/>
    </row>
    <row r="892" spans="1:5" ht="15.75" customHeight="1">
      <c r="A892" s="102"/>
      <c r="B892" s="102"/>
      <c r="C892" s="102"/>
      <c r="D892" s="102"/>
      <c r="E892" s="102"/>
    </row>
    <row r="893" spans="1:5" ht="15.75" customHeight="1">
      <c r="A893" s="102"/>
      <c r="B893" s="102"/>
      <c r="C893" s="102"/>
      <c r="D893" s="102"/>
      <c r="E893" s="102"/>
    </row>
    <row r="894" spans="1:5" ht="15.75" customHeight="1">
      <c r="A894" s="102"/>
      <c r="B894" s="102"/>
      <c r="C894" s="102"/>
      <c r="D894" s="102"/>
      <c r="E894" s="102"/>
    </row>
    <row r="895" spans="1:5" ht="15.75" customHeight="1">
      <c r="A895" s="102"/>
      <c r="B895" s="102"/>
      <c r="C895" s="102"/>
      <c r="D895" s="102"/>
      <c r="E895" s="102"/>
    </row>
    <row r="896" spans="1:5" ht="15.75" customHeight="1">
      <c r="A896" s="102"/>
      <c r="B896" s="102"/>
      <c r="C896" s="102"/>
      <c r="D896" s="102"/>
      <c r="E896" s="102"/>
    </row>
    <row r="897" spans="1:5" ht="15.75" customHeight="1">
      <c r="A897" s="102"/>
      <c r="B897" s="102"/>
      <c r="C897" s="102"/>
      <c r="D897" s="102"/>
      <c r="E897" s="102"/>
    </row>
    <row r="898" spans="1:5" ht="15.75" customHeight="1">
      <c r="A898" s="102"/>
      <c r="B898" s="102"/>
      <c r="C898" s="102"/>
      <c r="D898" s="102"/>
      <c r="E898" s="102"/>
    </row>
    <row r="899" spans="1:5" ht="15.75" customHeight="1">
      <c r="A899" s="102"/>
      <c r="B899" s="102"/>
      <c r="C899" s="102"/>
      <c r="D899" s="102"/>
      <c r="E899" s="102"/>
    </row>
    <row r="900" spans="1:5" ht="15.75" customHeight="1">
      <c r="A900" s="102"/>
      <c r="B900" s="102"/>
      <c r="C900" s="102"/>
      <c r="D900" s="102"/>
      <c r="E900" s="102"/>
    </row>
    <row r="901" spans="1:5" ht="15.75" customHeight="1">
      <c r="A901" s="102"/>
      <c r="B901" s="102"/>
      <c r="C901" s="102"/>
      <c r="D901" s="102"/>
      <c r="E901" s="102"/>
    </row>
    <row r="902" spans="1:5" ht="15.75" customHeight="1">
      <c r="A902" s="102"/>
      <c r="B902" s="102"/>
      <c r="C902" s="102"/>
      <c r="D902" s="102"/>
      <c r="E902" s="102"/>
    </row>
    <row r="903" spans="1:5" ht="15.75" customHeight="1">
      <c r="A903" s="102"/>
      <c r="B903" s="102"/>
      <c r="C903" s="102"/>
      <c r="D903" s="102"/>
      <c r="E903" s="102"/>
    </row>
    <row r="904" spans="1:5" ht="15.75" customHeight="1">
      <c r="A904" s="102"/>
      <c r="B904" s="102"/>
      <c r="C904" s="102"/>
      <c r="D904" s="102"/>
      <c r="E904" s="102"/>
    </row>
    <row r="905" spans="1:5" ht="15.75" customHeight="1">
      <c r="A905" s="102"/>
      <c r="B905" s="102"/>
      <c r="C905" s="102"/>
      <c r="D905" s="102"/>
      <c r="E905" s="102"/>
    </row>
    <row r="906" spans="1:5" ht="15.75" customHeight="1">
      <c r="A906" s="102"/>
      <c r="B906" s="102"/>
      <c r="C906" s="102"/>
      <c r="D906" s="102"/>
      <c r="E906" s="102"/>
    </row>
    <row r="907" spans="1:5" ht="15.75" customHeight="1">
      <c r="A907" s="102"/>
      <c r="B907" s="102"/>
      <c r="C907" s="102"/>
      <c r="D907" s="102"/>
      <c r="E907" s="102"/>
    </row>
    <row r="908" spans="1:5" ht="15.75" customHeight="1">
      <c r="A908" s="102"/>
      <c r="B908" s="102"/>
      <c r="C908" s="102"/>
      <c r="D908" s="102"/>
      <c r="E908" s="102"/>
    </row>
    <row r="909" spans="1:5" ht="15.75" customHeight="1">
      <c r="A909" s="102"/>
      <c r="B909" s="102"/>
      <c r="C909" s="102"/>
      <c r="D909" s="102"/>
      <c r="E909" s="102"/>
    </row>
    <row r="910" spans="1:5" ht="15.75" customHeight="1">
      <c r="A910" s="102"/>
      <c r="B910" s="102"/>
      <c r="C910" s="102"/>
      <c r="D910" s="102"/>
      <c r="E910" s="102"/>
    </row>
    <row r="911" spans="1:5" ht="15.75" customHeight="1">
      <c r="A911" s="102"/>
      <c r="B911" s="102"/>
      <c r="C911" s="102"/>
      <c r="D911" s="102"/>
      <c r="E911" s="102"/>
    </row>
    <row r="912" spans="1:5" ht="15.75" customHeight="1">
      <c r="A912" s="102"/>
      <c r="B912" s="102"/>
      <c r="C912" s="102"/>
      <c r="D912" s="102"/>
      <c r="E912" s="102"/>
    </row>
    <row r="913" spans="1:5" ht="15.75" customHeight="1">
      <c r="A913" s="102"/>
      <c r="B913" s="102"/>
      <c r="C913" s="102"/>
      <c r="D913" s="102"/>
      <c r="E913" s="102"/>
    </row>
    <row r="914" spans="1:5" ht="15.75" customHeight="1">
      <c r="A914" s="102"/>
      <c r="B914" s="102"/>
      <c r="C914" s="102"/>
      <c r="D914" s="102"/>
      <c r="E914" s="102"/>
    </row>
    <row r="915" spans="1:5" ht="15.75" customHeight="1">
      <c r="A915" s="102"/>
      <c r="B915" s="102"/>
      <c r="C915" s="102"/>
      <c r="D915" s="102"/>
      <c r="E915" s="102"/>
    </row>
    <row r="916" spans="1:5" ht="15.75" customHeight="1">
      <c r="A916" s="102"/>
      <c r="B916" s="102"/>
      <c r="C916" s="102"/>
      <c r="D916" s="102"/>
      <c r="E916" s="102"/>
    </row>
    <row r="917" spans="1:5" ht="15.75" customHeight="1">
      <c r="A917" s="102"/>
      <c r="B917" s="102"/>
      <c r="C917" s="102"/>
      <c r="D917" s="102"/>
      <c r="E917" s="102"/>
    </row>
    <row r="918" spans="1:5" ht="15.75" customHeight="1">
      <c r="A918" s="102"/>
      <c r="B918" s="102"/>
      <c r="C918" s="102"/>
      <c r="D918" s="102"/>
      <c r="E918" s="102"/>
    </row>
    <row r="919" spans="1:5" ht="15.75" customHeight="1">
      <c r="A919" s="102"/>
      <c r="B919" s="102"/>
      <c r="C919" s="102"/>
      <c r="D919" s="102"/>
      <c r="E919" s="102"/>
    </row>
    <row r="920" spans="1:5" ht="15.75" customHeight="1">
      <c r="A920" s="102"/>
      <c r="B920" s="102"/>
      <c r="C920" s="102"/>
      <c r="D920" s="102"/>
      <c r="E920" s="102"/>
    </row>
    <row r="921" spans="1:5" ht="15.75" customHeight="1">
      <c r="A921" s="102"/>
      <c r="B921" s="102"/>
      <c r="C921" s="102"/>
      <c r="D921" s="102"/>
      <c r="E921" s="102"/>
    </row>
    <row r="922" spans="1:5" ht="15.75" customHeight="1">
      <c r="A922" s="102"/>
      <c r="B922" s="102"/>
      <c r="C922" s="102"/>
      <c r="D922" s="102"/>
      <c r="E922" s="102"/>
    </row>
    <row r="923" spans="1:5" ht="15.75" customHeight="1">
      <c r="A923" s="102"/>
      <c r="B923" s="102"/>
      <c r="C923" s="102"/>
      <c r="D923" s="102"/>
      <c r="E923" s="102"/>
    </row>
    <row r="924" spans="1:5" ht="15.75" customHeight="1">
      <c r="A924" s="102"/>
      <c r="B924" s="102"/>
      <c r="C924" s="102"/>
      <c r="D924" s="102"/>
      <c r="E924" s="102"/>
    </row>
    <row r="925" spans="1:5" ht="15.75" customHeight="1">
      <c r="A925" s="102"/>
      <c r="B925" s="102"/>
      <c r="C925" s="102"/>
      <c r="D925" s="102"/>
      <c r="E925" s="102"/>
    </row>
    <row r="926" spans="1:5" ht="15.75" customHeight="1">
      <c r="A926" s="102"/>
      <c r="B926" s="102"/>
      <c r="C926" s="102"/>
      <c r="D926" s="102"/>
      <c r="E926" s="102"/>
    </row>
    <row r="927" spans="1:5" ht="15.75" customHeight="1">
      <c r="A927" s="102"/>
      <c r="B927" s="102"/>
      <c r="C927" s="102"/>
      <c r="D927" s="102"/>
      <c r="E927" s="102"/>
    </row>
    <row r="928" spans="1:5" ht="15.75" customHeight="1">
      <c r="A928" s="102"/>
      <c r="B928" s="102"/>
      <c r="C928" s="102"/>
      <c r="D928" s="102"/>
      <c r="E928" s="102"/>
    </row>
    <row r="929" spans="1:5" ht="15.75" customHeight="1">
      <c r="A929" s="102"/>
      <c r="B929" s="102"/>
      <c r="C929" s="102"/>
      <c r="D929" s="102"/>
      <c r="E929" s="102"/>
    </row>
    <row r="930" spans="1:5" ht="15.75" customHeight="1">
      <c r="A930" s="102"/>
      <c r="B930" s="102"/>
      <c r="C930" s="102"/>
      <c r="D930" s="102"/>
      <c r="E930" s="102"/>
    </row>
    <row r="931" spans="1:5" ht="15.75" customHeight="1">
      <c r="A931" s="102"/>
      <c r="B931" s="102"/>
      <c r="C931" s="102"/>
      <c r="D931" s="102"/>
      <c r="E931" s="102"/>
    </row>
    <row r="932" spans="1:5" ht="15.75" customHeight="1">
      <c r="A932" s="102"/>
      <c r="B932" s="102"/>
      <c r="C932" s="102"/>
      <c r="D932" s="102"/>
      <c r="E932" s="102"/>
    </row>
    <row r="933" spans="1:5" ht="15.75" customHeight="1">
      <c r="A933" s="102"/>
      <c r="B933" s="102"/>
      <c r="C933" s="102"/>
      <c r="D933" s="102"/>
      <c r="E933" s="102"/>
    </row>
    <row r="934" spans="1:5" ht="15.75" customHeight="1">
      <c r="A934" s="102"/>
      <c r="B934" s="102"/>
      <c r="C934" s="102"/>
      <c r="D934" s="102"/>
      <c r="E934" s="102"/>
    </row>
    <row r="935" spans="1:5" ht="15.75" customHeight="1">
      <c r="A935" s="102"/>
      <c r="B935" s="102"/>
      <c r="C935" s="102"/>
      <c r="D935" s="102"/>
      <c r="E935" s="102"/>
    </row>
    <row r="936" spans="1:5" ht="15.75" customHeight="1">
      <c r="A936" s="102"/>
      <c r="B936" s="102"/>
      <c r="C936" s="102"/>
      <c r="D936" s="102"/>
      <c r="E936" s="102"/>
    </row>
    <row r="937" spans="1:5" ht="15.75" customHeight="1">
      <c r="A937" s="102"/>
      <c r="B937" s="102"/>
      <c r="C937" s="102"/>
      <c r="D937" s="102"/>
      <c r="E937" s="102"/>
    </row>
    <row r="938" spans="1:5" ht="15.75" customHeight="1">
      <c r="A938" s="102"/>
      <c r="B938" s="102"/>
      <c r="C938" s="102"/>
      <c r="D938" s="102"/>
      <c r="E938" s="102"/>
    </row>
    <row r="939" spans="1:5" ht="15.75" customHeight="1">
      <c r="A939" s="102"/>
      <c r="B939" s="102"/>
      <c r="C939" s="102"/>
      <c r="D939" s="102"/>
      <c r="E939" s="102"/>
    </row>
    <row r="940" spans="1:5" ht="15.75" customHeight="1">
      <c r="A940" s="102"/>
      <c r="B940" s="102"/>
      <c r="C940" s="102"/>
      <c r="D940" s="102"/>
      <c r="E940" s="102"/>
    </row>
    <row r="941" spans="1:5" ht="15.75" customHeight="1">
      <c r="A941" s="102"/>
      <c r="B941" s="102"/>
      <c r="C941" s="102"/>
      <c r="D941" s="102"/>
      <c r="E941" s="102"/>
    </row>
    <row r="942" spans="1:5" ht="15.75" customHeight="1">
      <c r="A942" s="102"/>
      <c r="B942" s="102"/>
      <c r="C942" s="102"/>
      <c r="D942" s="102"/>
      <c r="E942" s="102"/>
    </row>
    <row r="943" spans="1:5" ht="15.75" customHeight="1">
      <c r="A943" s="102"/>
      <c r="B943" s="102"/>
      <c r="C943" s="102"/>
      <c r="D943" s="102"/>
      <c r="E943" s="102"/>
    </row>
    <row r="944" spans="1:5" ht="15.75" customHeight="1">
      <c r="A944" s="102"/>
      <c r="B944" s="102"/>
      <c r="C944" s="102"/>
      <c r="D944" s="102"/>
      <c r="E944" s="102"/>
    </row>
    <row r="945" spans="1:5" ht="15.75" customHeight="1">
      <c r="A945" s="102"/>
      <c r="B945" s="102"/>
      <c r="C945" s="102"/>
      <c r="D945" s="102"/>
      <c r="E945" s="102"/>
    </row>
    <row r="946" spans="1:5" ht="15.75" customHeight="1">
      <c r="A946" s="102"/>
      <c r="B946" s="102"/>
      <c r="C946" s="102"/>
      <c r="D946" s="102"/>
      <c r="E946" s="102"/>
    </row>
    <row r="947" spans="1:5" ht="15.75" customHeight="1">
      <c r="A947" s="102"/>
      <c r="B947" s="102"/>
      <c r="C947" s="102"/>
      <c r="D947" s="102"/>
      <c r="E947" s="102"/>
    </row>
    <row r="948" spans="1:5" ht="15.75" customHeight="1">
      <c r="A948" s="102"/>
      <c r="B948" s="102"/>
      <c r="C948" s="102"/>
      <c r="D948" s="102"/>
      <c r="E948" s="102"/>
    </row>
    <row r="949" spans="1:5" ht="15.75" customHeight="1">
      <c r="A949" s="102"/>
      <c r="B949" s="102"/>
      <c r="C949" s="102"/>
      <c r="D949" s="102"/>
      <c r="E949" s="102"/>
    </row>
    <row r="950" spans="1:5" ht="15.75" customHeight="1">
      <c r="A950" s="102"/>
      <c r="B950" s="102"/>
      <c r="C950" s="102"/>
      <c r="D950" s="102"/>
      <c r="E950" s="102"/>
    </row>
    <row r="951" spans="1:5" ht="15.75" customHeight="1">
      <c r="A951" s="102"/>
      <c r="B951" s="102"/>
      <c r="C951" s="102"/>
      <c r="D951" s="102"/>
      <c r="E951" s="102"/>
    </row>
    <row r="952" spans="1:5" ht="15.75" customHeight="1">
      <c r="A952" s="102"/>
      <c r="B952" s="102"/>
      <c r="C952" s="102"/>
      <c r="D952" s="102"/>
      <c r="E952" s="102"/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A60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A78" r:id="rId78"/>
    <hyperlink ref="B78" r:id="rId79"/>
    <hyperlink ref="B79" r:id="rId80"/>
    <hyperlink ref="B80" r:id="rId81"/>
    <hyperlink ref="B81" r:id="rId82"/>
    <hyperlink ref="B82" r:id="rId83"/>
    <hyperlink ref="B83" r:id="rId84"/>
    <hyperlink ref="B84" r:id="rId85"/>
    <hyperlink ref="A85" r:id="rId86"/>
    <hyperlink ref="B85" r:id="rId87"/>
    <hyperlink ref="B86" r:id="rId88"/>
    <hyperlink ref="A87" r:id="rId89"/>
    <hyperlink ref="B87" r:id="rId90"/>
    <hyperlink ref="B88" r:id="rId91"/>
    <hyperlink ref="B89" r:id="rId92"/>
    <hyperlink ref="B90" r:id="rId93"/>
    <hyperlink ref="B91" r:id="rId94"/>
    <hyperlink ref="B92" r:id="rId95"/>
    <hyperlink ref="B93" r:id="rId96"/>
    <hyperlink ref="B94" r:id="rId97"/>
    <hyperlink ref="B95" r:id="rId98"/>
    <hyperlink ref="B96" r:id="rId99"/>
    <hyperlink ref="B97" r:id="rId100"/>
    <hyperlink ref="B98" r:id="rId101"/>
    <hyperlink ref="B99" r:id="rId102"/>
    <hyperlink ref="B100" r:id="rId103"/>
    <hyperlink ref="B101" r:id="rId104"/>
    <hyperlink ref="B102" r:id="rId105"/>
    <hyperlink ref="B103" r:id="rId106"/>
    <hyperlink ref="B104" r:id="rId107"/>
    <hyperlink ref="B105" r:id="rId108"/>
    <hyperlink ref="B106" r:id="rId109"/>
    <hyperlink ref="B107" r:id="rId110"/>
    <hyperlink ref="B108" r:id="rId111"/>
    <hyperlink ref="B109" r:id="rId112"/>
    <hyperlink ref="B110" r:id="rId113"/>
    <hyperlink ref="B111" r:id="rId114"/>
    <hyperlink ref="B112" r:id="rId115"/>
    <hyperlink ref="B113" r:id="rId116"/>
    <hyperlink ref="B114" r:id="rId117"/>
    <hyperlink ref="B115" r:id="rId118"/>
    <hyperlink ref="B116" r:id="rId119"/>
    <hyperlink ref="B117" r:id="rId120"/>
    <hyperlink ref="B118" r:id="rId121"/>
    <hyperlink ref="B119" r:id="rId122"/>
    <hyperlink ref="B120" r:id="rId123"/>
    <hyperlink ref="B121" r:id="rId124"/>
    <hyperlink ref="B122" r:id="rId125"/>
    <hyperlink ref="B123" r:id="rId126"/>
    <hyperlink ref="B124" r:id="rId127"/>
    <hyperlink ref="B125" r:id="rId128"/>
    <hyperlink ref="B126" r:id="rId129"/>
    <hyperlink ref="B127" r:id="rId130"/>
    <hyperlink ref="B128" r:id="rId131"/>
    <hyperlink ref="B129" r:id="rId132"/>
    <hyperlink ref="B130" r:id="rId133"/>
    <hyperlink ref="B131" r:id="rId134"/>
    <hyperlink ref="B132" r:id="rId135"/>
    <hyperlink ref="B133" r:id="rId136"/>
    <hyperlink ref="B134" r:id="rId137"/>
    <hyperlink ref="B135" r:id="rId138"/>
    <hyperlink ref="B136" r:id="rId139"/>
    <hyperlink ref="B137" r:id="rId140"/>
    <hyperlink ref="B138" r:id="rId141"/>
    <hyperlink ref="B139" r:id="rId142"/>
    <hyperlink ref="B140" r:id="rId143"/>
    <hyperlink ref="B141" r:id="rId144"/>
    <hyperlink ref="B142" r:id="rId145"/>
    <hyperlink ref="B143" r:id="rId146"/>
    <hyperlink ref="B144" r:id="rId147"/>
    <hyperlink ref="B145" r:id="rId148"/>
    <hyperlink ref="B146" r:id="rId14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Z1000"/>
  <sheetViews>
    <sheetView workbookViewId="0"/>
  </sheetViews>
  <sheetFormatPr baseColWidth="10" defaultColWidth="14.5" defaultRowHeight="15.75" customHeight="1" x14ac:dyDescent="0"/>
  <cols>
    <col min="1" max="1" width="71.1640625" customWidth="1"/>
    <col min="2" max="2" width="88.83203125" customWidth="1"/>
    <col min="3" max="26" width="71.1640625" customWidth="1"/>
  </cols>
  <sheetData>
    <row r="1" spans="1:26" ht="15.75" customHeight="1">
      <c r="A1" s="3" t="s">
        <v>1409</v>
      </c>
      <c r="B1" s="3" t="s">
        <v>159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5.75" customHeight="1">
      <c r="A2" s="3" t="s">
        <v>1410</v>
      </c>
      <c r="B2" s="61" t="s">
        <v>1237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5.75" customHeight="1">
      <c r="A3" s="3" t="s">
        <v>1413</v>
      </c>
      <c r="B3" s="61" t="s">
        <v>1240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5.75" customHeight="1">
      <c r="A4" s="18"/>
      <c r="B4" s="61" t="s">
        <v>1256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5.75" customHeight="1">
      <c r="A5" s="3" t="s">
        <v>1419</v>
      </c>
      <c r="B5" s="60" t="s">
        <v>1346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.75" customHeight="1">
      <c r="A6" s="18"/>
      <c r="B6" s="61" t="s">
        <v>1367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.7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hyperlinks>
    <hyperlink ref="B2" r:id="rId1"/>
    <hyperlink ref="B3" r:id="rId2"/>
    <hyperlink ref="B4" r:id="rId3"/>
    <hyperlink ref="B5" r:id="rId4"/>
    <hyperlink ref="B6" r:id="rId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8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" max="1" width="30.33203125" customWidth="1"/>
    <col min="2" max="2" width="8.83203125" customWidth="1"/>
    <col min="3" max="3" width="30.33203125" customWidth="1"/>
    <col min="4" max="4" width="72.6640625" customWidth="1"/>
    <col min="5" max="5" width="46.33203125" customWidth="1"/>
    <col min="6" max="6" width="18.5" customWidth="1"/>
    <col min="10" max="10" width="107.5" customWidth="1"/>
  </cols>
  <sheetData>
    <row r="1" spans="1:30" ht="15.75" customHeight="1">
      <c r="A1" s="72" t="s">
        <v>159</v>
      </c>
      <c r="B1" s="72" t="s">
        <v>6</v>
      </c>
      <c r="C1" s="72" t="s">
        <v>400</v>
      </c>
      <c r="D1" s="72" t="s">
        <v>1571</v>
      </c>
      <c r="E1" s="72" t="s">
        <v>1572</v>
      </c>
    </row>
    <row r="2" spans="1:30" ht="15.75" customHeight="1">
      <c r="A2" s="71" t="s">
        <v>1573</v>
      </c>
      <c r="B2" s="87">
        <v>72</v>
      </c>
      <c r="C2" s="87" t="s">
        <v>1576</v>
      </c>
      <c r="D2" s="72" t="s">
        <v>1577</v>
      </c>
      <c r="E2" s="72" t="s">
        <v>57</v>
      </c>
    </row>
    <row r="3" spans="1:30" ht="15.75" customHeight="1">
      <c r="A3" s="71" t="s">
        <v>1092</v>
      </c>
      <c r="B3" s="87">
        <v>56</v>
      </c>
      <c r="C3" s="87" t="s">
        <v>1579</v>
      </c>
      <c r="D3" s="72" t="s">
        <v>1580</v>
      </c>
      <c r="E3" s="72" t="s">
        <v>57</v>
      </c>
    </row>
    <row r="4" spans="1:30" ht="15.75" customHeight="1">
      <c r="A4" s="71" t="s">
        <v>1581</v>
      </c>
      <c r="B4" s="87">
        <v>79</v>
      </c>
      <c r="C4" s="87" t="s">
        <v>1584</v>
      </c>
      <c r="D4" s="72" t="s">
        <v>1585</v>
      </c>
      <c r="E4" s="72" t="s">
        <v>57</v>
      </c>
    </row>
    <row r="5" spans="1:30" ht="15.75" customHeight="1">
      <c r="A5" s="71" t="s">
        <v>1586</v>
      </c>
      <c r="B5" s="87">
        <v>50</v>
      </c>
      <c r="C5" s="87" t="s">
        <v>1588</v>
      </c>
      <c r="D5" s="72" t="s">
        <v>1589</v>
      </c>
    </row>
    <row r="6" spans="1:30" ht="15.75" customHeight="1">
      <c r="A6" s="71" t="s">
        <v>1590</v>
      </c>
      <c r="B6" s="87">
        <v>80</v>
      </c>
      <c r="C6" s="87" t="s">
        <v>1591</v>
      </c>
    </row>
    <row r="7" spans="1:30" ht="15.75" customHeight="1">
      <c r="A7" s="71" t="s">
        <v>1592</v>
      </c>
      <c r="B7" s="87">
        <v>21</v>
      </c>
      <c r="C7" s="87" t="s">
        <v>1594</v>
      </c>
      <c r="D7" s="72" t="s">
        <v>1595</v>
      </c>
    </row>
    <row r="8" spans="1:30" ht="15.75" customHeight="1">
      <c r="A8" s="71" t="s">
        <v>1259</v>
      </c>
      <c r="B8" s="87">
        <v>73</v>
      </c>
      <c r="C8" s="87" t="s">
        <v>1600</v>
      </c>
      <c r="D8" s="72" t="s">
        <v>1601</v>
      </c>
      <c r="E8" s="93"/>
    </row>
    <row r="9" spans="1:30" ht="15.75" customHeight="1">
      <c r="A9" s="85" t="s">
        <v>1602</v>
      </c>
      <c r="B9" s="86">
        <v>77</v>
      </c>
      <c r="C9" s="86" t="s">
        <v>1603</v>
      </c>
      <c r="D9" s="88" t="s">
        <v>1604</v>
      </c>
      <c r="E9" s="88"/>
      <c r="F9" s="88"/>
      <c r="G9" s="88"/>
      <c r="H9" s="88"/>
      <c r="I9" s="88"/>
      <c r="J9" s="88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</row>
    <row r="10" spans="1:30" ht="15.75" customHeight="1">
      <c r="A10" s="71" t="s">
        <v>1605</v>
      </c>
      <c r="B10" s="87">
        <v>80</v>
      </c>
      <c r="C10" s="87" t="s">
        <v>164</v>
      </c>
      <c r="D10" s="72" t="s">
        <v>1608</v>
      </c>
      <c r="E10" s="72" t="s">
        <v>1609</v>
      </c>
      <c r="I10" s="88"/>
    </row>
    <row r="11" spans="1:30" ht="15.75" customHeight="1">
      <c r="A11" s="85" t="s">
        <v>387</v>
      </c>
      <c r="B11" s="86">
        <v>52</v>
      </c>
      <c r="C11" s="87" t="s">
        <v>164</v>
      </c>
      <c r="D11" s="88" t="s">
        <v>657</v>
      </c>
      <c r="E11" s="88"/>
      <c r="F11" s="95"/>
      <c r="G11" s="95"/>
      <c r="H11" s="95"/>
      <c r="I11" s="95"/>
      <c r="J11" s="88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  <c r="AA11" s="95"/>
      <c r="AB11" s="95"/>
      <c r="AC11" s="95"/>
      <c r="AD11" s="95"/>
    </row>
    <row r="12" spans="1:30" ht="15.75" customHeight="1">
      <c r="A12" s="85" t="s">
        <v>1610</v>
      </c>
      <c r="B12" s="86">
        <v>55</v>
      </c>
      <c r="C12" s="87" t="s">
        <v>164</v>
      </c>
      <c r="D12" s="88" t="s">
        <v>1613</v>
      </c>
      <c r="E12" s="88"/>
      <c r="F12" s="88"/>
      <c r="G12" s="88"/>
      <c r="H12" s="95"/>
      <c r="I12" s="95"/>
      <c r="J12" s="88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</row>
    <row r="13" spans="1:30" ht="15.75" customHeight="1">
      <c r="A13" s="71" t="s">
        <v>412</v>
      </c>
      <c r="B13" s="87">
        <v>50</v>
      </c>
      <c r="C13" s="87" t="s">
        <v>411</v>
      </c>
      <c r="D13" s="72" t="s">
        <v>1616</v>
      </c>
      <c r="E13" s="72" t="s">
        <v>1617</v>
      </c>
    </row>
    <row r="14" spans="1:30" ht="15.75" customHeight="1">
      <c r="A14" s="86"/>
      <c r="B14" s="86"/>
      <c r="C14" s="86"/>
      <c r="D14" s="88"/>
      <c r="E14" s="88"/>
      <c r="F14" s="88"/>
      <c r="G14" s="88"/>
      <c r="H14" s="88"/>
      <c r="I14" s="88"/>
      <c r="J14" s="15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</row>
    <row r="15" spans="1:30" ht="15.75" customHeight="1">
      <c r="A15" s="156"/>
      <c r="B15" s="156"/>
      <c r="C15" s="156"/>
      <c r="D15" s="99"/>
      <c r="E15" s="99"/>
      <c r="F15" s="99"/>
      <c r="G15" s="99"/>
      <c r="H15" s="100"/>
      <c r="I15" s="100"/>
    </row>
    <row r="16" spans="1:30" ht="15.75" customHeight="1">
      <c r="A16" s="86"/>
      <c r="B16" s="86"/>
      <c r="C16" s="86"/>
      <c r="D16" s="88"/>
      <c r="E16" s="95"/>
      <c r="F16" s="95"/>
      <c r="G16" s="95"/>
      <c r="H16" s="95"/>
      <c r="I16" s="95"/>
      <c r="J16" s="88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</row>
    <row r="17" spans="1:10" ht="15.75" customHeight="1">
      <c r="A17" s="87"/>
      <c r="B17" s="87"/>
      <c r="C17" s="87"/>
    </row>
    <row r="18" spans="1:10" ht="15.75" customHeight="1">
      <c r="A18" s="87"/>
      <c r="B18" s="87"/>
      <c r="C18" s="87"/>
      <c r="I18" s="88"/>
    </row>
    <row r="19" spans="1:10" ht="15.75" customHeight="1">
      <c r="A19" s="87"/>
      <c r="B19" s="87"/>
      <c r="C19" s="87"/>
    </row>
    <row r="20" spans="1:10" ht="15.75" customHeight="1">
      <c r="A20" s="87"/>
      <c r="B20" s="87"/>
      <c r="C20" s="87"/>
      <c r="E20" s="93"/>
    </row>
    <row r="21" spans="1:10" ht="15.75" customHeight="1">
      <c r="A21" s="87"/>
      <c r="B21" s="87"/>
      <c r="C21" s="87"/>
      <c r="J21" s="157"/>
    </row>
    <row r="22" spans="1:10" ht="15.75" customHeight="1">
      <c r="A22" s="87"/>
      <c r="B22" s="87"/>
      <c r="C22" s="87"/>
    </row>
    <row r="23" spans="1:10" ht="15.75" customHeight="1">
      <c r="A23" s="87"/>
      <c r="B23" s="87"/>
      <c r="C23" s="87"/>
    </row>
    <row r="24" spans="1:10" ht="15.75" customHeight="1">
      <c r="A24" s="87"/>
      <c r="B24" s="87"/>
      <c r="C24" s="87"/>
    </row>
    <row r="25" spans="1:10" ht="15.75" customHeight="1">
      <c r="A25" s="87"/>
      <c r="B25" s="87"/>
      <c r="C25" s="87"/>
    </row>
    <row r="26" spans="1:10" ht="15.75" customHeight="1">
      <c r="A26" s="87"/>
      <c r="B26" s="87"/>
      <c r="C26" s="87"/>
    </row>
    <row r="27" spans="1:10" ht="15.75" customHeight="1">
      <c r="A27" s="87"/>
      <c r="B27" s="87"/>
      <c r="C27" s="87"/>
    </row>
    <row r="28" spans="1:10" ht="15.75" customHeight="1">
      <c r="A28" s="87"/>
      <c r="B28" s="87"/>
      <c r="C28" s="87"/>
    </row>
    <row r="29" spans="1:10" ht="15.75" customHeight="1">
      <c r="A29" s="87"/>
      <c r="B29" s="87"/>
      <c r="C29" s="87"/>
    </row>
    <row r="30" spans="1:10" ht="15.75" customHeight="1">
      <c r="A30" s="87"/>
      <c r="B30" s="87"/>
      <c r="C30" s="87"/>
    </row>
    <row r="31" spans="1:10" ht="15.75" customHeight="1">
      <c r="A31" s="87"/>
      <c r="B31" s="87"/>
      <c r="C31" s="87"/>
    </row>
    <row r="32" spans="1:10" ht="15.75" customHeight="1">
      <c r="A32" s="87"/>
      <c r="B32" s="87"/>
      <c r="C32" s="87"/>
    </row>
    <row r="33" spans="1:5" ht="15.75" customHeight="1">
      <c r="A33" s="87"/>
      <c r="B33" s="87"/>
      <c r="C33" s="87"/>
    </row>
    <row r="34" spans="1:5" ht="15.75" customHeight="1">
      <c r="A34" s="87"/>
      <c r="B34" s="87"/>
      <c r="C34" s="87"/>
    </row>
    <row r="35" spans="1:5" ht="15.75" customHeight="1">
      <c r="A35" s="87"/>
      <c r="B35" s="87"/>
      <c r="C35" s="87"/>
    </row>
    <row r="36" spans="1:5" ht="15.75" customHeight="1">
      <c r="A36" s="87"/>
      <c r="B36" s="87"/>
      <c r="C36" s="87"/>
    </row>
    <row r="37" spans="1:5" ht="15.75" customHeight="1">
      <c r="A37" s="87"/>
      <c r="B37" s="87"/>
      <c r="C37" s="87"/>
    </row>
    <row r="38" spans="1:5" ht="15.75" customHeight="1">
      <c r="A38" s="87"/>
      <c r="B38" s="87"/>
      <c r="C38" s="87"/>
    </row>
    <row r="39" spans="1:5" ht="15.75" customHeight="1">
      <c r="A39" s="87"/>
      <c r="B39" s="87"/>
      <c r="C39" s="87"/>
    </row>
    <row r="40" spans="1:5" ht="15.75" customHeight="1">
      <c r="A40" s="87"/>
      <c r="B40" s="87"/>
      <c r="C40" s="87"/>
    </row>
    <row r="41" spans="1:5" ht="15.75" customHeight="1">
      <c r="A41" s="87"/>
      <c r="B41" s="87"/>
      <c r="C41" s="87"/>
    </row>
    <row r="42" spans="1:5" ht="15.75" customHeight="1">
      <c r="A42" s="87"/>
      <c r="B42" s="87"/>
      <c r="C42" s="87"/>
    </row>
    <row r="43" spans="1:5" ht="15.75" customHeight="1">
      <c r="A43" s="87"/>
      <c r="B43" s="87"/>
      <c r="C43" s="87"/>
    </row>
    <row r="44" spans="1:5" ht="15.75" customHeight="1">
      <c r="A44" s="87"/>
      <c r="B44" s="87"/>
      <c r="C44" s="87"/>
    </row>
    <row r="45" spans="1:5" ht="15.75" customHeight="1">
      <c r="A45" s="87"/>
      <c r="B45" s="87"/>
      <c r="C45" s="87"/>
    </row>
    <row r="46" spans="1:5" ht="15.75" customHeight="1">
      <c r="A46" s="87"/>
      <c r="B46" s="87"/>
      <c r="C46" s="87"/>
    </row>
    <row r="47" spans="1:5" ht="15.75" customHeight="1">
      <c r="A47" s="87"/>
      <c r="B47" s="87"/>
      <c r="C47" s="87"/>
    </row>
    <row r="48" spans="1:5" ht="15.75" customHeight="1">
      <c r="A48" s="87"/>
      <c r="B48" s="87"/>
      <c r="C48" s="87"/>
      <c r="E48" s="87"/>
    </row>
    <row r="49" spans="1:4" ht="15.75" customHeight="1">
      <c r="A49" s="87"/>
      <c r="B49" s="87"/>
      <c r="C49" s="87"/>
    </row>
    <row r="50" spans="1:4" ht="15.75" customHeight="1">
      <c r="A50" s="87"/>
      <c r="B50" s="87"/>
      <c r="C50" s="87"/>
    </row>
    <row r="51" spans="1:4" ht="15.75" customHeight="1">
      <c r="A51" s="87"/>
      <c r="B51" s="87"/>
      <c r="C51" s="87"/>
    </row>
    <row r="52" spans="1:4" ht="15.75" customHeight="1">
      <c r="A52" s="87"/>
      <c r="B52" s="87"/>
      <c r="C52" s="87"/>
      <c r="D52" s="143"/>
    </row>
    <row r="53" spans="1:4" ht="15.75" customHeight="1">
      <c r="A53" s="87"/>
      <c r="B53" s="87"/>
      <c r="C53" s="87"/>
    </row>
    <row r="54" spans="1:4" ht="15.75" customHeight="1">
      <c r="A54" s="87"/>
      <c r="B54" s="87"/>
      <c r="C54" s="87"/>
    </row>
    <row r="55" spans="1:4" ht="15.75" customHeight="1">
      <c r="A55" s="87"/>
      <c r="B55" s="87"/>
      <c r="C55" s="87"/>
    </row>
    <row r="56" spans="1:4" ht="15.75" customHeight="1">
      <c r="A56" s="87"/>
      <c r="B56" s="87"/>
      <c r="C56" s="87"/>
    </row>
    <row r="57" spans="1:4" ht="15.75" customHeight="1">
      <c r="A57" s="87"/>
      <c r="B57" s="87"/>
      <c r="C57" s="87"/>
    </row>
    <row r="58" spans="1:4" ht="15.75" customHeight="1">
      <c r="A58" s="87"/>
      <c r="B58" s="87"/>
      <c r="C58" s="87"/>
    </row>
    <row r="59" spans="1:4" ht="15.75" customHeight="1">
      <c r="A59" s="87"/>
      <c r="B59" s="87"/>
      <c r="C59" s="87"/>
      <c r="D59" s="3"/>
    </row>
    <row r="60" spans="1:4" ht="15.75" customHeight="1">
      <c r="A60" s="87"/>
      <c r="B60" s="87"/>
      <c r="C60" s="87"/>
    </row>
    <row r="61" spans="1:4" ht="15.75" customHeight="1">
      <c r="A61" s="87"/>
      <c r="B61" s="87"/>
      <c r="C61" s="87"/>
    </row>
    <row r="62" spans="1:4" ht="15.75" customHeight="1">
      <c r="A62" s="87"/>
      <c r="B62" s="87"/>
      <c r="C62" s="87"/>
    </row>
    <row r="63" spans="1:4" ht="15.75" customHeight="1">
      <c r="A63" s="87"/>
      <c r="B63" s="87"/>
      <c r="C63" s="87"/>
    </row>
    <row r="64" spans="1:4" ht="15.75" customHeight="1">
      <c r="A64" s="87"/>
      <c r="B64" s="87"/>
      <c r="C64" s="87"/>
    </row>
    <row r="65" spans="1:3" ht="15.75" customHeight="1">
      <c r="A65" s="87"/>
      <c r="B65" s="87"/>
      <c r="C65" s="87"/>
    </row>
    <row r="66" spans="1:3" ht="15.75" customHeight="1">
      <c r="A66" s="87"/>
      <c r="B66" s="87"/>
      <c r="C66" s="87"/>
    </row>
    <row r="67" spans="1:3" ht="15.75" customHeight="1">
      <c r="A67" s="87"/>
      <c r="B67" s="87"/>
      <c r="C67" s="87"/>
    </row>
    <row r="68" spans="1:3" ht="15.75" customHeight="1">
      <c r="A68" s="87"/>
      <c r="B68" s="87"/>
      <c r="C68" s="87"/>
    </row>
    <row r="69" spans="1:3" ht="15.75" customHeight="1">
      <c r="A69" s="87"/>
      <c r="B69" s="87"/>
      <c r="C69" s="87"/>
    </row>
    <row r="70" spans="1:3" ht="15.75" customHeight="1">
      <c r="A70" s="87"/>
      <c r="B70" s="87"/>
      <c r="C70" s="87"/>
    </row>
    <row r="71" spans="1:3" ht="15.75" customHeight="1">
      <c r="A71" s="87"/>
      <c r="B71" s="87"/>
      <c r="C71" s="87"/>
    </row>
    <row r="72" spans="1:3" ht="15.75" customHeight="1">
      <c r="A72" s="87"/>
      <c r="B72" s="87"/>
      <c r="C72" s="87"/>
    </row>
    <row r="73" spans="1:3" ht="15.75" customHeight="1">
      <c r="A73" s="87"/>
      <c r="B73" s="87"/>
      <c r="C73" s="87"/>
    </row>
    <row r="74" spans="1:3" ht="15.75" customHeight="1">
      <c r="A74" s="87"/>
      <c r="B74" s="87"/>
      <c r="C74" s="87"/>
    </row>
    <row r="75" spans="1:3" ht="15.75" customHeight="1">
      <c r="A75" s="87"/>
      <c r="B75" s="87"/>
      <c r="C75" s="87"/>
    </row>
    <row r="76" spans="1:3" ht="15.75" customHeight="1">
      <c r="A76" s="87"/>
      <c r="B76" s="87"/>
      <c r="C76" s="87"/>
    </row>
    <row r="77" spans="1:3" ht="15.75" customHeight="1">
      <c r="A77" s="87"/>
      <c r="B77" s="87"/>
      <c r="C77" s="87"/>
    </row>
    <row r="78" spans="1:3" ht="15.75" customHeight="1">
      <c r="A78" s="87"/>
      <c r="B78" s="87"/>
      <c r="C78" s="87"/>
    </row>
    <row r="79" spans="1:3" ht="15.75" customHeight="1">
      <c r="A79" s="87"/>
      <c r="B79" s="87"/>
      <c r="C79" s="87"/>
    </row>
    <row r="80" spans="1:3" ht="15.75" customHeight="1">
      <c r="A80" s="87"/>
      <c r="B80" s="87"/>
      <c r="C80" s="87"/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9" si="0">COUNTIF(E2:AD2,"&gt;0")</f>
        <v>0</v>
      </c>
      <c r="C2" s="8" t="e">
        <f t="shared" ref="C2:C70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5</v>
      </c>
      <c r="C4" s="8">
        <f t="shared" si="1"/>
        <v>41.2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1638</v>
      </c>
      <c r="F4" s="13">
        <v>40</v>
      </c>
      <c r="G4" s="158" t="s">
        <v>1641</v>
      </c>
      <c r="H4" s="13">
        <v>37</v>
      </c>
      <c r="I4" s="61" t="s">
        <v>1645</v>
      </c>
      <c r="J4" s="13">
        <v>52</v>
      </c>
      <c r="K4" s="21" t="s">
        <v>1646</v>
      </c>
      <c r="L4" s="13">
        <v>46</v>
      </c>
      <c r="M4" s="21" t="s">
        <v>1649</v>
      </c>
      <c r="N4" s="13">
        <v>31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62</v>
      </c>
      <c r="B6" s="8">
        <f t="shared" si="0"/>
        <v>2</v>
      </c>
      <c r="C6" s="8">
        <f t="shared" si="1"/>
        <v>46.5</v>
      </c>
      <c r="D6" s="21" t="s">
        <v>63</v>
      </c>
      <c r="E6" s="21" t="s">
        <v>1652</v>
      </c>
      <c r="F6" s="13">
        <v>42</v>
      </c>
      <c r="G6" s="21" t="s">
        <v>1655</v>
      </c>
      <c r="H6" s="13">
        <v>51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64</v>
      </c>
      <c r="B7" s="8">
        <f t="shared" si="0"/>
        <v>3</v>
      </c>
      <c r="C7" s="8">
        <f t="shared" si="1"/>
        <v>41.333333333333336</v>
      </c>
      <c r="D7" s="21" t="s">
        <v>65</v>
      </c>
      <c r="E7" s="21" t="s">
        <v>1660</v>
      </c>
      <c r="F7" s="13">
        <v>45</v>
      </c>
      <c r="G7" s="21" t="s">
        <v>1661</v>
      </c>
      <c r="H7" s="13">
        <v>33</v>
      </c>
      <c r="I7" s="21" t="s">
        <v>1663</v>
      </c>
      <c r="J7" s="13">
        <v>46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66</v>
      </c>
      <c r="B8" s="8">
        <f t="shared" si="0"/>
        <v>3</v>
      </c>
      <c r="C8" s="8">
        <f t="shared" si="1"/>
        <v>43</v>
      </c>
      <c r="D8" s="22" t="str">
        <f>HYPERLINK("https://www.digitalauthority.me/alexa/","Alexa dev page")</f>
        <v>Alexa dev page</v>
      </c>
      <c r="E8" s="21" t="s">
        <v>1660</v>
      </c>
      <c r="F8" s="13">
        <v>45</v>
      </c>
      <c r="G8" s="21" t="s">
        <v>1661</v>
      </c>
      <c r="H8" s="13">
        <v>33</v>
      </c>
      <c r="I8" s="21" t="s">
        <v>1655</v>
      </c>
      <c r="J8" s="13">
        <v>51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67</v>
      </c>
      <c r="B9" s="8">
        <f t="shared" si="0"/>
        <v>0</v>
      </c>
      <c r="C9" s="8" t="e">
        <f t="shared" si="1"/>
        <v>#DIV/0!</v>
      </c>
      <c r="D9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9" s="28"/>
      <c r="F9" s="26"/>
      <c r="G9" s="29"/>
      <c r="H9" s="29"/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3" t="s">
        <v>68</v>
      </c>
      <c r="B10" s="8">
        <f ca="1">COUNTIF(A10:AD10,"&gt;0")</f>
        <v>5</v>
      </c>
      <c r="C10" s="8">
        <f t="shared" ca="1" si="1"/>
        <v>30</v>
      </c>
      <c r="D10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10" s="61" t="s">
        <v>1676</v>
      </c>
      <c r="F10" s="13">
        <v>50</v>
      </c>
      <c r="G10" s="160" t="s">
        <v>1678</v>
      </c>
      <c r="H10" s="13">
        <v>50</v>
      </c>
      <c r="I10" s="21" t="s">
        <v>1681</v>
      </c>
      <c r="J10" s="13">
        <v>50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69</v>
      </c>
      <c r="B11" s="8">
        <f t="shared" ref="B11:B38" si="2">COUNTIF(E11:AD11,"&gt;0")</f>
        <v>0</v>
      </c>
      <c r="C11" s="8" t="e">
        <f t="shared" si="1"/>
        <v>#DIV/0!</v>
      </c>
      <c r="D11" s="30" t="str">
        <f>HYPERLINK("https://healthcareweekly.com/astaxanthin/","15 health benefits of astaxanthin")</f>
        <v>15 health benefits of astaxanthin</v>
      </c>
      <c r="E11" s="12"/>
      <c r="F11" s="13"/>
      <c r="G11" s="12"/>
      <c r="H11" s="13"/>
      <c r="I11" s="12"/>
      <c r="J11" s="13"/>
      <c r="K11" s="12"/>
      <c r="L11" s="13"/>
      <c r="M11" s="12"/>
      <c r="N11" s="13"/>
      <c r="O11" s="12"/>
      <c r="P11" s="13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70</v>
      </c>
      <c r="B12" s="8">
        <f t="shared" si="2"/>
        <v>4</v>
      </c>
      <c r="C12" s="8">
        <f t="shared" si="1"/>
        <v>55.5</v>
      </c>
      <c r="D12" s="11" t="str">
        <f>HYPERLINK("https://www.digitalauthority.me/resources/b2b-marketing/","How to Jumpstart Your B2B Marketing Strategy in 2019")</f>
        <v>How to Jumpstart Your B2B Marketing Strategy in 2019</v>
      </c>
      <c r="E12" s="32" t="s">
        <v>1686</v>
      </c>
      <c r="F12" s="24">
        <v>60</v>
      </c>
      <c r="G12" s="160" t="s">
        <v>1687</v>
      </c>
      <c r="H12" s="13">
        <v>58</v>
      </c>
      <c r="I12" s="21" t="s">
        <v>1690</v>
      </c>
      <c r="J12" s="13">
        <v>54</v>
      </c>
      <c r="K12" s="21" t="s">
        <v>1692</v>
      </c>
      <c r="L12" s="13">
        <v>50</v>
      </c>
      <c r="M12" s="21" t="s">
        <v>1695</v>
      </c>
      <c r="N12" s="13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72</v>
      </c>
      <c r="B13" s="8">
        <f t="shared" si="2"/>
        <v>1</v>
      </c>
      <c r="C13" s="8">
        <f t="shared" si="1"/>
        <v>50</v>
      </c>
      <c r="D13" s="11" t="str">
        <f>HYPERLINK("https://www.digitalauthority.me/resources/big-data-in-healthcare/","Big Data in healthcare")</f>
        <v>Big Data in healthcare</v>
      </c>
      <c r="E13" s="61" t="s">
        <v>1676</v>
      </c>
      <c r="F13" s="13">
        <v>50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73</v>
      </c>
      <c r="B14" s="8">
        <f t="shared" si="2"/>
        <v>0</v>
      </c>
      <c r="C14" s="8" t="e">
        <f t="shared" si="1"/>
        <v>#DIV/0!</v>
      </c>
      <c r="D14" s="30" t="str">
        <f>HYPERLINK("https://healthcareweekly.com/blockchain-in-healthcare/","7 Applications of Blockchain in Healthcare
")</f>
        <v>7 Applications of Blockchain in Healthcare_x000D_</v>
      </c>
      <c r="E14" s="27" t="s">
        <v>1701</v>
      </c>
      <c r="F14" s="26"/>
      <c r="G14" s="13"/>
      <c r="H14" s="13"/>
      <c r="I14" s="13"/>
      <c r="J14" s="13"/>
      <c r="K14" s="13"/>
      <c r="L14" s="1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73</v>
      </c>
      <c r="B15" s="8">
        <f t="shared" si="2"/>
        <v>0</v>
      </c>
      <c r="C15" s="8" t="e">
        <f t="shared" si="1"/>
        <v>#DIV/0!</v>
      </c>
      <c r="D15" s="11" t="str">
        <f>HYPERLINK("https://www.digitalauthority.me/resources/blockchain-in-healthcare/","Blockchain in Healthcare: An Executive’s Guide for 2019")</f>
        <v>Blockchain in Healthcare: An Executive’s Guide for 2019</v>
      </c>
      <c r="E15" s="61" t="s">
        <v>1701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75</v>
      </c>
      <c r="B16" s="8">
        <f t="shared" si="2"/>
        <v>0</v>
      </c>
      <c r="C16" s="8" t="e">
        <f t="shared" si="1"/>
        <v>#DIV/0!</v>
      </c>
      <c r="D1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76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78</v>
      </c>
      <c r="B18" s="8">
        <f t="shared" si="2"/>
        <v>0</v>
      </c>
      <c r="C18" s="8" t="e">
        <f t="shared" si="1"/>
        <v>#DIV/0!</v>
      </c>
      <c r="D18" s="21" t="s">
        <v>77</v>
      </c>
      <c r="E18" s="12"/>
      <c r="F18" s="13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79</v>
      </c>
      <c r="B19" s="8">
        <f t="shared" si="2"/>
        <v>0</v>
      </c>
      <c r="C19" s="8" t="e">
        <f t="shared" si="1"/>
        <v>#DIV/0!</v>
      </c>
      <c r="D19" s="21" t="s">
        <v>77</v>
      </c>
      <c r="E19" s="33"/>
      <c r="F19" s="34"/>
      <c r="G19" s="12"/>
      <c r="H19" s="13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80</v>
      </c>
      <c r="B20" s="8">
        <f t="shared" si="2"/>
        <v>0</v>
      </c>
      <c r="C20" s="8" t="e">
        <f t="shared" si="1"/>
        <v>#DIV/0!</v>
      </c>
      <c r="D20" s="35" t="s">
        <v>77</v>
      </c>
      <c r="E20" s="12"/>
      <c r="F20" s="13"/>
      <c r="G20" s="28"/>
      <c r="H20" s="26"/>
      <c r="I20" s="28"/>
      <c r="J20" s="26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74</v>
      </c>
      <c r="B21" s="8">
        <f t="shared" si="2"/>
        <v>0</v>
      </c>
      <c r="C21" s="8" t="e">
        <f t="shared" si="1"/>
        <v>#DIV/0!</v>
      </c>
      <c r="D2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1" s="28"/>
      <c r="F21" s="26"/>
      <c r="G21" s="28"/>
      <c r="H21" s="26"/>
      <c r="I21" s="12"/>
      <c r="J21" s="13"/>
      <c r="K21" s="28"/>
      <c r="L21" s="26"/>
      <c r="M21" s="12"/>
      <c r="N21" s="13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13"/>
      <c r="AA21" s="8"/>
      <c r="AB21" s="8"/>
      <c r="AC21" s="8"/>
      <c r="AD21" s="8"/>
    </row>
    <row r="22" spans="1:30" ht="15.75" customHeight="1">
      <c r="A22" s="3" t="s">
        <v>81</v>
      </c>
      <c r="B22" s="8">
        <f t="shared" si="2"/>
        <v>0</v>
      </c>
      <c r="C22" s="8" t="e">
        <f t="shared" si="1"/>
        <v>#DIV/0!</v>
      </c>
      <c r="D22" s="36"/>
      <c r="E22" s="37"/>
      <c r="F22" s="38"/>
      <c r="G22" s="2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82</v>
      </c>
      <c r="B23" s="8">
        <f t="shared" si="2"/>
        <v>0</v>
      </c>
      <c r="C23" s="8" t="e">
        <f t="shared" si="1"/>
        <v>#DIV/0!</v>
      </c>
      <c r="D23" s="11" t="s">
        <v>77</v>
      </c>
      <c r="E23" s="3"/>
      <c r="F23" s="3"/>
      <c r="G23" s="16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83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84</v>
      </c>
      <c r="B25" s="8">
        <f t="shared" si="2"/>
        <v>0</v>
      </c>
      <c r="C25" s="8" t="e">
        <f t="shared" si="1"/>
        <v>#DIV/0!</v>
      </c>
      <c r="D25" s="21" t="s">
        <v>77</v>
      </c>
      <c r="E25" s="39"/>
      <c r="F25" s="7"/>
      <c r="G25" s="40"/>
      <c r="H25" s="8"/>
      <c r="I25" s="12"/>
      <c r="J25" s="1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85</v>
      </c>
      <c r="B26" s="8">
        <f t="shared" si="2"/>
        <v>0</v>
      </c>
      <c r="C26" s="8" t="e">
        <f t="shared" si="1"/>
        <v>#DIV/0!</v>
      </c>
      <c r="D26" s="21" t="s">
        <v>77</v>
      </c>
      <c r="E26" s="41"/>
      <c r="F26" s="42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86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2" t="s">
        <v>87</v>
      </c>
      <c r="B28" s="8">
        <f t="shared" si="2"/>
        <v>0</v>
      </c>
      <c r="C28" s="8" t="e">
        <f t="shared" si="1"/>
        <v>#DIV/0!</v>
      </c>
      <c r="D28" s="21" t="s">
        <v>77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88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9" s="28"/>
      <c r="F29" s="26"/>
      <c r="G29" s="44"/>
      <c r="H29" s="24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89</v>
      </c>
      <c r="B30" s="8">
        <f t="shared" si="2"/>
        <v>0</v>
      </c>
      <c r="C30" s="8" t="e">
        <f t="shared" si="1"/>
        <v>#DIV/0!</v>
      </c>
      <c r="D3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30" s="28"/>
      <c r="F30" s="26"/>
      <c r="G30" s="29"/>
      <c r="H30" s="29"/>
      <c r="I30" s="29"/>
      <c r="J30" s="29"/>
      <c r="K30" s="29"/>
      <c r="L30" s="2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90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1" s="33"/>
      <c r="F31" s="34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59</v>
      </c>
      <c r="B32" s="8">
        <f t="shared" si="2"/>
        <v>0</v>
      </c>
      <c r="C32" s="8" t="e">
        <f t="shared" si="1"/>
        <v>#DIV/0!</v>
      </c>
      <c r="D3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2" s="33"/>
      <c r="F32" s="34"/>
      <c r="G32" s="12"/>
      <c r="H32" s="13"/>
      <c r="I32" s="12"/>
      <c r="J32" s="13"/>
      <c r="K32" s="12"/>
      <c r="L32" s="1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26" t="s">
        <v>91</v>
      </c>
      <c r="B33" s="8">
        <f t="shared" si="2"/>
        <v>0</v>
      </c>
      <c r="C33" s="8" t="e">
        <f t="shared" si="1"/>
        <v>#DIV/0!</v>
      </c>
      <c r="D3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3" s="23"/>
      <c r="F33" s="24"/>
      <c r="G33" s="12"/>
      <c r="H33" s="13"/>
      <c r="I33" s="28"/>
      <c r="J33" s="26"/>
      <c r="K33" s="3"/>
      <c r="L33" s="45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92</v>
      </c>
      <c r="B34" s="8">
        <f t="shared" si="2"/>
        <v>0</v>
      </c>
      <c r="C34" s="8" t="e">
        <f t="shared" si="1"/>
        <v>#DIV/0!</v>
      </c>
      <c r="D34" s="21" t="s">
        <v>77</v>
      </c>
      <c r="E34" s="28"/>
      <c r="F34" s="26"/>
      <c r="G34" s="12"/>
      <c r="H34" s="13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93</v>
      </c>
      <c r="B35" s="8">
        <f t="shared" si="2"/>
        <v>0</v>
      </c>
      <c r="C35" s="8" t="e">
        <f t="shared" si="1"/>
        <v>#DIV/0!</v>
      </c>
      <c r="D35" s="30" t="s">
        <v>77</v>
      </c>
      <c r="E35" s="28"/>
      <c r="F35" s="26"/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2" t="s">
        <v>94</v>
      </c>
      <c r="B36" s="8">
        <f t="shared" si="2"/>
        <v>0</v>
      </c>
      <c r="C36" s="8" t="e">
        <f t="shared" si="1"/>
        <v>#DIV/0!</v>
      </c>
      <c r="D3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6" s="12"/>
      <c r="F36" s="13"/>
      <c r="G36" s="12"/>
      <c r="H36" s="13"/>
      <c r="I36" s="12"/>
      <c r="J36" s="13"/>
      <c r="K36" s="12"/>
      <c r="L36" s="13"/>
      <c r="M36" s="12"/>
      <c r="N36" s="13"/>
      <c r="O36" s="23"/>
      <c r="P36" s="24"/>
      <c r="Q36" s="12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95</v>
      </c>
      <c r="B37" s="8">
        <f t="shared" si="2"/>
        <v>0</v>
      </c>
      <c r="C37" s="8" t="e">
        <f t="shared" si="1"/>
        <v>#DIV/0!</v>
      </c>
      <c r="D37" s="8"/>
      <c r="E37" s="12"/>
      <c r="F37" s="13"/>
      <c r="G37" s="12"/>
      <c r="H37" s="13"/>
      <c r="I37" s="28"/>
      <c r="J37" s="26"/>
      <c r="K37" s="23"/>
      <c r="L37" s="24"/>
      <c r="M37" s="12"/>
      <c r="N37" s="13"/>
      <c r="O37" s="46"/>
      <c r="P37" s="47"/>
      <c r="Q37" s="28"/>
      <c r="R37" s="26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3" t="s">
        <v>96</v>
      </c>
      <c r="B38" s="8">
        <f t="shared" si="2"/>
        <v>0</v>
      </c>
      <c r="C38" s="8" t="e">
        <f t="shared" si="1"/>
        <v>#DIV/0!</v>
      </c>
      <c r="D38" s="11" t="str">
        <f>HYPERLINK("https://www.digitalauthority.me/resources/healthcare-marketing-plan-guide/","Healthcare Marketing Plan Guide")</f>
        <v>Healthcare Marketing Plan Guide</v>
      </c>
      <c r="E38" s="8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7" t="s">
        <v>98</v>
      </c>
      <c r="B39" s="47">
        <f ca="1">COUNTIF(A39:AD39,"&gt;0")</f>
        <v>0</v>
      </c>
      <c r="C39" s="49" t="str">
        <f t="shared" ca="1" si="1"/>
        <v>#DIV/0!</v>
      </c>
      <c r="D39" s="50" t="str">
        <f>HYPERLINK("https://www.digitalauthority.me/resources/healthcare-app-development-ultimate-guide/","Healthcare Mobile App development")</f>
        <v>Healthcare Mobile App development</v>
      </c>
      <c r="E39" s="31"/>
      <c r="F39" s="31"/>
      <c r="G39" s="31"/>
      <c r="H39" s="31"/>
      <c r="I39" s="31"/>
      <c r="J39" s="31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5.75" customHeight="1">
      <c r="A40" s="13" t="s">
        <v>99</v>
      </c>
      <c r="B40" s="8">
        <f t="shared" ref="B40:B71" si="3">COUNTIF(E40:AD40,"&gt;0")</f>
        <v>0</v>
      </c>
      <c r="C40" s="8" t="e">
        <f t="shared" si="1"/>
        <v>#DIV/0!</v>
      </c>
      <c r="D40" s="11" t="str">
        <f>HYPERLINK("https://www.digitalauthority.me/resources/public-relations-healthcare-guide/","Healthcare PR Guide")</f>
        <v>Healthcare PR Guide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>
      <c r="A41" s="3" t="s">
        <v>100</v>
      </c>
      <c r="B41" s="8">
        <f t="shared" si="3"/>
        <v>0</v>
      </c>
      <c r="C41" s="8" t="e">
        <f t="shared" si="1"/>
        <v>#DIV/0!</v>
      </c>
      <c r="D41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1" s="51"/>
      <c r="F41" s="51"/>
      <c r="G41" s="5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101</v>
      </c>
      <c r="B42" s="8">
        <f t="shared" si="3"/>
        <v>0</v>
      </c>
      <c r="C42" s="8" t="e">
        <f t="shared" si="1"/>
        <v>#DIV/0!</v>
      </c>
      <c r="D42" s="27" t="str">
        <f>HYPERLINK("https://healthcareweekly.com/healthcare-startup-fails/","Most Common Health Startup Mistakes – and How to Fix Them
")</f>
        <v>Most Common Health Startup Mistakes – and How to Fix Them_x000D_</v>
      </c>
      <c r="E42" s="28"/>
      <c r="F42" s="26"/>
      <c r="G42" s="28"/>
      <c r="H42" s="26"/>
      <c r="I42" s="12"/>
      <c r="J42" s="13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102</v>
      </c>
      <c r="B43" s="8">
        <f t="shared" si="3"/>
        <v>1</v>
      </c>
      <c r="C43" s="8">
        <f t="shared" si="1"/>
        <v>44</v>
      </c>
      <c r="D43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3" s="27" t="s">
        <v>1743</v>
      </c>
      <c r="F43" s="26">
        <v>44</v>
      </c>
      <c r="G43" s="44"/>
      <c r="H43" s="24"/>
      <c r="I43" s="28"/>
      <c r="J43" s="26"/>
      <c r="K43" s="52"/>
      <c r="L43" s="53"/>
      <c r="M43" s="28"/>
      <c r="N43" s="26"/>
      <c r="O43" s="12"/>
      <c r="P43" s="13"/>
      <c r="Q43" s="12"/>
      <c r="R43" s="13"/>
      <c r="S43" s="12"/>
      <c r="T43" s="13"/>
      <c r="U43" s="12"/>
      <c r="V43" s="13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26" t="s">
        <v>103</v>
      </c>
      <c r="B44" s="8">
        <f t="shared" si="3"/>
        <v>0</v>
      </c>
      <c r="C44" s="8" t="e">
        <f t="shared" si="1"/>
        <v>#DIV/0!</v>
      </c>
      <c r="D44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4" s="28"/>
      <c r="F44" s="26"/>
      <c r="G44" s="44"/>
      <c r="H44" s="24"/>
      <c r="I44" s="28"/>
      <c r="J44" s="26"/>
      <c r="K44" s="12"/>
      <c r="L44" s="13"/>
      <c r="M44" s="12"/>
      <c r="N44" s="13"/>
      <c r="O44" s="13"/>
      <c r="P44" s="13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104</v>
      </c>
      <c r="B45" s="8">
        <f t="shared" si="3"/>
        <v>0</v>
      </c>
      <c r="C45" s="8" t="e">
        <f t="shared" si="1"/>
        <v>#DIV/0!</v>
      </c>
      <c r="D45" s="21" t="s">
        <v>105</v>
      </c>
      <c r="E45" s="13"/>
      <c r="F45" s="13"/>
      <c r="G45" s="13"/>
      <c r="H45" s="13"/>
      <c r="I45" s="13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106</v>
      </c>
      <c r="B46" s="8">
        <f t="shared" si="3"/>
        <v>0</v>
      </c>
      <c r="C46" s="8" t="e">
        <f t="shared" si="1"/>
        <v>#DIV/0!</v>
      </c>
      <c r="D46" s="21" t="s">
        <v>107</v>
      </c>
      <c r="E46" s="13"/>
      <c r="F46" s="13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108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12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109</v>
      </c>
      <c r="B48" s="8">
        <f t="shared" si="3"/>
        <v>0</v>
      </c>
      <c r="C48" s="8" t="e">
        <f t="shared" si="1"/>
        <v>#DIV/0!</v>
      </c>
      <c r="D48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8" s="23"/>
      <c r="F48" s="24"/>
      <c r="G48" s="12"/>
      <c r="H48" s="13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110</v>
      </c>
      <c r="B49" s="8">
        <f t="shared" si="3"/>
        <v>0</v>
      </c>
      <c r="C49" s="8" t="e">
        <f t="shared" si="1"/>
        <v>#DIV/0!</v>
      </c>
      <c r="D49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111</v>
      </c>
      <c r="B50" s="8">
        <f t="shared" si="3"/>
        <v>1</v>
      </c>
      <c r="C50" s="8">
        <f t="shared" si="1"/>
        <v>56</v>
      </c>
      <c r="D50" s="11" t="str">
        <f>HYPERLINK("https://www.digitalauthority.me/resources/it-marketing-guide/","2019 IT marketing Guide")</f>
        <v>2019 IT marketing Guide</v>
      </c>
      <c r="E50" s="128" t="s">
        <v>1753</v>
      </c>
      <c r="F50" s="24">
        <v>56</v>
      </c>
      <c r="G50" s="3"/>
      <c r="H50" s="13"/>
      <c r="I50" s="13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3" t="s">
        <v>112</v>
      </c>
      <c r="B51" s="8">
        <f t="shared" si="3"/>
        <v>0</v>
      </c>
      <c r="C51" s="8" t="e">
        <f t="shared" si="1"/>
        <v>#DIV/0!</v>
      </c>
      <c r="D51" s="30" t="str">
        <f t="shared" ref="D51:D5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3" t="s">
        <v>113</v>
      </c>
      <c r="B52" s="8">
        <f t="shared" si="3"/>
        <v>0</v>
      </c>
      <c r="C52" s="8" t="e">
        <f t="shared" si="1"/>
        <v>#DIV/0!</v>
      </c>
      <c r="D52" s="30" t="str">
        <f t="shared" si="4"/>
        <v>5 Key Strategies for Your Financial Product Marketing Initiatives in 2019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114</v>
      </c>
      <c r="B53" s="8">
        <f t="shared" si="3"/>
        <v>0</v>
      </c>
      <c r="C53" s="8" t="e">
        <f t="shared" si="1"/>
        <v>#DIV/0!</v>
      </c>
      <c r="D53" s="11" t="str">
        <f>HYPERLINK("https://www.digitalauthority.me/resources/marketing-terms-guide/","Marketing terms ")</f>
        <v xml:space="preserve">Marketing terms </v>
      </c>
      <c r="E53" s="13"/>
      <c r="F53" s="13"/>
      <c r="G53" s="13"/>
      <c r="H53" s="13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115</v>
      </c>
      <c r="B54" s="8">
        <f t="shared" si="3"/>
        <v>0</v>
      </c>
      <c r="C54" s="8" t="e">
        <f t="shared" si="1"/>
        <v>#DIV/0!</v>
      </c>
      <c r="D54" s="21" t="s">
        <v>77</v>
      </c>
      <c r="E54" s="28"/>
      <c r="F54" s="26"/>
      <c r="G54" s="5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116</v>
      </c>
      <c r="B55" s="8">
        <f t="shared" si="3"/>
        <v>2</v>
      </c>
      <c r="C55" s="8">
        <f t="shared" si="1"/>
        <v>52</v>
      </c>
      <c r="D55" s="11" t="str">
        <f>HYPERLINK("https://www.digitalauthority.me/resources/mobile-app-development-guide/","ultimate guide to app development")</f>
        <v>ultimate guide to app development</v>
      </c>
      <c r="E55" s="21" t="s">
        <v>1760</v>
      </c>
      <c r="F55" s="13">
        <v>53</v>
      </c>
      <c r="G55" s="21" t="s">
        <v>1762</v>
      </c>
      <c r="H55" s="13">
        <v>51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118</v>
      </c>
      <c r="B56" s="8">
        <f t="shared" si="3"/>
        <v>0</v>
      </c>
      <c r="C56" s="8" t="e">
        <f t="shared" si="1"/>
        <v>#DIV/0!</v>
      </c>
      <c r="D56" s="11" t="str">
        <f>HYPERLINK("https://www.digitalauthority.me/resources/mobile-app-marketing-guide/","Mobile app marketing guide")</f>
        <v>Mobile app marketing guide</v>
      </c>
      <c r="E56" s="13"/>
      <c r="F56" s="13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2" t="s">
        <v>119</v>
      </c>
      <c r="B57" s="8">
        <f t="shared" si="3"/>
        <v>0</v>
      </c>
      <c r="C57" s="8" t="e">
        <f t="shared" si="1"/>
        <v>#DIV/0!</v>
      </c>
      <c r="D5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7" s="12"/>
      <c r="F57" s="13"/>
      <c r="G57" s="12"/>
      <c r="H57" s="13"/>
      <c r="I57" s="12"/>
      <c r="J57" s="13"/>
      <c r="K57" s="12"/>
      <c r="L57" s="1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120</v>
      </c>
      <c r="B58" s="8">
        <f t="shared" si="3"/>
        <v>2</v>
      </c>
      <c r="C58" s="8">
        <f t="shared" si="1"/>
        <v>60.5</v>
      </c>
      <c r="D58" s="21" t="s">
        <v>121</v>
      </c>
      <c r="E58" s="21" t="s">
        <v>1768</v>
      </c>
      <c r="F58" s="13">
        <v>60</v>
      </c>
      <c r="G58" s="21" t="s">
        <v>1769</v>
      </c>
      <c r="H58" s="13">
        <v>61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26" t="s">
        <v>122</v>
      </c>
      <c r="B59" s="8">
        <f t="shared" si="3"/>
        <v>0</v>
      </c>
      <c r="C59" s="8" t="e">
        <f t="shared" si="1"/>
        <v>#DIV/0!</v>
      </c>
      <c r="D59" s="59" t="str">
        <f t="shared" ref="D59:D6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9" s="12"/>
      <c r="F59" s="13"/>
      <c r="G59" s="28"/>
      <c r="H59" s="26"/>
      <c r="I59" s="28"/>
      <c r="J59" s="26"/>
      <c r="K59" s="29"/>
      <c r="L59" s="2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26" t="s">
        <v>123</v>
      </c>
      <c r="B60" s="8">
        <f t="shared" si="3"/>
        <v>0</v>
      </c>
      <c r="C60" s="8" t="e">
        <f t="shared" si="1"/>
        <v>#DIV/0!</v>
      </c>
      <c r="D60" s="54" t="str">
        <f t="shared" si="5"/>
        <v xml:space="preserve">11 online reputation management techniques for doctors (the definitive guide)
</v>
      </c>
      <c r="E60" s="28"/>
      <c r="F60" s="26"/>
      <c r="G60" s="28"/>
      <c r="H60" s="26"/>
      <c r="I60" s="28"/>
      <c r="J60" s="26"/>
      <c r="K60" s="29"/>
      <c r="L60" s="2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124</v>
      </c>
      <c r="B61" s="8">
        <f t="shared" si="3"/>
        <v>0</v>
      </c>
      <c r="C61" s="8" t="e">
        <f t="shared" si="1"/>
        <v>#DIV/0!</v>
      </c>
      <c r="D61" s="60" t="s">
        <v>125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3" t="s">
        <v>126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HYPERLINK("https://www.digitalauthority.me/resources/17-reasons-why-most-companies-fail-at-seo/","17 Reasons Why Companies Fail At SEO")</f>
        <v>17 Reasons Why Companies Fail At SEO</v>
      </c>
      <c r="E62" s="3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0" t="s">
        <v>128</v>
      </c>
      <c r="B64" s="8">
        <f t="shared" si="3"/>
        <v>0</v>
      </c>
      <c r="C64" s="8" t="e">
        <f t="shared" si="1"/>
        <v>#DIV/0!</v>
      </c>
      <c r="D6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64" s="10"/>
      <c r="F64" s="13"/>
      <c r="G64" s="12"/>
      <c r="H64" s="1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13" t="s">
        <v>129</v>
      </c>
      <c r="B65" s="8">
        <f t="shared" si="3"/>
        <v>0</v>
      </c>
      <c r="C65" s="8" t="e">
        <f t="shared" si="1"/>
        <v>#DIV/0!</v>
      </c>
      <c r="D6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65" s="28"/>
      <c r="F65" s="26"/>
      <c r="G65" s="12"/>
      <c r="H65" s="13"/>
      <c r="I65" s="12"/>
      <c r="J65" s="13"/>
      <c r="K65" s="13"/>
      <c r="L65" s="1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13" t="s">
        <v>130</v>
      </c>
      <c r="B66" s="8">
        <f t="shared" si="3"/>
        <v>0</v>
      </c>
      <c r="C66" s="8" t="e">
        <f t="shared" si="1"/>
        <v>#DIV/0!</v>
      </c>
      <c r="D66" s="30" t="str">
        <f>HYPERLINK("https://www.digitalauthority.me/web-analytics-services-chicago/","Web Analytics Services page")</f>
        <v>Web Analytics Services page</v>
      </c>
      <c r="E66" s="12"/>
      <c r="F66" s="13"/>
      <c r="G66" s="12"/>
      <c r="H66" s="13"/>
      <c r="I66" s="12"/>
      <c r="J66" s="1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13" t="s">
        <v>131</v>
      </c>
      <c r="B67" s="8">
        <f t="shared" si="3"/>
        <v>0</v>
      </c>
      <c r="C67" s="8" t="e">
        <f t="shared" si="1"/>
        <v>#DIV/0!</v>
      </c>
      <c r="D67" s="21" t="s">
        <v>132</v>
      </c>
      <c r="E67" s="46"/>
      <c r="F67" s="4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13" t="s">
        <v>133</v>
      </c>
      <c r="B68" s="8">
        <f t="shared" si="3"/>
        <v>0</v>
      </c>
      <c r="C68" s="8" t="e">
        <f t="shared" si="1"/>
        <v>#DIV/0!</v>
      </c>
      <c r="D68" s="30" t="str">
        <f>HYPERLINK("https://www.digitalauthority.me/resources/guide-to-data-driven-marketing/","Data Driven Marketing Guide")</f>
        <v>Data Driven Marketing Guide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13" t="s">
        <v>134</v>
      </c>
      <c r="B69" s="8">
        <f t="shared" si="3"/>
        <v>0</v>
      </c>
      <c r="C69" s="8" t="e">
        <f t="shared" si="1"/>
        <v>#DIV/0!</v>
      </c>
      <c r="D69" s="30" t="str">
        <f>HYPERLINK("https://www.digitalauthority.me/resources/outsource-mobile-app-development/","Outsource mobile app development")</f>
        <v>Outsource mobile app development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13" t="s">
        <v>135</v>
      </c>
      <c r="B70" s="8">
        <f t="shared" si="3"/>
        <v>0</v>
      </c>
      <c r="C70" s="8" t="e">
        <f t="shared" si="1"/>
        <v>#DIV/0!</v>
      </c>
      <c r="D70" s="13" t="s">
        <v>136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3" t="s">
        <v>137</v>
      </c>
      <c r="B71" s="8">
        <f t="shared" si="3"/>
        <v>5</v>
      </c>
      <c r="C71" s="8">
        <f>SUM(K71:AD71)/B71</f>
        <v>23</v>
      </c>
      <c r="D71" s="3" t="s">
        <v>137</v>
      </c>
      <c r="E71" s="21" t="s">
        <v>1789</v>
      </c>
      <c r="F71" s="13">
        <v>62</v>
      </c>
      <c r="G71" s="21" t="s">
        <v>1791</v>
      </c>
      <c r="H71" s="13">
        <v>43</v>
      </c>
      <c r="I71" s="21" t="s">
        <v>1794</v>
      </c>
      <c r="J71" s="13">
        <v>50</v>
      </c>
      <c r="K71" s="21" t="s">
        <v>1797</v>
      </c>
      <c r="L71" s="13">
        <v>50</v>
      </c>
      <c r="M71" s="21" t="s">
        <v>1798</v>
      </c>
      <c r="N71" s="13">
        <v>65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 t="e">
        <f>SUM(F72:AD72)/B72</f>
        <v>#DIV/0!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I4" r:id="rId3"/>
    <hyperlink ref="K4" r:id="rId4"/>
    <hyperlink ref="M4" r:id="rId5"/>
    <hyperlink ref="D6" r:id="rId6"/>
    <hyperlink ref="E6" r:id="rId7"/>
    <hyperlink ref="G6" r:id="rId8"/>
    <hyperlink ref="D7" r:id="rId9"/>
    <hyperlink ref="E7" r:id="rId10"/>
    <hyperlink ref="G7" r:id="rId11"/>
    <hyperlink ref="I7" r:id="rId12"/>
    <hyperlink ref="E8" r:id="rId13"/>
    <hyperlink ref="G8" r:id="rId14"/>
    <hyperlink ref="I8" r:id="rId15"/>
    <hyperlink ref="E10" r:id="rId16"/>
    <hyperlink ref="G10" r:id="rId17"/>
    <hyperlink ref="I10" r:id="rId18"/>
    <hyperlink ref="E12" r:id="rId19"/>
    <hyperlink ref="G12" r:id="rId20"/>
    <hyperlink ref="I12" r:id="rId21"/>
    <hyperlink ref="K12" r:id="rId22"/>
    <hyperlink ref="M12" r:id="rId23"/>
    <hyperlink ref="E13" r:id="rId24"/>
    <hyperlink ref="E14" r:id="rId25"/>
    <hyperlink ref="E15" r:id="rId26"/>
    <hyperlink ref="D17" r:id="rId27"/>
    <hyperlink ref="D18" r:id="rId28"/>
    <hyperlink ref="D19" r:id="rId29"/>
    <hyperlink ref="D20" r:id="rId30"/>
    <hyperlink ref="D23" r:id="rId31"/>
    <hyperlink ref="D24" r:id="rId32"/>
    <hyperlink ref="D25" r:id="rId33"/>
    <hyperlink ref="D26" r:id="rId34"/>
    <hyperlink ref="D27" r:id="rId35"/>
    <hyperlink ref="D28" r:id="rId36"/>
    <hyperlink ref="D34" r:id="rId37"/>
    <hyperlink ref="D35" r:id="rId38"/>
    <hyperlink ref="E43" r:id="rId39"/>
    <hyperlink ref="D45" r:id="rId40"/>
    <hyperlink ref="D46" r:id="rId41"/>
    <hyperlink ref="E50" r:id="rId42"/>
    <hyperlink ref="D54" r:id="rId43"/>
    <hyperlink ref="E55" r:id="rId44"/>
    <hyperlink ref="G55" r:id="rId45"/>
    <hyperlink ref="D58" r:id="rId46"/>
    <hyperlink ref="E58" r:id="rId47"/>
    <hyperlink ref="G58" r:id="rId48"/>
    <hyperlink ref="D61" r:id="rId49"/>
    <hyperlink ref="D67" r:id="rId50"/>
    <hyperlink ref="E71" r:id="rId51"/>
    <hyperlink ref="G71" r:id="rId52"/>
    <hyperlink ref="I71" r:id="rId53"/>
    <hyperlink ref="K71" r:id="rId54"/>
    <hyperlink ref="M71" r:id="rId5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6</v>
      </c>
      <c r="I1" s="1" t="s">
        <v>8</v>
      </c>
      <c r="J1" s="1" t="s">
        <v>6</v>
      </c>
      <c r="K1" s="1" t="s">
        <v>9</v>
      </c>
      <c r="L1" s="1" t="s">
        <v>6</v>
      </c>
      <c r="M1" s="1" t="s">
        <v>10</v>
      </c>
      <c r="N1" s="1" t="s">
        <v>6</v>
      </c>
      <c r="O1" s="1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26" t="s">
        <v>74</v>
      </c>
      <c r="B2" s="8">
        <f t="shared" ref="B2:B11" si="0">COUNTIF(E2:AD2,"&gt;0")</f>
        <v>5</v>
      </c>
      <c r="C2" s="8">
        <f t="shared" ref="C2:C11" si="1">SUM(F2:AD2)/B2</f>
        <v>45.6</v>
      </c>
      <c r="D2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" s="27" t="str">
        <f t="shared" ref="E2:E3" si="2">HYPERLINK("https://menaentrepreneur.org/2018/11/what-to-ask-a-marketing-agency-before-hiring/","What to ask a marketing agency before hiring")</f>
        <v>What to ask a marketing agency before hiring</v>
      </c>
      <c r="F2" s="26">
        <v>36</v>
      </c>
      <c r="G2" s="27" t="str">
        <f t="shared" ref="G2:G3" si="3">HYPERLINK("http://www.gazetemege.com/business/marketing/heres-how-to-hire-a-marketing-agency/","Here’s How to Hire a Marketing Agency
")</f>
        <v xml:space="preserve">Here’s How to Hire a Marketing Agency
</v>
      </c>
      <c r="H2" s="26">
        <v>25</v>
      </c>
      <c r="I2" s="27" t="str">
        <f>HYPERLINK("https://foreignpolicyi.org/choosing-the-right-healthcare-marketing-agency-to-work-with/","Choosing the right healthcare marketing agency to work with
")</f>
        <v>Choosing the right healthcare marketing agency to work with_x000D_</v>
      </c>
      <c r="J2" s="26">
        <v>53</v>
      </c>
      <c r="K2" s="27" t="str">
        <f>HYPERLINK("https://www.reliablecounter.com/blog/5-questions-ask-marketing-company-business/","5 Questions to Ask A Marketing Company Before Doing Business with Them
")</f>
        <v>5 Questions to Ask A Marketing Company Before Doing Business with Them_x000D_</v>
      </c>
      <c r="L2" s="26">
        <v>88</v>
      </c>
      <c r="M2" s="30" t="str">
        <f>HYPERLINK("http://www.international-issues.org/must-ask-questions-when-selecting-a-marketing-company/","Must-ask Questions When Selecting a Marketing Company
")</f>
        <v>Must-ask Questions When Selecting a Marketing Company_x000D_</v>
      </c>
      <c r="N2" s="13">
        <v>26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13"/>
      <c r="AA2" s="8"/>
      <c r="AB2" s="8"/>
      <c r="AC2" s="8"/>
      <c r="AD2" s="8"/>
    </row>
    <row r="3" spans="1:30" ht="15.75" customHeight="1">
      <c r="A3" s="26" t="s">
        <v>101</v>
      </c>
      <c r="B3" s="8">
        <f t="shared" si="0"/>
        <v>3</v>
      </c>
      <c r="C3" s="8">
        <f t="shared" si="1"/>
        <v>29</v>
      </c>
      <c r="D3" s="27" t="str">
        <f>HYPERLINK("https://healthcareweekly.com/healthcare-startup-fails/","Most Common Health Startup Mistakes – and How to Fix Them
")</f>
        <v>Most Common Health Startup Mistakes – and How to Fix Them_x000D_</v>
      </c>
      <c r="E3" s="27" t="str">
        <f t="shared" si="2"/>
        <v>What to ask a marketing agency before hiring</v>
      </c>
      <c r="F3" s="26">
        <v>36</v>
      </c>
      <c r="G3" s="27" t="str">
        <f t="shared" si="3"/>
        <v xml:space="preserve">Here’s How to Hire a Marketing Agency
</v>
      </c>
      <c r="H3" s="26">
        <v>25</v>
      </c>
      <c r="I3" s="30" t="str">
        <f>HYPERLINK("http://www.international-issues.org/must-ask-questions-when-selecting-a-marketing-company/","Must-ask Questions When Selecting a Marketing Company
")</f>
        <v>Must-ask Questions When Selecting a Marketing Company_x000D_</v>
      </c>
      <c r="J3" s="13">
        <v>26</v>
      </c>
      <c r="K3" s="29"/>
      <c r="L3" s="29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26" t="s">
        <v>80</v>
      </c>
      <c r="B4" s="8">
        <f t="shared" si="0"/>
        <v>1</v>
      </c>
      <c r="C4" s="8">
        <f t="shared" si="1"/>
        <v>56</v>
      </c>
      <c r="D4" s="35" t="s">
        <v>77</v>
      </c>
      <c r="E4" s="27" t="str">
        <f>HYPERLINK("https://www.womendailymagazine.com/5-ways-to-make-your-employees-happier-at-work/","5 Ways to Make Your Employees Happier at Work")</f>
        <v>5 Ways to Make Your Employees Happier at Work</v>
      </c>
      <c r="F4" s="26">
        <v>56</v>
      </c>
      <c r="G4" s="29"/>
      <c r="H4" s="29"/>
      <c r="I4" s="29"/>
      <c r="J4" s="29"/>
      <c r="K4" s="29"/>
      <c r="L4" s="29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26" t="s">
        <v>102</v>
      </c>
      <c r="B5" s="8">
        <f t="shared" si="0"/>
        <v>9</v>
      </c>
      <c r="C5" s="8">
        <f t="shared" si="1"/>
        <v>20.222222222222221</v>
      </c>
      <c r="D5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5" s="27" t="str">
        <f t="shared" ref="E5:E7" si="4">HYPERLINK("http://www.healthcarereformmagazine.com/latest-healthcare-business-trends-impacting-the-quality-of-care/","Latest healthcare business trends impacting the quality of care
")</f>
        <v xml:space="preserve">Latest healthcare business trends impacting the quality of care
</v>
      </c>
      <c r="F5" s="26">
        <v>38</v>
      </c>
      <c r="G5" s="36" t="str">
        <f>HYPERLINK("https://en.rodexo.com/2018/11/17/digital-strategies-every-healthcare-executive-should-aware-2018/","6 digital strategies every healthcare executive should be aware of in 2018
")</f>
        <v>6 digital strategies every healthcare executive should be aware of in 2018_x000D_</v>
      </c>
      <c r="H5" s="24">
        <v>27</v>
      </c>
      <c r="I5" s="27" t="str">
        <f>HYPERLINK("https://www.soundhealthdoctor.com/2018/11/u-s-approves-first-anti-flu-pill-in-two-decades.html","U.S. Approves First Anti-Flu Pill in Two Decades")</f>
        <v>U.S. Approves First Anti-Flu Pill in Two Decades</v>
      </c>
      <c r="J5" s="26">
        <v>12</v>
      </c>
      <c r="K5" s="27" t="str">
        <f>HYPERLINK("https://www.onlinefigure.com/surprise-bills-and-retail-clinics-are-influencing-healthcare-purchasing-patterns/","How Surprise Bills and Retail Clinics are Influencing Healthcare Purchasing Patterns
")</f>
        <v>How Surprise Bills and Retail Clinics are Influencing Healthcare Purchasing Patterns_x000D_</v>
      </c>
      <c r="L5" s="26">
        <v>11</v>
      </c>
      <c r="M5" s="30" t="str">
        <f>HYPERLINK("https://hufforbes.com/news/health/the-affordable-care-act-led-to-gains-all-across-the-healthcare-industry/","The Affordable Care Act Led To Gains All Across The Healthcare Industry
")</f>
        <v>The Affordable Care Act Led To Gains All Across The Healthcare Industry_x000D_</v>
      </c>
      <c r="N5" s="13">
        <v>23</v>
      </c>
      <c r="O5" s="30" t="str">
        <f>HYPERLINK("http://breakthroughstofitness.com/researchers-get-grant-for-vr-study-into-stroke-patients-rehabilitation/","Researchers Get Grant for VR Study into Stroke Patients’ Rehabilitation
")</f>
        <v>Researchers Get Grant for VR Study into Stroke Patients’ Rehabilitation_x000D_</v>
      </c>
      <c r="P5" s="13">
        <v>4</v>
      </c>
      <c r="Q5" s="30" t="str">
        <f>HYPERLINK("http://www.yourwellness4life.com/more-marijuana-companies-are-coming-to-chicago/","More Marijuana Companies Are Coming To Chicago
")</f>
        <v>More Marijuana Companies Are Coming To Chicago_x000D_</v>
      </c>
      <c r="R5" s="13">
        <v>8</v>
      </c>
      <c r="S5" s="30" t="str">
        <f>HYPERLINK("http://www.mediredvital.com/ama-launches-digital-health-implementation-playbook/","AMA Launches Digital Health Implementation Playbook
")</f>
        <v>AMA Launches Digital Health Implementation Playbook_x000D_</v>
      </c>
      <c r="T5" s="13">
        <v>29</v>
      </c>
      <c r="U5" s="30" t="str">
        <f>HYPERLINK("https://innewsweekly.com/smartwatch-vs-fitness-tracker/","SMARTWATCH VS FITNESS TRACKER – WHICH ONE DO YOU NEED?
")</f>
        <v>SMARTWATCH VS FITNESS TRACKER – WHICH ONE DO YOU NEED?_x000D_</v>
      </c>
      <c r="V5" s="13">
        <v>30</v>
      </c>
      <c r="W5" s="8"/>
      <c r="X5" s="8"/>
      <c r="Y5" s="8"/>
      <c r="Z5" s="8"/>
      <c r="AA5" s="8"/>
      <c r="AB5" s="8"/>
      <c r="AC5" s="8"/>
      <c r="AD5" s="8"/>
    </row>
    <row r="6" spans="1:30">
      <c r="A6" s="26" t="s">
        <v>91</v>
      </c>
      <c r="B6" s="8">
        <f t="shared" si="0"/>
        <v>2</v>
      </c>
      <c r="C6" s="8">
        <f t="shared" si="1"/>
        <v>45.5</v>
      </c>
      <c r="D6" s="166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6" s="27" t="str">
        <f t="shared" si="4"/>
        <v xml:space="preserve">Latest healthcare business trends impacting the quality of care
</v>
      </c>
      <c r="F6" s="26">
        <v>38</v>
      </c>
      <c r="G6" s="27" t="str">
        <f>HYPERLINK("https://floridaindependent.com/what-does-blood-pressure-tell-you-distinguishing-facts-you-need-to-know/","What Does Blood Pressure Tell You? Distinguishing Facts You Need to Know
")</f>
        <v>What Does Blood Pressure Tell You? Distinguishing Facts You Need to Know_x000D_</v>
      </c>
      <c r="H6" s="26">
        <v>53</v>
      </c>
      <c r="I6" s="29"/>
      <c r="J6" s="29"/>
      <c r="K6" s="29"/>
      <c r="L6" s="29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1</v>
      </c>
      <c r="C7" s="8">
        <f t="shared" si="1"/>
        <v>38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7" t="str">
        <f t="shared" si="4"/>
        <v xml:space="preserve">Latest healthcare business trends impacting the quality of care
</v>
      </c>
      <c r="F7" s="26">
        <v>38</v>
      </c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26" t="s">
        <v>103</v>
      </c>
      <c r="B8" s="8">
        <f t="shared" si="0"/>
        <v>2</v>
      </c>
      <c r="C8" s="8">
        <f t="shared" si="1"/>
        <v>40.5</v>
      </c>
      <c r="D8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8" s="27" t="str">
        <f>HYPERLINK("https://foreignpolicyi.org/choosing-the-right-healthcare-marketing-agency-to-work-with/","Choosing the right healthcare marketing agency to work with
")</f>
        <v>Choosing the right healthcare marketing agency to work with_x000D_</v>
      </c>
      <c r="F8" s="26">
        <v>53</v>
      </c>
      <c r="G8" s="27" t="str">
        <f>HYPERLINK("https://en.rodexo.com/2018/11/17/digital-strategies-every-healthcare-executive-should-aware-2018/","6 digital strategies every healthcare executive should be aware of in 2018
")</f>
        <v>6 digital strategies every healthcare executive should be aware of in 2018_x000D_</v>
      </c>
      <c r="H8" s="26">
        <v>28</v>
      </c>
      <c r="I8" s="29"/>
      <c r="J8" s="29"/>
      <c r="K8" s="29"/>
      <c r="L8" s="29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122</v>
      </c>
      <c r="B9" s="8">
        <f t="shared" si="0"/>
        <v>3</v>
      </c>
      <c r="C9" s="8">
        <f t="shared" si="1"/>
        <v>24</v>
      </c>
      <c r="D9" s="54" t="str">
        <f>HYPERLINK("https://www.digitalauthority.me/insights/online-reputation-management-for-doctors-guide-02-09-2018","11 online reputation management techniques for doctors (the definitive guide)
")</f>
        <v>11 online reputation management techniques for doctors (the definitive guide)_x000D_</v>
      </c>
      <c r="E9" s="27" t="str">
        <f>HYPERLINK("http://livinginthisseason.com/how-to-find-the-right-doctor-for-me/","How to find the right doctor for me")</f>
        <v>How to find the right doctor for me</v>
      </c>
      <c r="F9" s="26">
        <v>31</v>
      </c>
      <c r="G9" s="27" t="str">
        <f>HYPERLINK("https://www.onlinefigure.com/surprise-bills-and-retail-clinics-are-influencing-healthcare-purchasing-patterns/","How Surprise Bills and Retail Clinics are Influencing Healthcare Purchasing Patterns
")</f>
        <v>How Surprise Bills and Retail Clinics are Influencing Healthcare Purchasing Patterns_x000D_</v>
      </c>
      <c r="H9" s="26">
        <v>11</v>
      </c>
      <c r="I9" s="27" t="str">
        <f>HYPERLINK("https://innewsweekly.com/reputation-management-tips/","REPUTATION MANAGEMENT TIPS FOR YOUR ORGANIZATION
")</f>
        <v>REPUTATION MANAGEMENT TIPS FOR YOUR ORGANIZATION_x000D_</v>
      </c>
      <c r="J9" s="26">
        <v>30</v>
      </c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>
      <c r="A10" s="26" t="s">
        <v>88</v>
      </c>
      <c r="B10" s="8">
        <f t="shared" si="0"/>
        <v>1</v>
      </c>
      <c r="C10" s="8">
        <f t="shared" si="1"/>
        <v>28</v>
      </c>
      <c r="D10" s="166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10" s="27" t="str">
        <f t="shared" ref="E10:E11" si="5">HYPERLINK("https://en.rodexo.com/2018/11/17/digital-strategies-every-healthcare-executive-should-aware-2018/","6 digital strategies every healthcare executive should be aware of in 2018
")</f>
        <v xml:space="preserve">6 digital strategies every healthcare executive should be aware of in 2018
</v>
      </c>
      <c r="F10" s="26">
        <v>28</v>
      </c>
      <c r="G10" s="29"/>
      <c r="H10" s="29"/>
      <c r="I10" s="29"/>
      <c r="J10" s="29"/>
      <c r="K10" s="29"/>
      <c r="L10" s="29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0"/>
        <v>1</v>
      </c>
      <c r="C11" s="8">
        <f t="shared" si="1"/>
        <v>28</v>
      </c>
      <c r="D11" s="30" t="str">
        <f>HYPERLINK("https://healthcareweekly.com/blockchain-in-healthcare/","7 Applications of Blockchain in Healthcare
")</f>
        <v>7 Applications of Blockchain in Healthcare_x000D_</v>
      </c>
      <c r="E11" s="27" t="str">
        <f t="shared" si="5"/>
        <v xml:space="preserve">6 digital strategies every healthcare executive should be aware of in 2018
</v>
      </c>
      <c r="F11" s="26">
        <v>28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8"/>
      <c r="B14" s="194" t="s">
        <v>1897</v>
      </c>
      <c r="C14" s="185"/>
      <c r="D14" s="185"/>
      <c r="E14" s="185"/>
      <c r="F14" s="185"/>
      <c r="G14" s="185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8"/>
      <c r="B15" s="3"/>
      <c r="C15" s="3"/>
      <c r="D15" s="7" t="s">
        <v>1409</v>
      </c>
      <c r="E15" s="7" t="s">
        <v>19</v>
      </c>
      <c r="F15" s="7" t="s">
        <v>20</v>
      </c>
      <c r="G15" s="40" t="s">
        <v>21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8"/>
      <c r="B16" s="37"/>
      <c r="C16" s="37"/>
      <c r="D16" s="36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16" s="37" t="s">
        <v>59</v>
      </c>
      <c r="F16" s="38">
        <v>100</v>
      </c>
      <c r="G16" s="168" t="s">
        <v>1898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8"/>
      <c r="B17" s="37"/>
      <c r="C17" s="37"/>
      <c r="D17" s="36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7" s="37" t="s">
        <v>74</v>
      </c>
      <c r="F17" s="38">
        <v>90</v>
      </c>
      <c r="G17" s="168" t="s">
        <v>1899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8"/>
      <c r="B18" s="102"/>
      <c r="C18" s="102"/>
      <c r="D18" s="117" t="s">
        <v>1900</v>
      </c>
      <c r="E18" s="102" t="s">
        <v>79</v>
      </c>
      <c r="F18" s="38">
        <v>70</v>
      </c>
      <c r="G18" s="168" t="s">
        <v>1901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8"/>
      <c r="B19" s="102"/>
      <c r="C19" s="102"/>
      <c r="D19" s="117" t="s">
        <v>1900</v>
      </c>
      <c r="E19" s="102" t="s">
        <v>1065</v>
      </c>
      <c r="F19" s="38">
        <v>300</v>
      </c>
      <c r="G19" s="168" t="s">
        <v>1902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8"/>
      <c r="B20" s="125"/>
      <c r="C20" s="3"/>
      <c r="D20" s="11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20" s="3" t="s">
        <v>102</v>
      </c>
      <c r="F20" s="3">
        <v>900</v>
      </c>
      <c r="G20" s="15" t="s">
        <v>1903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8"/>
      <c r="B21" s="18"/>
      <c r="C21" s="3"/>
      <c r="D21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21" s="3" t="s">
        <v>128</v>
      </c>
      <c r="F21" s="3">
        <v>50</v>
      </c>
      <c r="G21" s="15" t="s">
        <v>1904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8"/>
      <c r="B22" s="169"/>
      <c r="C22" s="37"/>
      <c r="D22" s="36" t="str">
        <f t="shared" ref="D22:D25" si="6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22" s="37" t="s">
        <v>123</v>
      </c>
      <c r="F22" s="38">
        <v>60</v>
      </c>
      <c r="G22" s="168" t="s">
        <v>1905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8"/>
      <c r="B23" s="38"/>
      <c r="C23" s="37"/>
      <c r="D23" s="36" t="str">
        <f t="shared" si="6"/>
        <v xml:space="preserve">11 online reputation management techniques for doctors (the definitive guide)
</v>
      </c>
      <c r="E23" s="37" t="s">
        <v>122</v>
      </c>
      <c r="F23" s="38">
        <v>60</v>
      </c>
      <c r="G23" s="168" t="s">
        <v>1906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8"/>
      <c r="B24" s="38"/>
      <c r="C24" s="37"/>
      <c r="D24" s="36" t="str">
        <f t="shared" si="6"/>
        <v xml:space="preserve">11 online reputation management techniques for doctors (the definitive guide)
</v>
      </c>
      <c r="E24" s="37" t="s">
        <v>1326</v>
      </c>
      <c r="F24" s="38">
        <v>90</v>
      </c>
      <c r="G24" s="168" t="s">
        <v>1907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8"/>
      <c r="B25" s="38"/>
      <c r="C25" s="37"/>
      <c r="D25" s="36" t="str">
        <f t="shared" si="6"/>
        <v xml:space="preserve">11 online reputation management techniques for doctors (the definitive guide)
</v>
      </c>
      <c r="E25" s="37" t="s">
        <v>89</v>
      </c>
      <c r="F25" s="38">
        <v>60</v>
      </c>
      <c r="G25" s="168" t="s">
        <v>1908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</sheetData>
  <mergeCells count="1">
    <mergeCell ref="B14:G14"/>
  </mergeCells>
  <hyperlinks>
    <hyperlink ref="D4" r:id="rId1"/>
    <hyperlink ref="D18" r:id="rId2"/>
    <hyperlink ref="D19" r:id="rId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" t="s">
        <v>7</v>
      </c>
      <c r="H1" s="1" t="s">
        <v>6</v>
      </c>
      <c r="I1" s="1" t="s">
        <v>8</v>
      </c>
      <c r="J1" s="1" t="s">
        <v>6</v>
      </c>
      <c r="K1" s="1" t="s">
        <v>9</v>
      </c>
      <c r="L1" s="1" t="s">
        <v>6</v>
      </c>
      <c r="M1" s="1" t="s">
        <v>10</v>
      </c>
      <c r="N1" s="1" t="s">
        <v>6</v>
      </c>
      <c r="O1" s="1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26" t="s">
        <v>67</v>
      </c>
      <c r="B2" s="8">
        <f t="shared" ref="B2:B24" si="0">COUNTIF(E2:AD2,"&gt;0")</f>
        <v>0</v>
      </c>
      <c r="C2" s="8" t="e">
        <f t="shared" ref="C2:C3" si="1">SUM(F2:AD2)/B2</f>
        <v>#DIV/0!</v>
      </c>
      <c r="D2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2" s="28"/>
      <c r="F2" s="26"/>
      <c r="G2" s="29"/>
      <c r="H2" s="29"/>
      <c r="I2" s="29"/>
      <c r="J2" s="29"/>
      <c r="K2" s="29"/>
      <c r="L2" s="29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13" t="s">
        <v>73</v>
      </c>
      <c r="B3" s="8">
        <f t="shared" si="0"/>
        <v>0</v>
      </c>
      <c r="C3" s="8" t="e">
        <f t="shared" si="1"/>
        <v>#DIV/0!</v>
      </c>
      <c r="D3" s="30" t="str">
        <f>HYPERLINK("https://healthcareweekly.com/blockchain-in-healthcare/","7 Applications of Blockchain in Healthcare
")</f>
        <v>7 Applications of Blockchain in Healthcare_x000D_</v>
      </c>
      <c r="E3" s="28"/>
      <c r="F3" s="2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76</v>
      </c>
      <c r="B4" s="8">
        <f t="shared" si="0"/>
        <v>1</v>
      </c>
      <c r="C4" s="8"/>
      <c r="D4" s="21" t="s">
        <v>77</v>
      </c>
      <c r="E4" s="27" t="str">
        <f>HYPERLINK("http://www.marketingwithmiles.com/five-tips-to-get-the-right-marketing-agency-for-your-business/","FIVE TIPS TO GET THE RIGHT MARKETING AGENCY FOR YOUR BUSINESS
")</f>
        <v>FIVE TIPS TO GET THE RIGHT MARKETING AGENCY FOR YOUR BUSINESS_x000D_</v>
      </c>
      <c r="F4" s="26">
        <v>25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78</v>
      </c>
      <c r="B5" s="8">
        <f t="shared" si="0"/>
        <v>1</v>
      </c>
      <c r="C5" s="8">
        <f>SUM(F5:AD5)/B5</f>
        <v>88</v>
      </c>
      <c r="D5" s="21" t="s">
        <v>77</v>
      </c>
      <c r="E5" s="30" t="str">
        <f>HYPERLINK("https://www.reliablecounter.com/blog/what-employers-can-do-to-make-employees-happier-at-work/","WHAT EMPLOYERS CAN DO TO MAKE EMPLOYEES HAPPIER AT WORK
")</f>
        <v>WHAT EMPLOYERS CAN DO TO MAKE EMPLOYEES HAPPIER AT WORK_x000D_</v>
      </c>
      <c r="F5" s="13">
        <v>88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79</v>
      </c>
      <c r="B6" s="8">
        <f t="shared" si="0"/>
        <v>1</v>
      </c>
      <c r="C6" s="8"/>
      <c r="D6" s="21" t="s">
        <v>77</v>
      </c>
      <c r="E6" s="46" t="str">
        <f>HYPERLINK("https://www.mostinside.com/how-to-improve-your-marketing-roi-in-3-simple-steps/","Fintech Marketers: How to Improve Your Marketing ROI in 3 Simple Steps")</f>
        <v>Fintech Marketers: How to Improve Your Marketing ROI in 3 Simple Steps</v>
      </c>
      <c r="F6" s="47">
        <v>31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80</v>
      </c>
      <c r="B7" s="8">
        <f t="shared" si="0"/>
        <v>5</v>
      </c>
      <c r="C7" s="8">
        <f t="shared" ref="C7:C9" si="2">SUM(F7:AD7)/B7</f>
        <v>49</v>
      </c>
      <c r="D7" s="35" t="s">
        <v>77</v>
      </c>
      <c r="E7" s="27" t="str">
        <f>HYPERLINK("https://pitchengine.com/johnwayne/2018/11/24/5-best-gifts-for-employers-to-give-their-work/002518592653640131198","5 Best gifts for employers to give their workers this holiday season
")</f>
        <v>5 Best gifts for employers to give their workers this holiday season_x000D_</v>
      </c>
      <c r="F7" s="26">
        <v>75</v>
      </c>
      <c r="G7" s="27" t="str">
        <f>HYPERLINK("https://thefrisky.com/5-secrets-to-make-your-employees-happier-and-more-productive-at-work/","5 Secrets to Make Your Employees Happier and More Productive at Work
")</f>
        <v>5 Secrets to Make Your Employees Happier and More Productive at Work_x000D_</v>
      </c>
      <c r="H7" s="26">
        <v>75</v>
      </c>
      <c r="I7" s="27" t="str">
        <f>HYPERLINK("http://www.marketingwithmiles.com/five-tips-to-get-the-right-marketing-agency-for-your-business/","FIVE TIPS TO GET THE RIGHT MARKETING AGENCY FOR YOUR BUSINESS
")</f>
        <v>FIVE TIPS TO GET THE RIGHT MARKETING AGENCY FOR YOUR BUSINESS_x000D_</v>
      </c>
      <c r="J7" s="26">
        <v>25</v>
      </c>
      <c r="K7" s="27" t="str">
        <f>HYPERLINK("http://www.managerbiz.com/5-tips-to-get-the-right-marketing-agency-for-your-enterprise-initiatives/","5 tips to get the right marketing agency for your enterprise initiatives
")</f>
        <v>5 tips to get the right marketing agency for your enterprise initiatives_x000D_</v>
      </c>
      <c r="L7" s="26">
        <v>25</v>
      </c>
      <c r="M7" s="30" t="s">
        <v>1896</v>
      </c>
      <c r="N7" s="13">
        <v>45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26" t="s">
        <v>74</v>
      </c>
      <c r="B8" s="8">
        <f t="shared" si="0"/>
        <v>3</v>
      </c>
      <c r="C8" s="8">
        <f t="shared" si="2"/>
        <v>35</v>
      </c>
      <c r="D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8" s="27" t="str">
        <f>HYPERLINK("http://www.marketingwithmiles.com/five-tips-to-get-the-right-marketing-agency-for-your-business/","FIVE TIPS TO GET THE RIGHT MARKETING AGENCY FOR YOUR BUSINESS
")</f>
        <v>FIVE TIPS TO GET THE RIGHT MARKETING AGENCY FOR YOUR BUSINESS_x000D_</v>
      </c>
      <c r="F8" s="26">
        <v>25</v>
      </c>
      <c r="G8" s="27" t="str">
        <f>HYPERLINK("http://www.managerbiz.com/5-tips-to-get-the-right-marketing-agency-for-your-enterprise-initiatives/","5 tips to get the right marketing agency for your enterprise initiatives
")</f>
        <v>5 tips to get the right marketing agency for your enterprise initiatives_x000D_</v>
      </c>
      <c r="H8" s="26">
        <v>25</v>
      </c>
      <c r="I8" s="30" t="str">
        <f>HYPERLINK("https://www.techavy.com/improve-your-healthcare-company-website/","Five tips to improve your healthcare company website in 2019
")</f>
        <v>Five tips to improve your healthcare company website in 2019_x000D_</v>
      </c>
      <c r="J8" s="13">
        <v>55</v>
      </c>
      <c r="K8" s="28"/>
      <c r="L8" s="26"/>
      <c r="M8" s="12"/>
      <c r="N8" s="13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13"/>
      <c r="AA8" s="8"/>
      <c r="AB8" s="8"/>
      <c r="AC8" s="8"/>
      <c r="AD8" s="8"/>
    </row>
    <row r="9" spans="1:30">
      <c r="A9" s="26" t="s">
        <v>88</v>
      </c>
      <c r="B9" s="8">
        <f t="shared" si="0"/>
        <v>1</v>
      </c>
      <c r="C9" s="8">
        <f t="shared" si="2"/>
        <v>38</v>
      </c>
      <c r="D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9" s="28"/>
      <c r="F9" s="26"/>
      <c r="G9" s="44" t="str">
        <f>HYPERLINK("https://zipmeme.com/5-technologies-revolutionizing-healthcare-in-2018/","5 Technologies Revolutionizing Healthcare In 2018
")</f>
        <v>5 Technologies Revolutionizing Healthcare In 2018_x000D_</v>
      </c>
      <c r="H9" s="24">
        <v>38</v>
      </c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89</v>
      </c>
      <c r="B10" s="8">
        <f t="shared" si="0"/>
        <v>1</v>
      </c>
      <c r="C10" s="8"/>
      <c r="D1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10" s="27" t="str">
        <f>HYPERLINK("http://www.garyluck.com/how-to-check-your-doctors-reputation-online/","How to check your doctor’s reputation online
")</f>
        <v>How to check your doctor’s reputation online_x000D_</v>
      </c>
      <c r="F10" s="26">
        <v>12</v>
      </c>
      <c r="G10" s="29"/>
      <c r="H10" s="29"/>
      <c r="I10" s="29"/>
      <c r="J10" s="29"/>
      <c r="K10" s="29"/>
      <c r="L10" s="29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3" t="s">
        <v>90</v>
      </c>
      <c r="B11" s="8">
        <f t="shared" si="0"/>
        <v>1</v>
      </c>
      <c r="C11" s="8">
        <f t="shared" ref="C11:C24" si="3">SUM(F11:AD11)/B11</f>
        <v>31</v>
      </c>
      <c r="D1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11" s="41" t="str">
        <f t="shared" ref="E11:E12" si="4">HYPERLINK("https://www.mostinside.com/how-to-improve-your-marketing-roi-in-3-simple-steps/","Fintech Marketers: How to Improve Your Marketing ROI in 3 Simple Steps")</f>
        <v>Fintech Marketers: How to Improve Your Marketing ROI in 3 Simple Steps</v>
      </c>
      <c r="F11" s="47">
        <v>31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59</v>
      </c>
      <c r="B12" s="8">
        <f t="shared" si="0"/>
        <v>1</v>
      </c>
      <c r="C12" s="8">
        <f t="shared" si="3"/>
        <v>31</v>
      </c>
      <c r="D1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12" s="46" t="str">
        <f t="shared" si="4"/>
        <v>Fintech Marketers: How to Improve Your Marketing ROI in 3 Simple Steps</v>
      </c>
      <c r="F12" s="47">
        <v>31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>
      <c r="A13" s="26" t="s">
        <v>91</v>
      </c>
      <c r="B13" s="8">
        <f t="shared" si="0"/>
        <v>4</v>
      </c>
      <c r="C13" s="8">
        <f t="shared" si="3"/>
        <v>30.75</v>
      </c>
      <c r="D1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13" s="27" t="str">
        <f>HYPERLINK("http://www.overuc.com/3-technologies-people-suffering-from-high-blood-pressure-should-know-of/","3 TECHNOLOGIES PEOPLE SUFFERING FROM HIGH BLOOD PRESSURE SHOULD KNOW OF
")</f>
        <v>3 TECHNOLOGIES PEOPLE SUFFERING FROM HIGH BLOOD PRESSURE SHOULD KNOW OF_x000D_</v>
      </c>
      <c r="F13" s="26">
        <v>23</v>
      </c>
      <c r="G13" s="44" t="str">
        <f>HYPERLINK("https://zipmeme.com/5-technologies-revolutionizing-healthcare-in-2018/","5 Technologies Revolutionizing Healthcare In 2018
")</f>
        <v>5 Technologies Revolutionizing Healthcare In 2018_x000D_</v>
      </c>
      <c r="H13" s="24">
        <v>38</v>
      </c>
      <c r="I13" s="27" t="str">
        <f>HYPERLINK("http://bestfatburner.biz/technology-and-fitness-a-marriage-made-in-heaven/","TECHNOLOGY AND FITNESS – A MARRIAGE MADE IN HEAVEN
")</f>
        <v>TECHNOLOGY AND FITNESS – A MARRIAGE MADE IN HEAVEN_x000D_</v>
      </c>
      <c r="J13" s="26">
        <v>46</v>
      </c>
      <c r="K13" s="167" t="str">
        <f>HYPERLINK("http://www.mindweb.us/why-healthcare-marketers-should-follow-modern-trends-in-healthcare-web-design-and-adopt-emerging-technologies/","Why healthcare marketers should follow modern trends in healthcare web design and adopt emerging technologies")</f>
        <v>Why healthcare marketers should follow modern trends in healthcare web design and adopt emerging technologies</v>
      </c>
      <c r="L13" s="45">
        <v>16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26" t="s">
        <v>101</v>
      </c>
      <c r="B14" s="8">
        <f t="shared" si="0"/>
        <v>0</v>
      </c>
      <c r="C14" s="8" t="e">
        <f t="shared" si="3"/>
        <v>#DIV/0!</v>
      </c>
      <c r="D14" s="27" t="str">
        <f>HYPERLINK("https://healthcareweekly.com/healthcare-startup-fails/","Most Common Health Startup Mistakes – and How to Fix Them
")</f>
        <v>Most Common Health Startup Mistakes – and How to Fix Them_x000D_</v>
      </c>
      <c r="E14" s="28"/>
      <c r="F14" s="26"/>
      <c r="G14" s="28"/>
      <c r="H14" s="26"/>
      <c r="I14" s="12"/>
      <c r="J14" s="13"/>
      <c r="K14" s="29"/>
      <c r="L14" s="29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26" t="s">
        <v>102</v>
      </c>
      <c r="B15" s="8">
        <f t="shared" si="0"/>
        <v>6</v>
      </c>
      <c r="C15" s="8">
        <f t="shared" si="3"/>
        <v>26.833333333333332</v>
      </c>
      <c r="D15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15" s="27" t="str">
        <f>HYPERLINK("http://ehealthquotes.org/university-of-chicago-medicine-receives-6-million-for-colorectal-cancer-prevention/","UNIVERSITY OF CHICAGO MEDICINE RECEIVES $6 MILLION FOR COLORECTAL CANCER PREVENTION
")</f>
        <v>UNIVERSITY OF CHICAGO MEDICINE RECEIVES $6 MILLION FOR COLORECTAL CANCER PREVENTION_x000D_</v>
      </c>
      <c r="F15" s="26">
        <v>11</v>
      </c>
      <c r="G15" s="44" t="str">
        <f>HYPERLINK("https://zipmeme.com/5-technologies-revolutionizing-healthcare-in-2018/","5 Technologies Revolutionizing Healthcare In 2018
")</f>
        <v>5 Technologies Revolutionizing Healthcare In 2018_x000D_</v>
      </c>
      <c r="H15" s="24">
        <v>38</v>
      </c>
      <c r="I15" s="27" t="str">
        <f>HYPERLINK("http://bestfatburner.biz/technology-and-fitness-a-marriage-made-in-heaven/","TECHNOLOGY AND FITNESS – A MARRIAGE MADE IN HEAVEN
")</f>
        <v>TECHNOLOGY AND FITNESS – A MARRIAGE MADE IN HEAVEN_x000D_</v>
      </c>
      <c r="J15" s="26">
        <v>46</v>
      </c>
      <c r="K15" s="52" t="str">
        <f>HYPERLINK("http://www.mindweb.us/why-healthcare-marketers-should-follow-modern-trends-in-healthcare-web-design-and-adopt-emerging-technologies/","Why healthcare marketers should follow modern trends in healthcare web design and adopt emerging technologies")</f>
        <v>Why healthcare marketers should follow modern trends in healthcare web design and adopt emerging technologies</v>
      </c>
      <c r="L15" s="53">
        <v>16</v>
      </c>
      <c r="M15" s="27" t="str">
        <f>HYPERLINK("http://www.industriat.com/benefits-of-great-design-for-your-healthcare-website/","Benefits of great design for your healthcare website
")</f>
        <v>Benefits of great design for your healthcare website_x000D_</v>
      </c>
      <c r="N15" s="26">
        <v>35</v>
      </c>
      <c r="O15" s="30" t="str">
        <f>HYPERLINK("http://techpinger.com/increasing-changes-in-the-digitization-of-healthcare/","Increasing Changes in the Digitization of Healthcare
")</f>
        <v>Increasing Changes in the Digitization of Healthcare_x000D_</v>
      </c>
      <c r="P15" s="13">
        <v>15</v>
      </c>
      <c r="Q15" s="12"/>
      <c r="R15" s="13"/>
      <c r="S15" s="12"/>
      <c r="T15" s="13"/>
      <c r="U15" s="12"/>
      <c r="V15" s="13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103</v>
      </c>
      <c r="B16" s="8">
        <f t="shared" si="0"/>
        <v>5</v>
      </c>
      <c r="C16" s="8">
        <f t="shared" si="3"/>
        <v>31.2</v>
      </c>
      <c r="D16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16" s="27" t="str">
        <f>HYPERLINK("http://www.mindweb.us/why-healthcare-marketers-should-follow-modern-trends-in-healthcare-web-design-and-adopt-emerging-technologies/","Why healthcare marketers should follow modern trends in healthcare web design and adopt emerging technologies")</f>
        <v>Why healthcare marketers should follow modern trends in healthcare web design and adopt emerging technologies</v>
      </c>
      <c r="F16" s="26">
        <v>16</v>
      </c>
      <c r="G16" s="27" t="str">
        <f>HYPERLINK("http://www.industriat.com/benefits-of-great-design-for-your-healthcare-website/","Benefits of great design for your healthcare website
")</f>
        <v>Benefits of great design for your healthcare website_x000D_</v>
      </c>
      <c r="H16" s="26">
        <v>35</v>
      </c>
      <c r="I16" s="27" t="str">
        <f>HYPERLINK("http://www.industriat.com/benefits-of-great-design-for-your-healthcare-website/","Benefits of great design for your healthcare website
")</f>
        <v>Benefits of great design for your healthcare website_x000D_</v>
      </c>
      <c r="J16" s="26">
        <v>35</v>
      </c>
      <c r="K16" s="30" t="str">
        <f>HYPERLINK("http://techpinger.com/increasing-changes-in-the-digitization-of-healthcare/","Increasing Changes in the Digitization of Healthcare
")</f>
        <v>Increasing Changes in the Digitization of Healthcare_x000D_</v>
      </c>
      <c r="L16" s="13">
        <v>15</v>
      </c>
      <c r="M16" s="30" t="str">
        <f>HYPERLINK("https://www.techavy.com/improve-your-healthcare-company-website/","Five tips to improve your healthcare company website in 2019
")</f>
        <v>Five tips to improve your healthcare company website in 2019_x000D_</v>
      </c>
      <c r="N16" s="13">
        <v>55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3" t="s">
        <v>108</v>
      </c>
      <c r="B17" s="8">
        <f t="shared" si="0"/>
        <v>1</v>
      </c>
      <c r="C17" s="8">
        <f t="shared" si="3"/>
        <v>88</v>
      </c>
      <c r="D1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17" s="30" t="str">
        <f>HYPERLINK("https://www.reliablecounter.com/blog/what-employers-can-do-to-make-employees-happier-at-work/","WHAT EMPLOYERS CAN DO TO MAKE EMPLOYEES HAPPIER AT WORK
")</f>
        <v>WHAT EMPLOYERS CAN DO TO MAKE EMPLOYEES HAPPIER AT WORK_x000D_</v>
      </c>
      <c r="F17" s="13">
        <v>88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3" t="s">
        <v>109</v>
      </c>
      <c r="B18" s="8">
        <f t="shared" si="0"/>
        <v>1</v>
      </c>
      <c r="C18" s="8">
        <f t="shared" si="3"/>
        <v>31</v>
      </c>
      <c r="D18" s="30" t="str">
        <f t="shared" ref="D18:D20" si="5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18" s="46" t="str">
        <f>HYPERLINK("https://www.mostinside.com/how-to-improve-your-marketing-roi-in-3-simple-steps/","Fintech Marketers: How to Improve Your Marketing ROI in 3 Simple Steps")</f>
        <v>Fintech Marketers: How to Improve Your Marketing ROI in 3 Simple Steps</v>
      </c>
      <c r="F18" s="47">
        <v>31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112</v>
      </c>
      <c r="B19" s="8">
        <f t="shared" si="0"/>
        <v>0</v>
      </c>
      <c r="C19" s="8" t="e">
        <f t="shared" si="3"/>
        <v>#DIV/0!</v>
      </c>
      <c r="D19" s="30" t="str">
        <f t="shared" si="5"/>
        <v>5 Key Strategies for Your Financial Product Marketing Initiatives in 2019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113</v>
      </c>
      <c r="B20" s="8">
        <f t="shared" si="0"/>
        <v>0</v>
      </c>
      <c r="C20" s="8" t="e">
        <f t="shared" si="3"/>
        <v>#DIV/0!</v>
      </c>
      <c r="D20" s="30" t="str">
        <f t="shared" si="5"/>
        <v>5 Key Strategies for Your Financial Product Marketing Initiatives in 2019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122</v>
      </c>
      <c r="B21" s="8">
        <f t="shared" si="0"/>
        <v>0</v>
      </c>
      <c r="C21" s="8" t="e">
        <f t="shared" si="3"/>
        <v>#DIV/0!</v>
      </c>
      <c r="D21" s="54" t="str">
        <f t="shared" ref="D21:D22" si="6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21" s="28"/>
      <c r="F21" s="26"/>
      <c r="G21" s="28"/>
      <c r="H21" s="26"/>
      <c r="I21" s="28"/>
      <c r="J21" s="26"/>
      <c r="K21" s="29"/>
      <c r="L21" s="29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26" t="s">
        <v>123</v>
      </c>
      <c r="B22" s="8">
        <f t="shared" si="0"/>
        <v>1</v>
      </c>
      <c r="C22" s="8">
        <f t="shared" si="3"/>
        <v>12</v>
      </c>
      <c r="D22" s="54" t="str">
        <f t="shared" si="6"/>
        <v xml:space="preserve">11 online reputation management techniques for doctors (the definitive guide)
</v>
      </c>
      <c r="E22" s="27" t="str">
        <f>HYPERLINK("http://www.garyluck.com/how-to-check-your-doctors-reputation-online/","How to check your doctor’s reputation online
")</f>
        <v>How to check your doctor’s reputation online_x000D_</v>
      </c>
      <c r="F22" s="26">
        <v>12</v>
      </c>
      <c r="G22" s="28"/>
      <c r="H22" s="26"/>
      <c r="I22" s="28"/>
      <c r="J22" s="26"/>
      <c r="K22" s="29"/>
      <c r="L22" s="29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128</v>
      </c>
      <c r="B23" s="8">
        <f t="shared" si="0"/>
        <v>2</v>
      </c>
      <c r="C23" s="8">
        <f t="shared" si="3"/>
        <v>60.5</v>
      </c>
      <c r="D23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23" s="11" t="str">
        <f>HYPERLINK("https://www.lapshock.com/5-ways-social-media-helps-healthcare-organizations-get-customers-2018/","5 ways social media helps healthcare organizations get more customers in 2018
")</f>
        <v>5 ways social media helps healthcare organizations get more customers in 2018_x000D_</v>
      </c>
      <c r="F23" s="13">
        <v>60</v>
      </c>
      <c r="G23" s="30" t="str">
        <f>HYPERLINK("http://foojee.net/5-common-social-media-mistakes-which-people-are-still-making-in-2018/","5 COMMON SOCIAL MEDIA MISTAKES WHICH PEOPLE ARE STILL MAKING IN 2018
")</f>
        <v>5 COMMON SOCIAL MEDIA MISTAKES WHICH PEOPLE ARE STILL MAKING IN 2018_x000D_</v>
      </c>
      <c r="H23" s="13">
        <v>61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131</v>
      </c>
      <c r="B24" s="8">
        <f t="shared" si="0"/>
        <v>0</v>
      </c>
      <c r="C24" s="8" t="e">
        <f t="shared" si="3"/>
        <v>#DIV/0!</v>
      </c>
      <c r="D24" s="21" t="s">
        <v>132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</sheetData>
  <hyperlinks>
    <hyperlink ref="D4" r:id="rId1"/>
    <hyperlink ref="D5" r:id="rId2"/>
    <hyperlink ref="D6" r:id="rId3"/>
    <hyperlink ref="D7" r:id="rId4"/>
    <hyperlink ref="M7" r:id="rId5"/>
    <hyperlink ref="D24" r:id="rId6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" t="s">
        <v>7</v>
      </c>
      <c r="H1" s="1" t="s">
        <v>6</v>
      </c>
      <c r="I1" s="1" t="s">
        <v>8</v>
      </c>
      <c r="J1" s="1" t="s">
        <v>6</v>
      </c>
      <c r="K1" s="1" t="s">
        <v>9</v>
      </c>
      <c r="L1" s="1" t="s">
        <v>6</v>
      </c>
      <c r="M1" s="1" t="s">
        <v>10</v>
      </c>
      <c r="N1" s="1" t="s">
        <v>6</v>
      </c>
      <c r="O1" s="1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31" si="0">COUNTIF(E2:AD2,"&gt;0")</f>
        <v>0</v>
      </c>
      <c r="C2" s="8" t="e">
        <f t="shared" ref="C2:C6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26" t="s">
        <v>67</v>
      </c>
      <c r="B4" s="8">
        <f t="shared" si="0"/>
        <v>0</v>
      </c>
      <c r="C4" s="8" t="e">
        <f t="shared" si="1"/>
        <v>#DIV/0!</v>
      </c>
      <c r="D4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4" s="28"/>
      <c r="F4" s="26"/>
      <c r="G4" s="29"/>
      <c r="H4" s="29"/>
      <c r="I4" s="29"/>
      <c r="J4" s="29"/>
      <c r="K4" s="29"/>
      <c r="L4" s="29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73</v>
      </c>
      <c r="B5" s="8">
        <f t="shared" si="0"/>
        <v>0</v>
      </c>
      <c r="C5" s="8" t="e">
        <f t="shared" si="1"/>
        <v>#DIV/0!</v>
      </c>
      <c r="D5" s="30" t="str">
        <f>HYPERLINK("https://healthcareweekly.com/blockchain-in-healthcare/","7 Applications of Blockchain in Healthcare
")</f>
        <v>7 Applications of Blockchain in Healthcare_x000D_</v>
      </c>
      <c r="E5" s="28"/>
      <c r="F5" s="26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75</v>
      </c>
      <c r="B6" s="8">
        <f t="shared" si="0"/>
        <v>0</v>
      </c>
      <c r="C6" s="8" t="e">
        <f t="shared" si="1"/>
        <v>#DIV/0!</v>
      </c>
      <c r="D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76</v>
      </c>
      <c r="B7" s="8">
        <f t="shared" si="0"/>
        <v>0</v>
      </c>
      <c r="C7" s="8"/>
      <c r="D7" s="21" t="s">
        <v>77</v>
      </c>
      <c r="E7" s="28"/>
      <c r="F7" s="26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78</v>
      </c>
      <c r="B8" s="8">
        <f t="shared" si="0"/>
        <v>0</v>
      </c>
      <c r="C8" s="8" t="e">
        <f>SUM(F8:AD8)/B8</f>
        <v>#DIV/0!</v>
      </c>
      <c r="D8" s="21" t="s">
        <v>77</v>
      </c>
      <c r="E8" s="12"/>
      <c r="F8" s="13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79</v>
      </c>
      <c r="B9" s="8">
        <f t="shared" si="0"/>
        <v>1</v>
      </c>
      <c r="C9" s="8"/>
      <c r="D9" s="21" t="s">
        <v>77</v>
      </c>
      <c r="E9" s="33" t="str">
        <f>HYPERLINK("http://talkmarketingnow.com/fintech-marketers-how-to-improve-your-marketing-roi-in-3-simple-steps/","FINTECH MARKETERS: HOW TO IMPROVE YOUR MARKETING ROI IN 3 SIMPLE STEPS
")</f>
        <v>FINTECH MARKETERS: HOW TO IMPROVE YOUR MARKETING ROI IN 3 SIMPLE STEPS_x000D_</v>
      </c>
      <c r="F9" s="34">
        <v>6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26" t="s">
        <v>80</v>
      </c>
      <c r="B10" s="8">
        <f t="shared" si="0"/>
        <v>0</v>
      </c>
      <c r="C10" s="8" t="e">
        <f t="shared" ref="C10:C13" si="2">SUM(F10:AD10)/B10</f>
        <v>#DIV/0!</v>
      </c>
      <c r="D10" s="35" t="s">
        <v>77</v>
      </c>
      <c r="E10" s="28"/>
      <c r="F10" s="26"/>
      <c r="G10" s="28"/>
      <c r="H10" s="26"/>
      <c r="I10" s="28"/>
      <c r="J10" s="26"/>
      <c r="K10" s="28"/>
      <c r="L10" s="26"/>
      <c r="M10" s="12"/>
      <c r="N10" s="13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26" t="s">
        <v>74</v>
      </c>
      <c r="B11" s="8">
        <f t="shared" si="0"/>
        <v>0</v>
      </c>
      <c r="C11" s="8" t="e">
        <f t="shared" si="2"/>
        <v>#DIV/0!</v>
      </c>
      <c r="D1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1" s="28"/>
      <c r="F11" s="26"/>
      <c r="G11" s="28"/>
      <c r="H11" s="26"/>
      <c r="I11" s="12"/>
      <c r="J11" s="13"/>
      <c r="K11" s="28"/>
      <c r="L11" s="26"/>
      <c r="M11" s="12"/>
      <c r="N11" s="13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13"/>
      <c r="AA11" s="8"/>
      <c r="AB11" s="8"/>
      <c r="AC11" s="8"/>
      <c r="AD11" s="8"/>
    </row>
    <row r="12" spans="1:30" ht="15.75" customHeight="1">
      <c r="A12" s="13" t="s">
        <v>87</v>
      </c>
      <c r="B12" s="8">
        <f t="shared" si="0"/>
        <v>1</v>
      </c>
      <c r="C12" s="8">
        <f t="shared" si="2"/>
        <v>15</v>
      </c>
      <c r="D12" s="21" t="s">
        <v>77</v>
      </c>
      <c r="E12" s="30" t="str">
        <f>HYPERLINK("http://techtanic.com/4-consulting-tips-for-healthcare-organizations-marketing-teams/","4 Consulting Tips For Healthcare Organizations Marketing Teams
")</f>
        <v>4 Consulting Tips For Healthcare Organizations Marketing Teams_x000D_</v>
      </c>
      <c r="F12" s="13">
        <v>15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>
      <c r="A13" s="26" t="s">
        <v>88</v>
      </c>
      <c r="B13" s="8">
        <f t="shared" si="0"/>
        <v>0</v>
      </c>
      <c r="C13" s="8" t="e">
        <f t="shared" si="2"/>
        <v>#DIV/0!</v>
      </c>
      <c r="D13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13" s="28"/>
      <c r="F13" s="26"/>
      <c r="G13" s="44"/>
      <c r="H13" s="24"/>
      <c r="I13" s="29"/>
      <c r="J13" s="29"/>
      <c r="K13" s="29"/>
      <c r="L13" s="29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89</v>
      </c>
      <c r="B14" s="8">
        <f t="shared" si="0"/>
        <v>0</v>
      </c>
      <c r="C14" s="8"/>
      <c r="D14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14" s="28"/>
      <c r="F14" s="26"/>
      <c r="G14" s="29"/>
      <c r="H14" s="29"/>
      <c r="I14" s="29"/>
      <c r="J14" s="29"/>
      <c r="K14" s="29"/>
      <c r="L14" s="29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90</v>
      </c>
      <c r="B15" s="8">
        <f t="shared" si="0"/>
        <v>0</v>
      </c>
      <c r="C15" s="8" t="e">
        <f t="shared" ref="C15:C31" si="3">SUM(F15:AD15)/B15</f>
        <v>#DIV/0!</v>
      </c>
      <c r="D15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15" s="41"/>
      <c r="F15" s="47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59</v>
      </c>
      <c r="B16" s="8">
        <f t="shared" si="0"/>
        <v>1</v>
      </c>
      <c r="C16" s="8">
        <f t="shared" si="3"/>
        <v>6</v>
      </c>
      <c r="D16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16" s="33" t="str">
        <f>HYPERLINK("http://talkmarketingnow.com/fintech-marketers-how-to-improve-your-marketing-roi-in-3-simple-steps/","FINTECH MARKETERS: HOW TO IMPROVE YOUR MARKETING ROI IN 3 SIMPLE STEPS
")</f>
        <v>FINTECH MARKETERS: HOW TO IMPROVE YOUR MARKETING ROI IN 3 SIMPLE STEPS_x000D_</v>
      </c>
      <c r="F16" s="34">
        <v>6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>
      <c r="A17" s="26" t="s">
        <v>91</v>
      </c>
      <c r="B17" s="8">
        <f t="shared" si="0"/>
        <v>1</v>
      </c>
      <c r="C17" s="8">
        <f t="shared" si="3"/>
        <v>16</v>
      </c>
      <c r="D17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17" s="27" t="str">
        <f>HYPERLINK("http://www.yeartearm.com/how-health-technologies-change-the-modern-world/","How Health Technologies Change The Modern World
")</f>
        <v>How Health Technologies Change The Modern World_x000D_</v>
      </c>
      <c r="F17" s="26">
        <v>16</v>
      </c>
      <c r="G17" s="44"/>
      <c r="H17" s="24"/>
      <c r="I17" s="28"/>
      <c r="J17" s="26"/>
      <c r="K17" s="167"/>
      <c r="L17" s="45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92</v>
      </c>
      <c r="B18" s="8">
        <f t="shared" si="0"/>
        <v>1</v>
      </c>
      <c r="C18" s="8">
        <f t="shared" si="3"/>
        <v>24</v>
      </c>
      <c r="D18" s="21" t="s">
        <v>77</v>
      </c>
      <c r="E18" s="30" t="str">
        <f>HYPERLINK("http://www.techtreak.com/5-questions-to-ask-a-healthcare-consulting-company/","5 QUESTIONS TO ASK A HEALTHCARE CONSULTING COMPANY
")</f>
        <v>5 QUESTIONS TO ASK A HEALTHCARE CONSULTING COMPANY_x000D_</v>
      </c>
      <c r="F18" s="13">
        <v>24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94</v>
      </c>
      <c r="B19" s="8">
        <f t="shared" si="0"/>
        <v>1</v>
      </c>
      <c r="C19" s="8">
        <f t="shared" si="3"/>
        <v>27</v>
      </c>
      <c r="D19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19" s="30" t="str">
        <f>HYPERLINK("https://www.dudcard.com/5-actionable-tips-for-healthcare-marketers/","5 actionable tips for healthcare marketers
")</f>
        <v>5 actionable tips for healthcare marketers_x000D_</v>
      </c>
      <c r="F19" s="13">
        <v>27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101</v>
      </c>
      <c r="B20" s="8">
        <f t="shared" si="0"/>
        <v>0</v>
      </c>
      <c r="C20" s="8" t="e">
        <f t="shared" si="3"/>
        <v>#DIV/0!</v>
      </c>
      <c r="D20" s="27" t="str">
        <f>HYPERLINK("https://healthcareweekly.com/healthcare-startup-fails/","Most Common Health Startup Mistakes – and How to Fix Them
")</f>
        <v>Most Common Health Startup Mistakes – and How to Fix Them_x000D_</v>
      </c>
      <c r="E20" s="28"/>
      <c r="F20" s="26"/>
      <c r="G20" s="28"/>
      <c r="H20" s="26"/>
      <c r="I20" s="12"/>
      <c r="J20" s="13"/>
      <c r="K20" s="29"/>
      <c r="L20" s="29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102</v>
      </c>
      <c r="B21" s="8">
        <f t="shared" si="0"/>
        <v>0</v>
      </c>
      <c r="C21" s="8" t="e">
        <f t="shared" si="3"/>
        <v>#DIV/0!</v>
      </c>
      <c r="D21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21" s="28"/>
      <c r="F21" s="26"/>
      <c r="G21" s="44"/>
      <c r="H21" s="24"/>
      <c r="I21" s="28"/>
      <c r="J21" s="26"/>
      <c r="K21" s="52"/>
      <c r="L21" s="53"/>
      <c r="M21" s="28"/>
      <c r="N21" s="26"/>
      <c r="O21" s="12"/>
      <c r="P21" s="13"/>
      <c r="Q21" s="12"/>
      <c r="R21" s="13"/>
      <c r="S21" s="12"/>
      <c r="T21" s="13"/>
      <c r="U21" s="12"/>
      <c r="V21" s="13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26" t="s">
        <v>103</v>
      </c>
      <c r="B22" s="8">
        <f t="shared" si="0"/>
        <v>0</v>
      </c>
      <c r="C22" s="8" t="e">
        <f t="shared" si="3"/>
        <v>#DIV/0!</v>
      </c>
      <c r="D22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22" s="28"/>
      <c r="F22" s="26"/>
      <c r="G22" s="28"/>
      <c r="H22" s="26"/>
      <c r="I22" s="28"/>
      <c r="J22" s="26"/>
      <c r="K22" s="12"/>
      <c r="L22" s="13"/>
      <c r="M22" s="12"/>
      <c r="N22" s="1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108</v>
      </c>
      <c r="B23" s="8">
        <f t="shared" si="0"/>
        <v>0</v>
      </c>
      <c r="C23" s="8" t="e">
        <f t="shared" si="3"/>
        <v>#DIV/0!</v>
      </c>
      <c r="D2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3" t="s">
        <v>109</v>
      </c>
      <c r="B24" s="8">
        <f t="shared" si="0"/>
        <v>1</v>
      </c>
      <c r="C24" s="8">
        <f t="shared" si="3"/>
        <v>6</v>
      </c>
      <c r="D24" s="30" t="str">
        <f t="shared" ref="D24:D26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24" s="33" t="str">
        <f>HYPERLINK("http://talkmarketingnow.com/fintech-marketers-how-to-improve-your-marketing-roi-in-3-simple-steps/","FINTECH MARKETERS: HOW TO IMPROVE YOUR MARKETING ROI IN 3 SIMPLE STEPS
")</f>
        <v>FINTECH MARKETERS: HOW TO IMPROVE YOUR MARKETING ROI IN 3 SIMPLE STEPS_x000D_</v>
      </c>
      <c r="F24" s="34">
        <v>6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3" t="s">
        <v>112</v>
      </c>
      <c r="B25" s="8">
        <f t="shared" si="0"/>
        <v>0</v>
      </c>
      <c r="C25" s="8" t="e">
        <f t="shared" si="3"/>
        <v>#DIV/0!</v>
      </c>
      <c r="D25" s="30" t="str">
        <f t="shared" si="4"/>
        <v>5 Key Strategies for Your Financial Product Marketing Initiatives in 2019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3" t="s">
        <v>113</v>
      </c>
      <c r="B26" s="8">
        <f t="shared" si="0"/>
        <v>0</v>
      </c>
      <c r="C26" s="8" t="e">
        <f t="shared" si="3"/>
        <v>#DIV/0!</v>
      </c>
      <c r="D26" s="30" t="str">
        <f t="shared" si="4"/>
        <v>5 Key Strategies for Your Financial Product Marketing Initiatives in 2019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119</v>
      </c>
      <c r="B27" s="8">
        <f t="shared" si="0"/>
        <v>0</v>
      </c>
      <c r="C27" s="8" t="e">
        <f t="shared" si="3"/>
        <v>#DIV/0!</v>
      </c>
      <c r="D2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26" t="s">
        <v>122</v>
      </c>
      <c r="B28" s="8">
        <f t="shared" si="0"/>
        <v>2</v>
      </c>
      <c r="C28" s="8">
        <f t="shared" si="3"/>
        <v>55</v>
      </c>
      <c r="D28" s="54" t="str">
        <f t="shared" ref="D28:D29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28" s="27" t="str">
        <f>HYPERLINK("http://www.marketingrama.info/5-seo-tips-for-healthcare-organizations/","5 SEO TIPS FOR HEALTHCARE ORGANIZATIONS
")</f>
        <v>5 SEO TIPS FOR HEALTHCARE ORGANIZATIONS_x000D_</v>
      </c>
      <c r="F28" s="26">
        <v>29</v>
      </c>
      <c r="G28" s="27" t="str">
        <f>HYPERLINK("https://rohitink.com/2018/12/07/online-reputation-management-doctors-important-seo/","Why is online reputation management for doctors more Important than SEO?
")</f>
        <v>Why is online reputation management for doctors more Important than SEO?_x000D_</v>
      </c>
      <c r="H28" s="26">
        <v>81</v>
      </c>
      <c r="I28" s="28"/>
      <c r="J28" s="26"/>
      <c r="K28" s="29"/>
      <c r="L28" s="29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26" t="s">
        <v>123</v>
      </c>
      <c r="B29" s="8">
        <f t="shared" si="0"/>
        <v>0</v>
      </c>
      <c r="C29" s="8" t="e">
        <f t="shared" si="3"/>
        <v>#DIV/0!</v>
      </c>
      <c r="D29" s="54" t="str">
        <f t="shared" si="5"/>
        <v xml:space="preserve">11 online reputation management techniques for doctors (the definitive guide)
</v>
      </c>
      <c r="E29" s="28"/>
      <c r="F29" s="26"/>
      <c r="G29" s="28"/>
      <c r="H29" s="26"/>
      <c r="I29" s="28"/>
      <c r="J29" s="26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128</v>
      </c>
      <c r="B30" s="8">
        <f t="shared" si="0"/>
        <v>0</v>
      </c>
      <c r="C30" s="8" t="e">
        <f t="shared" si="3"/>
        <v>#DIV/0!</v>
      </c>
      <c r="D30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30" s="10"/>
      <c r="F30" s="13"/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131</v>
      </c>
      <c r="B31" s="8">
        <f t="shared" si="0"/>
        <v>1</v>
      </c>
      <c r="C31" s="8">
        <f t="shared" si="3"/>
        <v>24</v>
      </c>
      <c r="D31" s="21" t="s">
        <v>132</v>
      </c>
      <c r="E31" s="46" t="str">
        <f>HYPERLINK("http://www.techtreak.com/5-questions-to-ask-a-healthcare-consulting-company/","5 QUESTIONS TO ASK A HEALTHCARE CONSULTING COMPANY
")</f>
        <v>5 QUESTIONS TO ASK A HEALTHCARE CONSULTING COMPANY_x000D_</v>
      </c>
      <c r="F31" s="47">
        <v>24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8"/>
      <c r="B37" s="194" t="s">
        <v>1909</v>
      </c>
      <c r="C37" s="185"/>
      <c r="D37" s="185"/>
      <c r="E37" s="185"/>
      <c r="F37" s="185"/>
      <c r="G37" s="185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8"/>
      <c r="B38" s="3"/>
      <c r="C38" s="3"/>
      <c r="D38" s="7" t="s">
        <v>1409</v>
      </c>
      <c r="E38" s="7" t="s">
        <v>19</v>
      </c>
      <c r="F38" s="7" t="s">
        <v>20</v>
      </c>
      <c r="G38" s="40" t="s">
        <v>21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8"/>
      <c r="B39" s="37"/>
      <c r="C39" s="37"/>
      <c r="D39" s="36"/>
      <c r="E39" s="37"/>
      <c r="F39" s="38"/>
      <c r="G39" s="16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8"/>
      <c r="B40" s="102"/>
      <c r="C40" s="102"/>
      <c r="D40" s="117" t="s">
        <v>1900</v>
      </c>
      <c r="E40" s="102" t="s">
        <v>79</v>
      </c>
      <c r="F40" s="38">
        <v>70</v>
      </c>
      <c r="G40" s="170" t="s">
        <v>1910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8"/>
      <c r="B41" s="102"/>
      <c r="C41" s="102"/>
      <c r="D41" s="117" t="s">
        <v>1900</v>
      </c>
      <c r="E41" s="102" t="s">
        <v>1065</v>
      </c>
      <c r="F41" s="38">
        <v>300</v>
      </c>
      <c r="G41" s="170" t="s">
        <v>1911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8"/>
      <c r="B42" s="18"/>
      <c r="C42" s="3"/>
      <c r="D42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2" s="3" t="s">
        <v>128</v>
      </c>
      <c r="F42" s="3">
        <v>50</v>
      </c>
      <c r="G42" s="15" t="s">
        <v>1912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8"/>
      <c r="B43" s="169"/>
      <c r="C43" s="37"/>
      <c r="D43" s="36" t="str">
        <f t="shared" ref="D43:D44" si="6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3" s="37" t="s">
        <v>123</v>
      </c>
      <c r="F43" s="38">
        <v>60</v>
      </c>
      <c r="G43" s="170" t="s">
        <v>1913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8"/>
      <c r="B44" s="38"/>
      <c r="C44" s="37"/>
      <c r="D44" s="36" t="str">
        <f t="shared" si="6"/>
        <v xml:space="preserve">11 online reputation management techniques for doctors (the definitive guide)
</v>
      </c>
      <c r="E44" s="37" t="s">
        <v>122</v>
      </c>
      <c r="F44" s="38">
        <v>60</v>
      </c>
      <c r="G44" s="170" t="s">
        <v>1914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>
      <c r="A45" s="8"/>
      <c r="B45" s="38"/>
      <c r="C45" s="37"/>
      <c r="D45" s="195" t="s">
        <v>1915</v>
      </c>
      <c r="E45" s="185"/>
      <c r="F45" s="185"/>
      <c r="G45" s="185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8"/>
      <c r="B46" s="38"/>
      <c r="C46" s="37"/>
      <c r="D46" s="128" t="s">
        <v>1916</v>
      </c>
      <c r="E46" s="31" t="s">
        <v>1917</v>
      </c>
      <c r="F46" s="24">
        <v>10</v>
      </c>
      <c r="G46" s="170" t="s">
        <v>1918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8"/>
      <c r="B47" s="38"/>
      <c r="C47" s="37"/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3" t="s">
        <v>108</v>
      </c>
      <c r="F47" s="3">
        <v>200</v>
      </c>
      <c r="G47" s="170" t="s">
        <v>1919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</sheetData>
  <mergeCells count="2">
    <mergeCell ref="B37:G37"/>
    <mergeCell ref="D45:G45"/>
  </mergeCells>
  <hyperlinks>
    <hyperlink ref="D7" r:id="rId1"/>
    <hyperlink ref="D8" r:id="rId2"/>
    <hyperlink ref="D9" r:id="rId3"/>
    <hyperlink ref="D10" r:id="rId4"/>
    <hyperlink ref="D12" r:id="rId5"/>
    <hyperlink ref="D18" r:id="rId6"/>
    <hyperlink ref="D31" r:id="rId7"/>
    <hyperlink ref="D40" r:id="rId8"/>
    <hyperlink ref="D41" r:id="rId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/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" t="s">
        <v>7</v>
      </c>
      <c r="H1" s="1" t="s">
        <v>6</v>
      </c>
      <c r="I1" s="1" t="s">
        <v>8</v>
      </c>
      <c r="J1" s="1" t="s">
        <v>6</v>
      </c>
      <c r="K1" s="1" t="s">
        <v>9</v>
      </c>
      <c r="L1" s="1" t="s">
        <v>6</v>
      </c>
      <c r="M1" s="1" t="s">
        <v>10</v>
      </c>
      <c r="N1" s="1" t="s">
        <v>6</v>
      </c>
      <c r="O1" s="1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37" si="0">COUNTIF(E2:AD2,"&gt;0")</f>
        <v>1</v>
      </c>
      <c r="C2" s="8">
        <f t="shared" ref="C2:C7" si="1">SUM(F2:AD2)/B2</f>
        <v>19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30" t="str">
        <f>HYPERLINK("http://www.suplemenvimax.com/2018/12/15/abbvies-mavyret-cures-hep-c-at-high-rates-in-real-world-analysis/","AbbVie’s Mavyret Cures Hep C at High Rates in Real-World Analysis
")</f>
        <v>AbbVie’s Mavyret Cures Hep C at High Rates in Real-World Analysis_x000D_</v>
      </c>
      <c r="F2" s="13">
        <v>19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26" t="s">
        <v>67</v>
      </c>
      <c r="B4" s="8">
        <f t="shared" si="0"/>
        <v>0</v>
      </c>
      <c r="C4" s="8" t="e">
        <f t="shared" si="1"/>
        <v>#DIV/0!</v>
      </c>
      <c r="D4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4" s="28"/>
      <c r="F4" s="26"/>
      <c r="G4" s="29"/>
      <c r="H4" s="29"/>
      <c r="I4" s="29"/>
      <c r="J4" s="29"/>
      <c r="K4" s="29"/>
      <c r="L4" s="29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69</v>
      </c>
      <c r="B5" s="8">
        <f t="shared" si="0"/>
        <v>6</v>
      </c>
      <c r="C5" s="8">
        <f t="shared" si="1"/>
        <v>51.833333333333336</v>
      </c>
      <c r="D5" s="30" t="str">
        <f>HYPERLINK("https://healthcareweekly.com/astaxanthin/","15 health benefits of astaxanthin")</f>
        <v>15 health benefits of astaxanthin</v>
      </c>
      <c r="E5" s="30" t="str">
        <f>HYPERLINK("https://www.askthetrainer.com/health-benefits-of-astaxanthin/","10 Surprising Health Benefits of Astaxanthin")</f>
        <v>10 Surprising Health Benefits of Astaxanthin</v>
      </c>
      <c r="F5" s="13">
        <v>60</v>
      </c>
      <c r="G5" s="30" t="str">
        <f>HYPERLINK("https://www.tastefulspace.com/blog/2018/12/09/six-astaxanthin-benefits-for-people-who-want-to-live-a-healthy-life/","Six Astaxanthin Benefits For People Who Want To Live A Healthy Life
")</f>
        <v>Six Astaxanthin Benefits For People Who Want To Live A Healthy Life_x000D_</v>
      </c>
      <c r="H5" s="13">
        <v>49</v>
      </c>
      <c r="I5" s="30" t="str">
        <f>HYPERLINK("http://www.medicalmingle.com/hcw/blog/2018/12/11/5_things_to_know_about_one_of_the_greatest_natural_antioxidants_","5 things to know about one of the greatest natural antioxidants")</f>
        <v>5 things to know about one of the greatest natural antioxidants</v>
      </c>
      <c r="J5" s="13">
        <v>55</v>
      </c>
      <c r="K5" s="30" t="str">
        <f>HYPERLINK("http://moneyforlunch.com/five-strategies-to-get-flawless-skin-you-didnt-know-about/","Five Strategies To Get Flawless Skin You Didn’t Know About")</f>
        <v>Five Strategies To Get Flawless Skin You Didn’t Know About</v>
      </c>
      <c r="L5" s="13">
        <v>48</v>
      </c>
      <c r="M5" s="30" t="str">
        <f>HYPERLINK("http://www.dietoflife.com/5-natural-ingredients-that-can-help-with-weight-loss/","5 Natural Ingredients That Can Help With Weight Loss
")</f>
        <v>5 Natural Ingredients That Can Help With Weight Loss_x000D_</v>
      </c>
      <c r="N5" s="13">
        <v>48</v>
      </c>
      <c r="O5" s="30" t="str">
        <f>HYPERLINK("https://curiousmindmagazine.com/what-you-should-intake-to-help-support-cognitive-health/","What you should intake to support cognitive health")</f>
        <v>What you should intake to support cognitive health</v>
      </c>
      <c r="P5" s="13">
        <v>51</v>
      </c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73</v>
      </c>
      <c r="B6" s="8">
        <f t="shared" si="0"/>
        <v>0</v>
      </c>
      <c r="C6" s="8" t="e">
        <f t="shared" si="1"/>
        <v>#DIV/0!</v>
      </c>
      <c r="D6" s="30" t="str">
        <f>HYPERLINK("https://healthcareweekly.com/blockchain-in-healthcare/","7 Applications of Blockchain in Healthcare
")</f>
        <v>7 Applications of Blockchain in Healthcare_x000D_</v>
      </c>
      <c r="E6" s="28"/>
      <c r="F6" s="26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75</v>
      </c>
      <c r="B7" s="8">
        <f t="shared" si="0"/>
        <v>0</v>
      </c>
      <c r="C7" s="8" t="e">
        <f t="shared" si="1"/>
        <v>#DIV/0!</v>
      </c>
      <c r="D7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76</v>
      </c>
      <c r="B8" s="8">
        <f t="shared" si="0"/>
        <v>0</v>
      </c>
      <c r="C8" s="8"/>
      <c r="D8" s="21" t="s">
        <v>77</v>
      </c>
      <c r="E8" s="28"/>
      <c r="F8" s="26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78</v>
      </c>
      <c r="B9" s="8">
        <f t="shared" si="0"/>
        <v>0</v>
      </c>
      <c r="C9" s="8" t="e">
        <f>SUM(F9:AD9)/B9</f>
        <v>#DIV/0!</v>
      </c>
      <c r="D9" s="21" t="s">
        <v>77</v>
      </c>
      <c r="E9" s="12"/>
      <c r="F9" s="13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79</v>
      </c>
      <c r="B10" s="8">
        <f t="shared" si="0"/>
        <v>0</v>
      </c>
      <c r="C10" s="8"/>
      <c r="D10" s="21" t="s">
        <v>77</v>
      </c>
      <c r="E10" s="33"/>
      <c r="F10" s="34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26" t="s">
        <v>80</v>
      </c>
      <c r="B11" s="8">
        <f t="shared" si="0"/>
        <v>1</v>
      </c>
      <c r="C11" s="8">
        <f t="shared" ref="C11:C17" si="2">SUM(F11:AD11)/B11</f>
        <v>51</v>
      </c>
      <c r="D11" s="35" t="s">
        <v>77</v>
      </c>
      <c r="E11" s="30" t="str">
        <f>HYPERLINK("https://curiousmindmagazine.com/what-you-should-intake-to-help-support-cognitive-health/","What you should intake to support cognitive health")</f>
        <v>What you should intake to support cognitive health</v>
      </c>
      <c r="F11" s="13">
        <v>51</v>
      </c>
      <c r="G11" s="28"/>
      <c r="H11" s="26"/>
      <c r="I11" s="28"/>
      <c r="J11" s="26"/>
      <c r="K11" s="28"/>
      <c r="L11" s="26"/>
      <c r="M11" s="12"/>
      <c r="N11" s="13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26" t="s">
        <v>74</v>
      </c>
      <c r="B12" s="8">
        <f t="shared" si="0"/>
        <v>0</v>
      </c>
      <c r="C12" s="8" t="e">
        <f t="shared" si="2"/>
        <v>#DIV/0!</v>
      </c>
      <c r="D12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2" s="28"/>
      <c r="F12" s="26"/>
      <c r="G12" s="28"/>
      <c r="H12" s="26"/>
      <c r="I12" s="12"/>
      <c r="J12" s="13"/>
      <c r="K12" s="28"/>
      <c r="L12" s="26"/>
      <c r="M12" s="12"/>
      <c r="N12" s="13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13"/>
      <c r="AA12" s="8"/>
      <c r="AB12" s="8"/>
      <c r="AC12" s="8"/>
      <c r="AD12" s="8"/>
    </row>
    <row r="13" spans="1:30" ht="15.75" customHeight="1">
      <c r="A13" s="13" t="s">
        <v>83</v>
      </c>
      <c r="B13" s="8">
        <f t="shared" si="0"/>
        <v>1</v>
      </c>
      <c r="C13" s="8">
        <f t="shared" si="2"/>
        <v>47</v>
      </c>
      <c r="D13" s="21" t="s">
        <v>77</v>
      </c>
      <c r="E13" s="30" t="str">
        <f>HYPERLINK("https://deliciouslysavvy.com/5-tips-to-get-cool-gifts-for-your-entire-family-this-holiday-season/","5 tips to get cool gifts for your entire family this holiday season")</f>
        <v>5 tips to get cool gifts for your entire family this holiday season</v>
      </c>
      <c r="F13" s="13">
        <v>47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85</v>
      </c>
      <c r="B14" s="8">
        <f t="shared" si="0"/>
        <v>1</v>
      </c>
      <c r="C14" s="8">
        <f t="shared" si="2"/>
        <v>60</v>
      </c>
      <c r="D14" s="21" t="s">
        <v>77</v>
      </c>
      <c r="E14" s="41" t="str">
        <f>HYPERLINK("https://www.askthetrainer.com/health-benefits-of-astaxanthin/","10 Surprising Health Benefits of Astaxanthin")</f>
        <v>10 Surprising Health Benefits of Astaxanthin</v>
      </c>
      <c r="F14" s="42">
        <v>60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86</v>
      </c>
      <c r="B15" s="8">
        <f t="shared" si="0"/>
        <v>1</v>
      </c>
      <c r="C15" s="8">
        <f t="shared" si="2"/>
        <v>49</v>
      </c>
      <c r="D15" s="21" t="s">
        <v>77</v>
      </c>
      <c r="E15" s="30" t="str">
        <f>HYPERLINK("https://www.tastefulspace.com/blog/2018/12/09/six-astaxanthin-benefits-for-people-who-want-to-live-a-healthy-life/","Six Astaxanthin Benefits For People Who Want To Live A Healthy Life
")</f>
        <v>Six Astaxanthin Benefits For People Who Want To Live A Healthy Life_x000D_</v>
      </c>
      <c r="F15" s="13">
        <v>49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2" t="s">
        <v>87</v>
      </c>
      <c r="B16" s="8">
        <f t="shared" si="0"/>
        <v>0</v>
      </c>
      <c r="C16" s="8" t="e">
        <f t="shared" si="2"/>
        <v>#DIV/0!</v>
      </c>
      <c r="D16" s="21" t="s">
        <v>77</v>
      </c>
      <c r="E16" s="12"/>
      <c r="F16" s="13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>
      <c r="A17" s="26" t="s">
        <v>88</v>
      </c>
      <c r="B17" s="8">
        <f t="shared" si="0"/>
        <v>0</v>
      </c>
      <c r="C17" s="8" t="e">
        <f t="shared" si="2"/>
        <v>#DIV/0!</v>
      </c>
      <c r="D17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17" s="28"/>
      <c r="F17" s="26"/>
      <c r="G17" s="44"/>
      <c r="H17" s="24"/>
      <c r="I17" s="29"/>
      <c r="J17" s="29"/>
      <c r="K17" s="29"/>
      <c r="L17" s="29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89</v>
      </c>
      <c r="B18" s="8">
        <f t="shared" si="0"/>
        <v>0</v>
      </c>
      <c r="C18" s="8"/>
      <c r="D18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18" s="28"/>
      <c r="F18" s="26"/>
      <c r="G18" s="29"/>
      <c r="H18" s="29"/>
      <c r="I18" s="29"/>
      <c r="J18" s="29"/>
      <c r="K18" s="29"/>
      <c r="L18" s="29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90</v>
      </c>
      <c r="B19" s="8">
        <f t="shared" si="0"/>
        <v>0</v>
      </c>
      <c r="C19" s="8" t="e">
        <f t="shared" ref="C19:C37" si="3">SUM(F19:AD19)/B19</f>
        <v>#DIV/0!</v>
      </c>
      <c r="D19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19" s="41"/>
      <c r="F19" s="47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59</v>
      </c>
      <c r="B20" s="8">
        <f t="shared" si="0"/>
        <v>0</v>
      </c>
      <c r="C20" s="8" t="e">
        <f t="shared" si="3"/>
        <v>#DIV/0!</v>
      </c>
      <c r="D20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0" s="33"/>
      <c r="F20" s="34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>
      <c r="A21" s="26" t="s">
        <v>91</v>
      </c>
      <c r="B21" s="8">
        <f t="shared" si="0"/>
        <v>2</v>
      </c>
      <c r="C21" s="8">
        <f t="shared" si="3"/>
        <v>83</v>
      </c>
      <c r="D21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1" s="30" t="str">
        <f>HYPERLINK("http://www.dezzain.com/marketing/5-healthcare-marketing-tips-to-implement-in-2019/","5 Healthcare Marketing Tips to Implement in 2019")</f>
        <v>5 Healthcare Marketing Tips to Implement in 2019</v>
      </c>
      <c r="F21" s="13">
        <v>76</v>
      </c>
      <c r="G21" s="44" t="str">
        <f>HYPERLINK("http://scalar.usc.edu/works/viewblogpost/what-are-the-varied-aspects-of-website-design-for-healthcare","What Are The Varied Aspects Of Website Design For Healthcare
")</f>
        <v>What Are The Varied Aspects Of Website Design For Healthcare_x000D_</v>
      </c>
      <c r="H21" s="24">
        <v>90</v>
      </c>
      <c r="I21" s="28"/>
      <c r="J21" s="26"/>
      <c r="K21" s="167"/>
      <c r="L21" s="45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92</v>
      </c>
      <c r="B22" s="8">
        <f t="shared" si="0"/>
        <v>0</v>
      </c>
      <c r="C22" s="8" t="e">
        <f t="shared" si="3"/>
        <v>#DIV/0!</v>
      </c>
      <c r="D22" s="21" t="s">
        <v>77</v>
      </c>
      <c r="E22" s="12"/>
      <c r="F22" s="13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94</v>
      </c>
      <c r="B23" s="8">
        <f t="shared" si="0"/>
        <v>1</v>
      </c>
      <c r="C23" s="8">
        <f t="shared" si="3"/>
        <v>76</v>
      </c>
      <c r="D2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23" s="30" t="str">
        <f t="shared" ref="E23:E24" si="4">HYPERLINK("http://www.dezzain.com/marketing/5-healthcare-marketing-tips-to-implement-in-2019/","5 Healthcare Marketing Tips to Implement in 2019")</f>
        <v>5 Healthcare Marketing Tips to Implement in 2019</v>
      </c>
      <c r="F23" s="13">
        <v>76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95</v>
      </c>
      <c r="B24" s="8">
        <f t="shared" si="0"/>
        <v>3</v>
      </c>
      <c r="C24" s="8">
        <f t="shared" si="3"/>
        <v>57.333333333333336</v>
      </c>
      <c r="D24" s="8"/>
      <c r="E24" s="30" t="str">
        <f t="shared" si="4"/>
        <v>5 Healthcare Marketing Tips to Implement in 2019</v>
      </c>
      <c r="F24" s="13">
        <v>76</v>
      </c>
      <c r="G24" s="30" t="str">
        <f>HYPERLINK("http://moneyforlunch.com/five-strategies-to-get-flawless-skin-you-didnt-know-about/","Five Strategies To Get Flawless Skin You Didn’t Know About")</f>
        <v>Five Strategies To Get Flawless Skin You Didn’t Know About</v>
      </c>
      <c r="H24" s="13">
        <v>48</v>
      </c>
      <c r="I24" s="30" t="str">
        <f>HYPERLINK("http://www.dietoflife.com/5-natural-ingredients-that-can-help-with-weight-loss/","5 Natural Ingredients That Can Help With Weight Loss
")</f>
        <v>5 Natural Ingredients That Can Help With Weight Loss_x000D_</v>
      </c>
      <c r="J24" s="13">
        <v>48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26" t="s">
        <v>101</v>
      </c>
      <c r="B25" s="8">
        <f t="shared" si="0"/>
        <v>0</v>
      </c>
      <c r="C25" s="8" t="e">
        <f t="shared" si="3"/>
        <v>#DIV/0!</v>
      </c>
      <c r="D25" s="27" t="str">
        <f>HYPERLINK("https://healthcareweekly.com/healthcare-startup-fails/","Most Common Health Startup Mistakes – and How to Fix Them
")</f>
        <v>Most Common Health Startup Mistakes – and How to Fix Them_x000D_</v>
      </c>
      <c r="E25" s="28"/>
      <c r="F25" s="26"/>
      <c r="G25" s="28"/>
      <c r="H25" s="26"/>
      <c r="I25" s="12"/>
      <c r="J25" s="13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26" t="s">
        <v>102</v>
      </c>
      <c r="B26" s="8">
        <f t="shared" si="0"/>
        <v>1</v>
      </c>
      <c r="C26" s="8">
        <f t="shared" si="3"/>
        <v>62</v>
      </c>
      <c r="D26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26" s="27" t="str">
        <f t="shared" ref="E26:E27" si="5">HYPERLINK("https://www.tapscape.com/7-healthcare-trends-every-hospital-should-apply/","7 Healthcare Trends Every Hospital Should Apply
")</f>
        <v xml:space="preserve">7 Healthcare Trends Every Hospital Should Apply
</v>
      </c>
      <c r="F26" s="26">
        <v>62</v>
      </c>
      <c r="G26" s="44"/>
      <c r="H26" s="24"/>
      <c r="I26" s="28"/>
      <c r="J26" s="26"/>
      <c r="K26" s="52"/>
      <c r="L26" s="53"/>
      <c r="M26" s="28"/>
      <c r="N26" s="26"/>
      <c r="O26" s="12"/>
      <c r="P26" s="13"/>
      <c r="Q26" s="12"/>
      <c r="R26" s="13"/>
      <c r="S26" s="12"/>
      <c r="T26" s="13"/>
      <c r="U26" s="12"/>
      <c r="V26" s="13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26" t="s">
        <v>103</v>
      </c>
      <c r="B27" s="8">
        <f t="shared" si="0"/>
        <v>6</v>
      </c>
      <c r="C27" s="8">
        <f t="shared" si="3"/>
        <v>67.666666666666671</v>
      </c>
      <c r="D27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27" s="27" t="str">
        <f t="shared" si="5"/>
        <v xml:space="preserve">7 Healthcare Trends Every Hospital Should Apply
</v>
      </c>
      <c r="F27" s="26">
        <v>62</v>
      </c>
      <c r="G27" s="44" t="str">
        <f>HYPERLINK("http://scalar.usc.edu/works/viewblogpost/what-are-the-varied-aspects-of-website-design-for-healthcare","What Are The Varied Aspects Of Website Design For Healthcare
")</f>
        <v>What Are The Varied Aspects Of Website Design For Healthcare_x000D_</v>
      </c>
      <c r="H27" s="24">
        <v>90</v>
      </c>
      <c r="I27" s="27" t="str">
        <f>HYPERLINK("http://creatives.world.edu/2018/12/14/what-are-the-current-trends-in-healthcare-website-designing/","What Are The Current Trends In Healthcare Website Designing")</f>
        <v>What Are The Current Trends In Healthcare Website Designing</v>
      </c>
      <c r="J27" s="26">
        <v>65</v>
      </c>
      <c r="K27" s="30" t="str">
        <f>HYPERLINK("https://articles.abilogic.com/322014/how-much-importance-does-website.html","How Much Importance Does A Website Hold In Healthcare Businesses
")</f>
        <v>How Much Importance Does A Website Hold In Healthcare Businesses_x000D_</v>
      </c>
      <c r="L27" s="13">
        <v>64</v>
      </c>
      <c r="M27" s="30" t="str">
        <f>HYPERLINK("https://www.bloglovin.com/@katherineconley2/what-are-advantages-having-a-website-for","What Are The Advantages Of Having A Website For Your Company’s Domain
")</f>
        <v>What Are The Advantages Of Having A Website For Your Company’s Domain_x000D_</v>
      </c>
      <c r="N27" s="13">
        <v>90</v>
      </c>
      <c r="O27" s="21" t="s">
        <v>1920</v>
      </c>
      <c r="P27" s="13">
        <v>35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108</v>
      </c>
      <c r="B28" s="8">
        <f t="shared" si="0"/>
        <v>0</v>
      </c>
      <c r="C28" s="8" t="e">
        <f t="shared" si="3"/>
        <v>#DIV/0!</v>
      </c>
      <c r="D28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3" t="s">
        <v>109</v>
      </c>
      <c r="B29" s="8">
        <f t="shared" si="0"/>
        <v>0</v>
      </c>
      <c r="C29" s="8" t="e">
        <f t="shared" si="3"/>
        <v>#DIV/0!</v>
      </c>
      <c r="D29" s="30" t="str">
        <f t="shared" ref="D29:D31" si="6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29" s="33"/>
      <c r="F29" s="34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112</v>
      </c>
      <c r="B30" s="8">
        <f t="shared" si="0"/>
        <v>0</v>
      </c>
      <c r="C30" s="8" t="e">
        <f t="shared" si="3"/>
        <v>#DIV/0!</v>
      </c>
      <c r="D30" s="30" t="str">
        <f t="shared" si="6"/>
        <v>5 Key Strategies for Your Financial Product Marketing Initiatives in 2019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113</v>
      </c>
      <c r="B31" s="8">
        <f t="shared" si="0"/>
        <v>0</v>
      </c>
      <c r="C31" s="8" t="e">
        <f t="shared" si="3"/>
        <v>#DIV/0!</v>
      </c>
      <c r="D31" s="30" t="str">
        <f t="shared" si="6"/>
        <v>5 Key Strategies for Your Financial Product Marketing Initiatives in 2019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2" t="s">
        <v>119</v>
      </c>
      <c r="B32" s="8">
        <f t="shared" si="0"/>
        <v>4</v>
      </c>
      <c r="C32" s="8">
        <f t="shared" si="3"/>
        <v>20</v>
      </c>
      <c r="D32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32" s="30" t="str">
        <f>HYPERLINK("http://www.healthylifecentar.com/know-all-about-being-a-nurse/","Know all about being a Nurse
")</f>
        <v>Know all about being a Nurse_x000D_</v>
      </c>
      <c r="F32" s="13">
        <v>29</v>
      </c>
      <c r="G32" s="30" t="str">
        <f>HYPERLINK("http://www.lidy-health-center.com/how-to-refine-the-health-system/","How to Refine the Health System
")</f>
        <v>How to Refine the Health System_x000D_</v>
      </c>
      <c r="H32" s="13">
        <v>19</v>
      </c>
      <c r="I32" s="30" t="str">
        <f>HYPERLINK("http://www.healthybdaily.com/hospital-daily-allowance-comfort-quick-recovery/","Comfort for quick delivery")</f>
        <v>Comfort for quick delivery</v>
      </c>
      <c r="J32" s="13">
        <v>18</v>
      </c>
      <c r="K32" s="30" t="str">
        <f>HYPERLINK("http://www.goodmedschoice.com/the-importance-of-health-centers-in-rural-development/","The Importance of Health Centers in Rural Development
")</f>
        <v>The Importance of Health Centers in Rural Development_x000D_</v>
      </c>
      <c r="L32" s="13">
        <v>14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26" t="s">
        <v>122</v>
      </c>
      <c r="B33" s="8">
        <f t="shared" si="0"/>
        <v>1</v>
      </c>
      <c r="C33" s="8">
        <f t="shared" si="3"/>
        <v>76</v>
      </c>
      <c r="D33" s="54" t="str">
        <f t="shared" ref="D33:D34" si="7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33" s="30" t="str">
        <f>HYPERLINK("http://www.dezzain.com/marketing/5-healthcare-marketing-tips-to-implement-in-2019/","5 Healthcare Marketing Tips to Implement in 2019")</f>
        <v>5 Healthcare Marketing Tips to Implement in 2019</v>
      </c>
      <c r="F33" s="13">
        <v>76</v>
      </c>
      <c r="G33" s="28"/>
      <c r="H33" s="26"/>
      <c r="I33" s="28"/>
      <c r="J33" s="26"/>
      <c r="K33" s="29"/>
      <c r="L33" s="29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26" t="s">
        <v>123</v>
      </c>
      <c r="B34" s="8">
        <f t="shared" si="0"/>
        <v>0</v>
      </c>
      <c r="C34" s="8" t="e">
        <f t="shared" si="3"/>
        <v>#DIV/0!</v>
      </c>
      <c r="D34" s="54" t="str">
        <f t="shared" si="7"/>
        <v xml:space="preserve">11 online reputation management techniques for doctors (the definitive guide)
</v>
      </c>
      <c r="E34" s="28"/>
      <c r="F34" s="26"/>
      <c r="G34" s="28"/>
      <c r="H34" s="26"/>
      <c r="I34" s="28"/>
      <c r="J34" s="26"/>
      <c r="K34" s="29"/>
      <c r="L34" s="29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128</v>
      </c>
      <c r="B35" s="8">
        <f t="shared" si="0"/>
        <v>0</v>
      </c>
      <c r="C35" s="8" t="e">
        <f t="shared" si="3"/>
        <v>#DIV/0!</v>
      </c>
      <c r="D3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35" s="10"/>
      <c r="F35" s="13"/>
      <c r="G35" s="12"/>
      <c r="H35" s="13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3" t="s">
        <v>129</v>
      </c>
      <c r="B36" s="8">
        <f t="shared" si="0"/>
        <v>1</v>
      </c>
      <c r="C36" s="8">
        <f t="shared" si="3"/>
        <v>62</v>
      </c>
      <c r="D3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36" s="27" t="str">
        <f>HYPERLINK("https://www.tapscape.com/7-healthcare-trends-every-hospital-should-apply/","7 Healthcare Trends Every Hospital Should Apply
")</f>
        <v>7 Healthcare Trends Every Hospital Should Apply_x000D_</v>
      </c>
      <c r="F36" s="26">
        <v>62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131</v>
      </c>
      <c r="B37" s="8">
        <f t="shared" si="0"/>
        <v>0</v>
      </c>
      <c r="C37" s="8" t="e">
        <f t="shared" si="3"/>
        <v>#DIV/0!</v>
      </c>
      <c r="D37" s="21" t="s">
        <v>132</v>
      </c>
      <c r="E37" s="46"/>
      <c r="F37" s="47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8"/>
      <c r="B40" s="194"/>
      <c r="C40" s="185"/>
      <c r="D40" s="185"/>
      <c r="E40" s="185"/>
      <c r="F40" s="185"/>
      <c r="G40" s="185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8"/>
      <c r="B41" s="3"/>
      <c r="C41" s="3"/>
      <c r="D41" s="7"/>
      <c r="E41" s="7"/>
      <c r="F41" s="7"/>
      <c r="G41" s="40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8"/>
      <c r="B42" s="37"/>
      <c r="C42" s="37"/>
      <c r="D42" s="36"/>
      <c r="E42" s="37"/>
      <c r="F42" s="38"/>
      <c r="G42" s="16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8"/>
      <c r="B43" s="102"/>
      <c r="C43" s="102"/>
      <c r="D43" s="105"/>
      <c r="E43" s="102"/>
      <c r="F43" s="38"/>
      <c r="G43" s="170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8"/>
      <c r="B44" s="102"/>
      <c r="C44" s="102"/>
      <c r="D44" s="105"/>
      <c r="E44" s="102"/>
      <c r="F44" s="38"/>
      <c r="G44" s="170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8"/>
      <c r="B45" s="18"/>
      <c r="C45" s="3"/>
      <c r="D45" s="10"/>
      <c r="E45" s="3"/>
      <c r="F45" s="3"/>
      <c r="G45" s="15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8"/>
      <c r="B46" s="169"/>
      <c r="C46" s="37"/>
      <c r="D46" s="36"/>
      <c r="E46" s="37"/>
      <c r="F46" s="38"/>
      <c r="G46" s="170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8"/>
      <c r="B47" s="38"/>
      <c r="C47" s="37"/>
      <c r="D47" s="36"/>
      <c r="E47" s="37"/>
      <c r="F47" s="38"/>
      <c r="G47" s="170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>
      <c r="A48" s="8"/>
      <c r="B48" s="38"/>
      <c r="C48" s="37"/>
      <c r="D48" s="195"/>
      <c r="E48" s="185"/>
      <c r="F48" s="185"/>
      <c r="G48" s="185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8"/>
      <c r="B49" s="38"/>
      <c r="C49" s="37"/>
      <c r="D49" s="128"/>
      <c r="E49" s="31"/>
      <c r="F49" s="24"/>
      <c r="G49" s="17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38"/>
      <c r="C50" s="37"/>
      <c r="D50" s="10"/>
      <c r="E50" s="3"/>
      <c r="F50" s="3"/>
      <c r="G50" s="170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</sheetData>
  <mergeCells count="2">
    <mergeCell ref="B40:G40"/>
    <mergeCell ref="D48:G48"/>
  </mergeCells>
  <hyperlinks>
    <hyperlink ref="D8" r:id="rId1"/>
    <hyperlink ref="D9" r:id="rId2"/>
    <hyperlink ref="D10" r:id="rId3"/>
    <hyperlink ref="D11" r:id="rId4"/>
    <hyperlink ref="D13" r:id="rId5"/>
    <hyperlink ref="D14" r:id="rId6"/>
    <hyperlink ref="D15" r:id="rId7"/>
    <hyperlink ref="D16" r:id="rId8"/>
    <hyperlink ref="D22" r:id="rId9"/>
    <hyperlink ref="O27" r:id="rId10"/>
    <hyperlink ref="D37" r:id="rId1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C10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21" customWidth="1"/>
    <col min="7" max="7" width="5.5" customWidth="1"/>
    <col min="8" max="8" width="20.5" customWidth="1"/>
    <col min="9" max="9" width="5" customWidth="1"/>
    <col min="10" max="10" width="29.83203125" customWidth="1"/>
    <col min="11" max="11" width="4.1640625" customWidth="1"/>
    <col min="12" max="12" width="30.83203125" customWidth="1"/>
    <col min="13" max="13" width="4.33203125" customWidth="1"/>
    <col min="14" max="14" width="31" customWidth="1"/>
    <col min="15" max="15" width="4.33203125" customWidth="1"/>
    <col min="16" max="16" width="23" customWidth="1"/>
    <col min="17" max="17" width="4.33203125" customWidth="1"/>
    <col min="18" max="18" width="22.6640625" customWidth="1"/>
    <col min="19" max="19" width="4.83203125" customWidth="1"/>
    <col min="20" max="20" width="24.5" customWidth="1"/>
    <col min="21" max="21" width="4.5" customWidth="1"/>
    <col min="22" max="22" width="24.1640625" customWidth="1"/>
    <col min="23" max="23" width="5.33203125" customWidth="1"/>
  </cols>
  <sheetData>
    <row r="1" spans="1:29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65" t="s">
        <v>7</v>
      </c>
      <c r="G1" s="1" t="s">
        <v>6</v>
      </c>
      <c r="H1" s="1" t="s">
        <v>8</v>
      </c>
      <c r="I1" s="1" t="s">
        <v>6</v>
      </c>
      <c r="J1" s="1" t="s">
        <v>9</v>
      </c>
      <c r="K1" s="1" t="s">
        <v>6</v>
      </c>
      <c r="L1" s="1" t="s">
        <v>10</v>
      </c>
      <c r="M1" s="1" t="s">
        <v>6</v>
      </c>
      <c r="N1" s="1" t="s">
        <v>11</v>
      </c>
      <c r="O1" s="1" t="s">
        <v>6</v>
      </c>
      <c r="P1" s="1" t="s">
        <v>12</v>
      </c>
      <c r="Q1" s="1" t="s">
        <v>6</v>
      </c>
      <c r="R1" s="1" t="s">
        <v>13</v>
      </c>
      <c r="S1" s="1" t="s">
        <v>6</v>
      </c>
      <c r="T1" s="1" t="s">
        <v>14</v>
      </c>
      <c r="U1" s="1" t="s">
        <v>6</v>
      </c>
      <c r="V1" s="1" t="s">
        <v>15</v>
      </c>
      <c r="W1" s="1" t="s">
        <v>6</v>
      </c>
      <c r="X1" s="1" t="s">
        <v>16</v>
      </c>
      <c r="Y1" s="1" t="s">
        <v>6</v>
      </c>
      <c r="Z1" s="4"/>
      <c r="AA1" s="1"/>
      <c r="AB1" s="1"/>
      <c r="AC1" s="4"/>
    </row>
    <row r="2" spans="1:29" ht="15.75" customHeight="1">
      <c r="A2" s="3" t="s">
        <v>22</v>
      </c>
      <c r="B2" s="8">
        <f t="shared" ref="B2:B55" si="0">COUNTIF(E2:AC2,"&gt;0")</f>
        <v>0</v>
      </c>
      <c r="C2" s="8" t="e">
        <f t="shared" ref="C2:C3" si="1">SUM(F2:AC2)/B2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</row>
    <row r="3" spans="1:29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</row>
    <row r="4" spans="1:29" ht="15.75" customHeight="1">
      <c r="A4" s="13" t="s">
        <v>60</v>
      </c>
      <c r="B4" s="8">
        <f t="shared" si="0"/>
        <v>0</v>
      </c>
      <c r="C4" s="8" t="e">
        <f t="shared" ref="C4:C6" si="2">SUM(F4:AC4)/B5</f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tr">
        <f>HYPERLINK("https://socialmediaexplorer.com/content-marketing-2/9-content-marketing-techniques-you-should-try-in-2019/","9 content marketing techniques you should try in 2019
")</f>
        <v>9 content marketing techniques you should try in 2019_x000D_</v>
      </c>
      <c r="F4" s="3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</row>
    <row r="5" spans="1:29" ht="15.75" customHeight="1">
      <c r="A5" s="13" t="s">
        <v>61</v>
      </c>
      <c r="B5" s="8">
        <f t="shared" si="0"/>
        <v>0</v>
      </c>
      <c r="C5" s="8" t="e">
        <f t="shared" si="2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30" t="str">
        <f>HYPERLINK("https://www.techavy.com/asc-606-and-ifrs-15-loyalty-programs/","How ASC 606 and IFRS 15 Will Change Accounting for Loyalty Programs
")</f>
        <v>How ASC 606 and IFRS 15 Will Change Accounting for Loyalty Programs_x000D_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</row>
    <row r="6" spans="1:29" ht="15.75" customHeight="1">
      <c r="A6" s="13" t="s">
        <v>66</v>
      </c>
      <c r="B6" s="8">
        <f t="shared" si="0"/>
        <v>0</v>
      </c>
      <c r="C6" s="8" t="e">
        <f t="shared" si="2"/>
        <v>#DIV/0!</v>
      </c>
      <c r="D6" s="22" t="str">
        <f>HYPERLINK("https://www.digitalauthority.me/alexa/","Alexa dev page")</f>
        <v>Alexa dev page</v>
      </c>
      <c r="E6" s="22" t="str">
        <f>HYPERLINK("https://www.insidecatholic.com/2018/12/25/6-health-technologies-making-waves-in-2019/","6 health technologies making waves in 2019
")</f>
        <v>6 health technologies making waves in 2019_x000D_</v>
      </c>
      <c r="F6" s="24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</row>
    <row r="7" spans="1:29" ht="15.75" customHeight="1">
      <c r="A7" s="26" t="s">
        <v>67</v>
      </c>
      <c r="B7" s="8">
        <f t="shared" si="0"/>
        <v>0</v>
      </c>
      <c r="C7" s="8" t="e">
        <f t="shared" ref="C7:C8" si="3">SUM(F7:AC7)/B7</f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9"/>
      <c r="G7" s="29"/>
      <c r="H7" s="29"/>
      <c r="I7" s="29"/>
      <c r="J7" s="29"/>
      <c r="K7" s="29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</row>
    <row r="8" spans="1:29" ht="15.75" customHeight="1">
      <c r="A8" s="13" t="s">
        <v>69</v>
      </c>
      <c r="B8" s="8">
        <f t="shared" si="0"/>
        <v>3</v>
      </c>
      <c r="C8" s="8">
        <f t="shared" si="3"/>
        <v>52</v>
      </c>
      <c r="D8" s="30" t="str">
        <f>HYPERLINK("https://healthcareweekly.com/astaxanthin/","15 health benefits of astaxanthin")</f>
        <v>15 health benefits of astaxanthin</v>
      </c>
      <c r="E8" s="30" t="str">
        <f>HYPERLINK("https://beautyiswithin.net/2018/12/astaxanthin-beauty-benefits.html","ASTAXANTHIN: THE LITTLE-KNOWN ANTIOXIDANT WITH MANY BEAUTY AND WELLNESS BENEFITS
")</f>
        <v>ASTAXANTHIN: THE LITTLE-KNOWN ANTIOXIDANT WITH MANY BEAUTY AND WELLNESS BENEFITS_x000D_</v>
      </c>
      <c r="F8" s="30" t="str">
        <f>HYPERLINK("http://globallearning.world.edu/2018/12/23/healthcare-startups-israeli-startup-debuts-astaxanthin-from-yeast/","Healthcare startups: Israeli Startup Debuts Astaxanthin From Yeast
")</f>
        <v>Healthcare startups: Israeli Startup Debuts Astaxanthin From Yeast_x000D_</v>
      </c>
      <c r="G8" s="13">
        <v>65</v>
      </c>
      <c r="H8" s="30" t="str">
        <f>HYPERLINK("https://harcourthealth.com/astaxanthin-natural-ingredient-gives-hope-to-alzheimers-patients/","Astaxanthin – natural ingredient gives hope to Alzheimer’s patients
")</f>
        <v>Astaxanthin – natural ingredient gives hope to Alzheimer’s patients_x000D_</v>
      </c>
      <c r="I8" s="13">
        <v>66</v>
      </c>
      <c r="J8" s="30" t="str">
        <f>HYPERLINK("http://www.humanboundary.com/benefits-of-astaxanthin-for-a-healthy-lifestyle.html","Benefits Of Astaxanthin For A Healthy Lifestyle")</f>
        <v>Benefits Of Astaxanthin For A Healthy Lifestyle</v>
      </c>
      <c r="K8" s="13">
        <v>25</v>
      </c>
      <c r="L8" s="12"/>
      <c r="M8" s="13"/>
      <c r="N8" s="12"/>
      <c r="O8" s="13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</row>
    <row r="9" spans="1:29" ht="15.75" customHeight="1">
      <c r="A9" s="13" t="s">
        <v>70</v>
      </c>
      <c r="B9" s="8">
        <f t="shared" si="0"/>
        <v>0</v>
      </c>
      <c r="C9" s="8" t="e">
        <f>SUM(F9:AC9)/B10</f>
        <v>#DIV/0!</v>
      </c>
      <c r="D9" s="11" t="str">
        <f>HYPERLINK("https://www.digitalauthority.me/resources/b2b-marketing/","How to Jumpstart Your B2B Marketing Strategy in 2019")</f>
        <v>How to Jumpstart Your B2B Marketing Strategy in 2019</v>
      </c>
      <c r="E9" s="37"/>
      <c r="F9" s="24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</row>
    <row r="10" spans="1:29" ht="15.75" customHeight="1">
      <c r="A10" s="13" t="s">
        <v>73</v>
      </c>
      <c r="B10" s="8">
        <f t="shared" si="0"/>
        <v>0</v>
      </c>
      <c r="C10" s="8" t="e">
        <f t="shared" ref="C10:C17" si="4">SUM(F10:AC10)/B10</f>
        <v>#DIV/0!</v>
      </c>
      <c r="D10" s="30" t="str">
        <f>HYPERLINK("https://healthcareweekly.com/blockchain-in-healthcare/","7 Applications of Blockchain in Healthcare
")</f>
        <v>7 Applications of Blockchain in Healthcare_x000D_</v>
      </c>
      <c r="E10" s="2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</row>
    <row r="11" spans="1:29" ht="15.75" customHeight="1">
      <c r="A11" s="13" t="s">
        <v>75</v>
      </c>
      <c r="B11" s="8">
        <f t="shared" si="0"/>
        <v>0</v>
      </c>
      <c r="C11" s="8" t="e">
        <f t="shared" si="4"/>
        <v>#DIV/0!</v>
      </c>
      <c r="D11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</row>
    <row r="12" spans="1:29" ht="15.75" customHeight="1">
      <c r="A12" s="13" t="s">
        <v>76</v>
      </c>
      <c r="B12" s="8">
        <f t="shared" si="0"/>
        <v>0</v>
      </c>
      <c r="C12" s="8" t="e">
        <f t="shared" si="4"/>
        <v>#DIV/0!</v>
      </c>
      <c r="D12" s="21" t="s">
        <v>77</v>
      </c>
      <c r="E12" s="30" t="str">
        <f>HYPERLINK("https://topgoldforum.com/articles/seo/9-seo-tips-for-banks-financial-institutions-r71/","9 SEO tips for banks &amp; financial institution")</f>
        <v>9 SEO tips for banks &amp; financial institution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spans="1:29" ht="15.75" customHeight="1">
      <c r="A13" s="13" t="s">
        <v>78</v>
      </c>
      <c r="B13" s="8">
        <f t="shared" si="0"/>
        <v>0</v>
      </c>
      <c r="C13" s="8" t="e">
        <f t="shared" si="4"/>
        <v>#DIV/0!</v>
      </c>
      <c r="D13" s="21" t="s">
        <v>77</v>
      </c>
      <c r="E13" s="12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ht="15.75" customHeight="1">
      <c r="A14" s="13" t="s">
        <v>79</v>
      </c>
      <c r="B14" s="8">
        <f t="shared" si="0"/>
        <v>1</v>
      </c>
      <c r="C14" s="8">
        <f t="shared" si="4"/>
        <v>35</v>
      </c>
      <c r="D14" s="21" t="s">
        <v>77</v>
      </c>
      <c r="E14" s="33" t="str">
        <f>HYPERLINK("http://www.bitrebels.com/business/fintech-marketers-marketing-roi-3-steps/","Fintech Marketers – How To Improve Your Marketing ROI In 3 Simple Steps
")</f>
        <v>Fintech Marketers – How To Improve Your Marketing ROI In 3 Simple Steps_x000D_</v>
      </c>
      <c r="F14" s="30" t="str">
        <f>HYPERLINK("https://timesofstartups.com/interview/codrin-arsene-digital-authority-healthcare-weekly-founder-interview/","Interview with Codrin Arsene, an expert in digital transformation &amp; emerging technologies")</f>
        <v>Interview with Codrin Arsene, an expert in digital transformation &amp; emerging technologies</v>
      </c>
      <c r="G14" s="13">
        <v>35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5.75" customHeight="1">
      <c r="A15" s="26" t="s">
        <v>80</v>
      </c>
      <c r="B15" s="8">
        <f t="shared" si="0"/>
        <v>0</v>
      </c>
      <c r="C15" s="8" t="e">
        <f t="shared" si="4"/>
        <v>#DIV/0!</v>
      </c>
      <c r="D15" s="35" t="s">
        <v>77</v>
      </c>
      <c r="E15" s="12"/>
      <c r="F15" s="28"/>
      <c r="G15" s="26"/>
      <c r="H15" s="28"/>
      <c r="I15" s="26"/>
      <c r="J15" s="28"/>
      <c r="K15" s="26"/>
      <c r="L15" s="12"/>
      <c r="M15" s="13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ht="15.75" customHeight="1">
      <c r="A16" s="26" t="s">
        <v>74</v>
      </c>
      <c r="B16" s="8">
        <f t="shared" si="0"/>
        <v>0</v>
      </c>
      <c r="C16" s="8" t="e">
        <f t="shared" si="4"/>
        <v>#DIV/0!</v>
      </c>
      <c r="D16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6" s="28"/>
      <c r="F16" s="28"/>
      <c r="G16" s="26"/>
      <c r="H16" s="12"/>
      <c r="I16" s="13"/>
      <c r="J16" s="28"/>
      <c r="K16" s="26"/>
      <c r="L16" s="12"/>
      <c r="M16" s="13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13"/>
      <c r="Z16" s="8"/>
      <c r="AA16" s="8"/>
      <c r="AB16" s="8"/>
      <c r="AC16" s="8"/>
    </row>
    <row r="17" spans="1:29" ht="15.75" customHeight="1">
      <c r="A17" s="13" t="s">
        <v>83</v>
      </c>
      <c r="B17" s="8">
        <f t="shared" si="0"/>
        <v>0</v>
      </c>
      <c r="C17" s="8" t="e">
        <f t="shared" si="4"/>
        <v>#DIV/0!</v>
      </c>
      <c r="D17" s="21" t="s">
        <v>77</v>
      </c>
      <c r="E17" s="12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1:29" ht="15.75" customHeight="1">
      <c r="A18" s="13" t="s">
        <v>84</v>
      </c>
      <c r="B18" s="8">
        <f t="shared" si="0"/>
        <v>1</v>
      </c>
      <c r="C18" s="8" t="e">
        <f>SUM(F18:AC18)/B19</f>
        <v>#DIV/0!</v>
      </c>
      <c r="D18" s="21" t="s">
        <v>77</v>
      </c>
      <c r="E18" s="171" t="str">
        <f>HYPERLINK("https://www.pixelstech.net/article/1545705936-FIVE-COOL-GIFTS-TO-GET-THIS-HOLIDAY-SEASON","FIVE COOL GIFTS TO GET THIS HOLIDAY SEASON")</f>
        <v>FIVE COOL GIFTS TO GET THIS HOLIDAY SEASON</v>
      </c>
      <c r="F18" s="40"/>
      <c r="G18" s="8"/>
      <c r="H18" s="30" t="str">
        <f>HYPERLINK("https://shabbychicboho.com/five-cool-gifts-to-get-this-holiday-season/","FIVE COOL GIFTS TO GET THIS HOLIDAY SEASON
")</f>
        <v>FIVE COOL GIFTS TO GET THIS HOLIDAY SEASON_x000D_</v>
      </c>
      <c r="I18" s="13">
        <v>34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29" ht="15.75" customHeight="1">
      <c r="A19" s="13" t="s">
        <v>85</v>
      </c>
      <c r="B19" s="8">
        <f t="shared" si="0"/>
        <v>0</v>
      </c>
      <c r="C19" s="8" t="e">
        <f t="shared" ref="C19:C22" si="5">SUM(F19:AC19)/B19</f>
        <v>#DIV/0!</v>
      </c>
      <c r="D19" s="21" t="s">
        <v>77</v>
      </c>
      <c r="E19" s="41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 ht="15.75" customHeight="1">
      <c r="A20" s="13" t="s">
        <v>86</v>
      </c>
      <c r="B20" s="8">
        <f t="shared" si="0"/>
        <v>0</v>
      </c>
      <c r="C20" s="8" t="e">
        <f t="shared" si="5"/>
        <v>#DIV/0!</v>
      </c>
      <c r="D20" s="21" t="s">
        <v>77</v>
      </c>
      <c r="E20" s="12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 ht="15.75" customHeight="1">
      <c r="A21" s="12" t="s">
        <v>87</v>
      </c>
      <c r="B21" s="8">
        <f t="shared" si="0"/>
        <v>0</v>
      </c>
      <c r="C21" s="8" t="e">
        <f t="shared" si="5"/>
        <v>#DIV/0!</v>
      </c>
      <c r="D21" s="21" t="s">
        <v>77</v>
      </c>
      <c r="E21" s="12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6" t="s">
        <v>88</v>
      </c>
      <c r="B22" s="8">
        <f t="shared" si="0"/>
        <v>0</v>
      </c>
      <c r="C22" s="8" t="e">
        <f t="shared" si="5"/>
        <v>#DIV/0!</v>
      </c>
      <c r="D22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2" s="28"/>
      <c r="F22" s="44"/>
      <c r="G22" s="24"/>
      <c r="H22" s="29"/>
      <c r="I22" s="29"/>
      <c r="J22" s="29"/>
      <c r="K22" s="29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 ht="15.75" customHeight="1">
      <c r="A23" s="13" t="s">
        <v>89</v>
      </c>
      <c r="B23" s="8">
        <f t="shared" si="0"/>
        <v>0</v>
      </c>
      <c r="C23" s="8"/>
      <c r="D23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3" s="28"/>
      <c r="F23" s="29"/>
      <c r="G23" s="29"/>
      <c r="H23" s="29"/>
      <c r="I23" s="29"/>
      <c r="J23" s="29"/>
      <c r="K23" s="29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 ht="15.75" customHeight="1">
      <c r="A24" s="3" t="s">
        <v>90</v>
      </c>
      <c r="B24" s="8">
        <f t="shared" si="0"/>
        <v>1</v>
      </c>
      <c r="C24" s="8">
        <f t="shared" ref="C24:C37" si="6">SUM(F24:AC24)/B24</f>
        <v>75</v>
      </c>
      <c r="D24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4" s="33" t="str">
        <f>HYPERLINK("https://myventurepad.com/four-effective-financial-services-marketing-techniques-for-2019/","Four effective financial services marketing techniques for 2019
")</f>
        <v>Four effective financial services marketing techniques for 2019_x000D_</v>
      </c>
      <c r="F24" s="30" t="str">
        <f>HYPERLINK("https://socialmediaexplorer.com/content-marketing-2/9-content-marketing-techniques-you-should-try-in-2019/","9 content marketing techniques you should try in 2019
")</f>
        <v>9 content marketing techniques you should try in 2019_x000D_</v>
      </c>
      <c r="G24" s="13">
        <v>75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 ht="15.75" customHeight="1">
      <c r="A25" s="13" t="s">
        <v>59</v>
      </c>
      <c r="B25" s="8">
        <f t="shared" si="0"/>
        <v>3</v>
      </c>
      <c r="C25" s="8">
        <f t="shared" si="6"/>
        <v>55</v>
      </c>
      <c r="D25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5" s="33" t="str">
        <f>HYPERLINK("http://www.bitrebels.com/business/fintech-marketers-marketing-roi-3-steps/","Fintech Marketers – How To Improve Your Marketing ROI In 3 Simple Steps
")</f>
        <v>Fintech Marketers – How To Improve Your Marketing ROI In 3 Simple Steps_x000D_</v>
      </c>
      <c r="F25" s="30" t="str">
        <f>HYPERLINK("https://www.centrinity.com/are-you-prepared-to-market-your-financial-product-in-2019/","Are you prepared to market your financial product in 2019?
")</f>
        <v>Are you prepared to market your financial product in 2019?_x000D_</v>
      </c>
      <c r="G25" s="13">
        <v>56</v>
      </c>
      <c r="H25" s="30" t="str">
        <f>HYPERLINK("https://topgoldforum.com/articles/seo/9-seo-tips-for-banks-financial-institutions-r71/","9 SEO tips for banks &amp; financial institution")</f>
        <v>9 SEO tips for banks &amp; financial institution</v>
      </c>
      <c r="I25" s="13">
        <v>37</v>
      </c>
      <c r="J25" s="30" t="str">
        <f>HYPERLINK("https://www.teethgrinder.co.uk/fintech-digital-marketing-strategies-for-2019-and-beyond/","Fintech digital marketing strategies for 2019 and beyond
")</f>
        <v>Fintech digital marketing strategies for 2019 and beyond_x000D_</v>
      </c>
      <c r="K25" s="13">
        <v>72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6" t="s">
        <v>91</v>
      </c>
      <c r="B26" s="8">
        <f t="shared" si="0"/>
        <v>2</v>
      </c>
      <c r="C26" s="8">
        <f t="shared" si="6"/>
        <v>70.5</v>
      </c>
      <c r="D26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6" s="22" t="str">
        <f>HYPERLINK("https://www.insidecatholic.com/2018/12/25/6-health-technologies-making-waves-in-2019/","6 health technologies making waves in 2019
")</f>
        <v>6 health technologies making waves in 2019_x000D_</v>
      </c>
      <c r="F26" s="30" t="str">
        <f>HYPERLINK("https://www.atebits.com/5-health-technologies-to-watch-for-in-2019/","5 Health Technologies To Watch For In 2019
")</f>
        <v>5 Health Technologies To Watch For In 2019_x000D_</v>
      </c>
      <c r="G26" s="13">
        <v>71</v>
      </c>
      <c r="H26" s="27" t="str">
        <f>HYPERLINK("https://d-addicts.com/why-every-hospital-should-be-excited-about-telemedicine-technologies/2018/","Why Every Hospital Should Be Excited About Telemedicine Technologies
")</f>
        <v>Why Every Hospital Should Be Excited About Telemedicine Technologies_x000D_</v>
      </c>
      <c r="I26" s="26">
        <v>70</v>
      </c>
      <c r="J26" s="167"/>
      <c r="K26" s="4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29" ht="15.75" customHeight="1">
      <c r="A27" s="13" t="s">
        <v>92</v>
      </c>
      <c r="B27" s="8">
        <f t="shared" si="0"/>
        <v>1</v>
      </c>
      <c r="C27" s="8">
        <f t="shared" si="6"/>
        <v>48</v>
      </c>
      <c r="D27" s="21" t="s">
        <v>77</v>
      </c>
      <c r="E27" s="27" t="str">
        <f>HYPERLINK("https://www.awe.sm/2018/12/27/smarter-web-design-strategies-for-healthcare-organizations/","Smarter web design strategies for healthcare organizations
")</f>
        <v>Smarter web design strategies for healthcare organizations_x000D_</v>
      </c>
      <c r="F27" s="30" t="str">
        <f>HYPERLINK("https://www.techicy.com/5-healthcare-marketing-tips-to-implement-in-2019.html","5 Healthcare Marketing Tips To Implement In 2019
")</f>
        <v>5 Healthcare Marketing Tips To Implement In 2019_x000D_</v>
      </c>
      <c r="G27" s="13">
        <v>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29" ht="15.75" customHeight="1">
      <c r="A28" s="3" t="s">
        <v>93</v>
      </c>
      <c r="B28" s="8">
        <f t="shared" si="0"/>
        <v>0</v>
      </c>
      <c r="C28" s="8" t="e">
        <f t="shared" si="6"/>
        <v>#DIV/0!</v>
      </c>
      <c r="D28" s="30" t="s">
        <v>77</v>
      </c>
      <c r="E28" s="28"/>
      <c r="F28" s="12"/>
      <c r="G28" s="13"/>
      <c r="H28" s="12"/>
      <c r="I28" s="13"/>
      <c r="J28" s="12"/>
      <c r="K28" s="13"/>
      <c r="L28" s="12"/>
      <c r="M28" s="13"/>
      <c r="N28" s="23"/>
      <c r="O28" s="24"/>
      <c r="P28" s="12"/>
      <c r="Q28" s="13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29" ht="15.75" customHeight="1">
      <c r="A29" s="12" t="s">
        <v>94</v>
      </c>
      <c r="B29" s="8">
        <f t="shared" si="0"/>
        <v>6</v>
      </c>
      <c r="C29" s="8">
        <f t="shared" si="6"/>
        <v>27.833333333333332</v>
      </c>
      <c r="D29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29" s="30" t="str">
        <f>HYPERLINK("http://frutablendhwiasli.com/what-is-healthcare-marketing/","What is healthcare marketing?")</f>
        <v>What is healthcare marketing?</v>
      </c>
      <c r="F29" s="30" t="str">
        <f>HYPERLINK("http://edmedstore.net/tips-for-staying-relevant-with-healthcare-marketing.html","Tips for Staying Relevant with Healthcare Marketing
")</f>
        <v>Tips for Staying Relevant with Healthcare Marketing_x000D_</v>
      </c>
      <c r="G29" s="13">
        <v>8</v>
      </c>
      <c r="H29" s="30" t="str">
        <f>HYPERLINK("http://impressivefood.com/benefit-advertising-in-health-care-marketing/","Advertising in healthcare marketing")</f>
        <v>Advertising in healthcare marketing</v>
      </c>
      <c r="I29" s="13">
        <v>24</v>
      </c>
      <c r="J29" s="30" t="str">
        <f>HYPERLINK("http://360ofertas.com/benefits-of-healthcare-marketing/","Benefits of Healthcare Marketing
")</f>
        <v>Benefits of Healthcare Marketing_x000D_</v>
      </c>
      <c r="K29" s="13">
        <v>7</v>
      </c>
      <c r="L29" s="30" t="str">
        <f>HYPERLINK("http://www.symbianv5.com/features-advantages-and-benefits-of-social-media-in-healthcare.html","Features, Advantages and Benefits of Social Media in Healthcare
")</f>
        <v>Features, Advantages and Benefits of Social Media in Healthcare_x000D_</v>
      </c>
      <c r="M29" s="13">
        <v>14</v>
      </c>
      <c r="N29" s="22" t="str">
        <f>HYPERLINK("https://www.insidecatholic.com/2018/12/25/6-health-technologies-making-waves-in-2019/","6 health technologies making waves in 2019
")</f>
        <v>6 health technologies making waves in 2019_x000D_</v>
      </c>
      <c r="O29" s="24">
        <v>43</v>
      </c>
      <c r="P29" s="30" t="str">
        <f>HYPERLINK("https://www.atebits.com/5-health-technologies-to-watch-for-in-2019/","5 Health Technologies To Watch For In 2019
")</f>
        <v>5 Health Technologies To Watch For In 2019_x000D_</v>
      </c>
      <c r="Q29" s="13">
        <v>71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29" ht="15.75" customHeight="1">
      <c r="A30" s="13" t="s">
        <v>95</v>
      </c>
      <c r="B30" s="8">
        <f t="shared" si="0"/>
        <v>8</v>
      </c>
      <c r="C30" s="8">
        <f t="shared" si="6"/>
        <v>53</v>
      </c>
      <c r="D30" s="8"/>
      <c r="E30" s="30" t="str">
        <f>HYPERLINK("https://beautyiswithin.net/2018/12/astaxanthin-beauty-benefits.html","ASTAXANTHIN: THE LITTLE-KNOWN ANTIOXIDANT WITH MANY BEAUTY AND WELLNESS BENEFITS
")</f>
        <v>ASTAXANTHIN: THE LITTLE-KNOWN ANTIOXIDANT WITH MANY BEAUTY AND WELLNESS BENEFITS_x000D_</v>
      </c>
      <c r="F30" s="30" t="str">
        <f>HYPERLINK("https://www.worthview.com/5-things-doctors-know-importance-online-reputation/","5 Things Doctors Should Know About The Importance Of Online Reputation
")</f>
        <v>5 Things Doctors Should Know About The Importance Of Online Reputation_x000D_</v>
      </c>
      <c r="G30" s="13">
        <v>48</v>
      </c>
      <c r="H30" s="27" t="str">
        <f>HYPERLINK("https://d-addicts.com/why-every-hospital-should-be-excited-about-telemedicine-technologies/2018/","Why Every Hospital Should Be Excited About Telemedicine Technologies
")</f>
        <v>Why Every Hospital Should Be Excited About Telemedicine Technologies_x000D_</v>
      </c>
      <c r="I30" s="26">
        <v>70</v>
      </c>
      <c r="J30" s="22" t="str">
        <f>HYPERLINK("https://www.insidecatholic.com/2018/12/25/6-health-technologies-making-waves-in-2019/","6 health technologies making waves in 2019
")</f>
        <v>6 health technologies making waves in 2019_x000D_</v>
      </c>
      <c r="K30" s="24">
        <v>43</v>
      </c>
      <c r="L30" s="30" t="str">
        <f>HYPERLINK("https://www.atebits.com/5-health-technologies-to-watch-for-in-2019/","5 Health Technologies To Watch For In 2019
")</f>
        <v>5 Health Technologies To Watch For In 2019_x000D_</v>
      </c>
      <c r="M30" s="13">
        <v>71</v>
      </c>
      <c r="N30" s="46" t="str">
        <f>HYPERLINK("https://harcourthealth.com/astaxanthin-natural-ingredient-gives-hope-to-alzheimers-patients/","Astaxanthin – natural ingredient gives hope to Alzheimer’s patients
")</f>
        <v>Astaxanthin – natural ingredient gives hope to Alzheimer’s patients_x000D_</v>
      </c>
      <c r="O30" s="47">
        <v>66</v>
      </c>
      <c r="P30" s="27" t="str">
        <f>HYPERLINK("http://stuffablog.com/10-quick-easy-marketing-tips-small-medical-private-practices/","10 Quick &amp; Easy Marketing Tips for Small Medical Private Practices
")</f>
        <v>10 Quick &amp; Easy Marketing Tips for Small Medical Private Practices_x000D_</v>
      </c>
      <c r="Q30" s="26">
        <v>53</v>
      </c>
      <c r="R30" s="30" t="str">
        <f>HYPERLINK("http://www.humanboundary.com/benefits-of-astaxanthin-for-a-healthy-lifestyle.html","Benefits Of Astaxanthin For A Healthy Lifestyle")</f>
        <v>Benefits Of Astaxanthin For A Healthy Lifestyle</v>
      </c>
      <c r="S30" s="13">
        <v>25</v>
      </c>
      <c r="T30" s="30" t="str">
        <f>HYPERLINK("https://www.techicy.com/5-healthcare-marketing-tips-to-implement-in-2019.html","5 Healthcare Marketing Tips To Implement In 2019
")</f>
        <v>5 Healthcare Marketing Tips To Implement In 2019_x000D_</v>
      </c>
      <c r="U30" s="13">
        <v>48</v>
      </c>
      <c r="V30" s="8"/>
      <c r="W30" s="8"/>
      <c r="X30" s="8"/>
      <c r="Y30" s="8"/>
      <c r="Z30" s="8"/>
      <c r="AA30" s="8"/>
      <c r="AB30" s="8"/>
      <c r="AC30" s="8"/>
    </row>
    <row r="31" spans="1:29" ht="15.75" customHeight="1">
      <c r="A31" s="26" t="s">
        <v>101</v>
      </c>
      <c r="B31" s="8">
        <f t="shared" si="0"/>
        <v>0</v>
      </c>
      <c r="C31" s="8" t="e">
        <f t="shared" si="6"/>
        <v>#DIV/0!</v>
      </c>
      <c r="D31" s="27" t="str">
        <f>HYPERLINK("https://healthcareweekly.com/healthcare-startup-fails/","Most Common Health Startup Mistakes – and How to Fix Them
")</f>
        <v>Most Common Health Startup Mistakes – and How to Fix Them_x000D_</v>
      </c>
      <c r="E31" s="28"/>
      <c r="F31" s="28"/>
      <c r="G31" s="26"/>
      <c r="H31" s="12"/>
      <c r="I31" s="13"/>
      <c r="J31" s="29"/>
      <c r="K31" s="29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1:29" ht="15.75" customHeight="1">
      <c r="A32" s="26" t="s">
        <v>102</v>
      </c>
      <c r="B32" s="8">
        <f t="shared" si="0"/>
        <v>0</v>
      </c>
      <c r="C32" s="8" t="e">
        <f t="shared" si="6"/>
        <v>#DIV/0!</v>
      </c>
      <c r="D32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2" s="28"/>
      <c r="F32" s="44"/>
      <c r="G32" s="24"/>
      <c r="H32" s="28"/>
      <c r="I32" s="26"/>
      <c r="J32" s="52"/>
      <c r="K32" s="53"/>
      <c r="L32" s="28"/>
      <c r="M32" s="26"/>
      <c r="N32" s="12"/>
      <c r="O32" s="13"/>
      <c r="P32" s="12"/>
      <c r="Q32" s="13"/>
      <c r="R32" s="12"/>
      <c r="S32" s="13"/>
      <c r="T32" s="12"/>
      <c r="U32" s="13"/>
      <c r="V32" s="8"/>
      <c r="W32" s="8"/>
      <c r="X32" s="8"/>
      <c r="Y32" s="8"/>
      <c r="Z32" s="8"/>
      <c r="AA32" s="8"/>
      <c r="AB32" s="8"/>
      <c r="AC32" s="8"/>
    </row>
    <row r="33" spans="1:29" ht="15.75" customHeight="1">
      <c r="A33" s="26" t="s">
        <v>103</v>
      </c>
      <c r="B33" s="8">
        <f t="shared" si="0"/>
        <v>0</v>
      </c>
      <c r="C33" s="8" t="e">
        <f t="shared" si="6"/>
        <v>#DIV/0!</v>
      </c>
      <c r="D33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3" s="27" t="str">
        <f>HYPERLINK("https://www.awe.sm/2018/12/27/smarter-web-design-strategies-for-healthcare-organizations/","Smarter web design strategies for healthcare organizations
")</f>
        <v>Smarter web design strategies for healthcare organizations_x000D_</v>
      </c>
      <c r="F33" s="44"/>
      <c r="G33" s="24"/>
      <c r="H33" s="28"/>
      <c r="I33" s="26"/>
      <c r="J33" s="12"/>
      <c r="K33" s="13"/>
      <c r="L33" s="12"/>
      <c r="M33" s="13"/>
      <c r="N33" s="13"/>
      <c r="O33" s="13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1:29" ht="15.75" customHeight="1">
      <c r="A34" s="3" t="s">
        <v>108</v>
      </c>
      <c r="B34" s="8">
        <f t="shared" si="0"/>
        <v>0</v>
      </c>
      <c r="C34" s="8" t="e">
        <f t="shared" si="6"/>
        <v>#DIV/0!</v>
      </c>
      <c r="D34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4" s="12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1:29" ht="15.75" customHeight="1">
      <c r="A35" s="3" t="s">
        <v>109</v>
      </c>
      <c r="B35" s="8">
        <f t="shared" si="0"/>
        <v>1</v>
      </c>
      <c r="C35" s="8">
        <f t="shared" si="6"/>
        <v>72</v>
      </c>
      <c r="D35" s="30" t="str">
        <f t="shared" ref="D35:D37" si="7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35" s="33" t="str">
        <f>HYPERLINK("http://www.bitrebels.com/business/fintech-marketers-marketing-roi-3-steps/","Fintech Marketers – How To Improve Your Marketing ROI In 3 Simple Steps
")</f>
        <v>Fintech Marketers – How To Improve Your Marketing ROI In 3 Simple Steps_x000D_</v>
      </c>
      <c r="F35" s="30" t="str">
        <f>HYPERLINK("https://www.teethgrinder.co.uk/fintech-digital-marketing-strategies-for-2019-and-beyond/","Fintech digital marketing strategies for 2019 and beyond
")</f>
        <v>Fintech digital marketing strategies for 2019 and beyond_x000D_</v>
      </c>
      <c r="G35" s="13">
        <v>72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1:29" ht="15.75" customHeight="1">
      <c r="A36" s="3" t="s">
        <v>112</v>
      </c>
      <c r="B36" s="8">
        <f t="shared" si="0"/>
        <v>0</v>
      </c>
      <c r="C36" s="8" t="e">
        <f t="shared" si="6"/>
        <v>#DIV/0!</v>
      </c>
      <c r="D36" s="30" t="str">
        <f t="shared" si="7"/>
        <v>5 Key Strategies for Your Financial Product Marketing Initiatives in 2019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ht="15.75" customHeight="1">
      <c r="A37" s="3" t="s">
        <v>113</v>
      </c>
      <c r="B37" s="8">
        <f t="shared" si="0"/>
        <v>0</v>
      </c>
      <c r="C37" s="8" t="e">
        <f t="shared" si="6"/>
        <v>#DIV/0!</v>
      </c>
      <c r="D37" s="30" t="str">
        <f t="shared" si="7"/>
        <v>5 Key Strategies for Your Financial Product Marketing Initiatives in 2019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1:29" ht="15.75" customHeight="1">
      <c r="A38" s="13" t="s">
        <v>115</v>
      </c>
      <c r="B38" s="8">
        <f t="shared" si="0"/>
        <v>0</v>
      </c>
      <c r="C38" s="8">
        <f>SUM(F38:AC38)/B39</f>
        <v>0</v>
      </c>
      <c r="D38" s="21" t="s">
        <v>77</v>
      </c>
      <c r="E38" s="28"/>
      <c r="F38" s="57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1:29" ht="15.75" customHeight="1">
      <c r="A39" s="12" t="s">
        <v>119</v>
      </c>
      <c r="B39" s="8">
        <f t="shared" si="0"/>
        <v>1</v>
      </c>
      <c r="C39" s="8">
        <f t="shared" ref="C39:C43" si="8">SUM(F39:AC39)/B39</f>
        <v>31</v>
      </c>
      <c r="D39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39" s="30" t="str">
        <f>HYPERLINK("http://www.infonewstoday.com/molina-sells-the-mms-unit-for-better-profit-margins/","Molina sells the MMS unit for better profit margins
")</f>
        <v>Molina sells the MMS unit for better profit margins_x000D_</v>
      </c>
      <c r="F39" s="30" t="str">
        <f>HYPERLINK("http://www.bodyprojex.com/secret-strategies-helped-molina-to-achieve-success/","SECRET STRATEGIES HELPED MOLINA TO ACHIEVE SUCCESS
")</f>
        <v>SECRET STRATEGIES HELPED MOLINA TO ACHIEVE SUCCESS_x000D_</v>
      </c>
      <c r="G39" s="13">
        <v>31</v>
      </c>
      <c r="H39" s="12"/>
      <c r="I39" s="13"/>
      <c r="J39" s="12"/>
      <c r="K39" s="13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</row>
    <row r="40" spans="1:29" ht="15.75" customHeight="1">
      <c r="A40" s="26" t="s">
        <v>122</v>
      </c>
      <c r="B40" s="8">
        <f t="shared" si="0"/>
        <v>1</v>
      </c>
      <c r="C40" s="8">
        <f t="shared" si="8"/>
        <v>53</v>
      </c>
      <c r="D40" s="59" t="str">
        <f t="shared" ref="D40:D41" si="9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0" s="30" t="str">
        <f>HYPERLINK("https://www.worthview.com/5-things-doctors-know-importance-online-reputation/","5 Things Doctors Should Know About The Importance Of Online Reputation
")</f>
        <v>5 Things Doctors Should Know About The Importance Of Online Reputation_x000D_</v>
      </c>
      <c r="F40" s="27" t="str">
        <f>HYPERLINK("http://stuffablog.com/10-quick-easy-marketing-tips-small-medical-private-practices/","10 Quick &amp; Easy Marketing Tips for Small Medical Private Practices
")</f>
        <v>10 Quick &amp; Easy Marketing Tips for Small Medical Private Practices_x000D_</v>
      </c>
      <c r="G40" s="26">
        <v>53</v>
      </c>
      <c r="H40" s="28"/>
      <c r="I40" s="26"/>
      <c r="J40" s="29"/>
      <c r="K40" s="29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</row>
    <row r="41" spans="1:29" ht="15.75" customHeight="1">
      <c r="A41" s="26" t="s">
        <v>123</v>
      </c>
      <c r="B41" s="8">
        <f t="shared" si="0"/>
        <v>0</v>
      </c>
      <c r="C41" s="8" t="e">
        <f t="shared" si="8"/>
        <v>#DIV/0!</v>
      </c>
      <c r="D41" s="54" t="str">
        <f t="shared" si="9"/>
        <v xml:space="preserve">11 online reputation management techniques for doctors (the definitive guide)
</v>
      </c>
      <c r="E41" s="28"/>
      <c r="F41" s="28"/>
      <c r="G41" s="26"/>
      <c r="H41" s="28"/>
      <c r="I41" s="26"/>
      <c r="J41" s="29"/>
      <c r="K41" s="29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1:29" ht="15.75" customHeight="1">
      <c r="A42" s="10" t="s">
        <v>128</v>
      </c>
      <c r="B42" s="8">
        <f t="shared" si="0"/>
        <v>0</v>
      </c>
      <c r="C42" s="8" t="e">
        <f t="shared" si="8"/>
        <v>#DIV/0!</v>
      </c>
      <c r="D42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2" s="10"/>
      <c r="F42" s="12"/>
      <c r="G42" s="13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1:29" ht="15.75" customHeight="1">
      <c r="A43" s="13" t="s">
        <v>129</v>
      </c>
      <c r="B43" s="8">
        <f t="shared" si="0"/>
        <v>2</v>
      </c>
      <c r="C43" s="8">
        <f t="shared" si="8"/>
        <v>61.5</v>
      </c>
      <c r="D43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43" s="27" t="str">
        <f>HYPERLINK("http://amolife.com/healthy-life/telemedicine-all-you-should-know-about-this-new-exciting-techn.html","Telemedicine: all you should know about this new &amp; exciting technology
")</f>
        <v>Telemedicine: all you should know about this new &amp; exciting technology_x000D_</v>
      </c>
      <c r="F43" s="30" t="str">
        <f>HYPERLINK("https://socialmediaexplorer.com/content-marketing-2/9-content-marketing-techniques-you-should-try-in-2019/","9 content marketing techniques you should try in 2019
")</f>
        <v>9 content marketing techniques you should try in 2019_x000D_</v>
      </c>
      <c r="G43" s="13">
        <v>75</v>
      </c>
      <c r="H43" s="30" t="str">
        <f>HYPERLINK("https://www.techicy.com/5-healthcare-marketing-tips-to-implement-in-2019.html","5 Healthcare Marketing Tips To Implement In 2019
")</f>
        <v>5 Healthcare Marketing Tips To Implement In 2019_x000D_</v>
      </c>
      <c r="I43" s="13">
        <v>48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1:29" ht="15.75" customHeight="1">
      <c r="A44" s="13" t="s">
        <v>130</v>
      </c>
      <c r="B44" s="8">
        <f t="shared" si="0"/>
        <v>1</v>
      </c>
      <c r="C44" s="8" t="e">
        <f t="shared" ref="C44:C45" si="10">SUM(F44:AC44)/B45</f>
        <v>#DIV/0!</v>
      </c>
      <c r="D44" s="30" t="str">
        <f>HYPERLINK("https://www.digitalauthority.me/web-analytics-services-chicago/","Web Analytics Services page")</f>
        <v>Web Analytics Services page</v>
      </c>
      <c r="E44" s="30" t="str">
        <f>HYPERLINK("http://tlists.com/how-to-measure-the-effectiveness-of-your-loyalty-program/","HOW TO MEASURE THE EFFECTIVENESS OF YOUR LOYALTY PROGRAM")</f>
        <v>HOW TO MEASURE THE EFFECTIVENESS OF YOUR LOYALTY PROGRAM</v>
      </c>
      <c r="F44" s="30" t="str">
        <f>HYPERLINK("https://myventurepad.com/a-simple-checklist-for-loyalty-program-financial-reporting/","A Simple Checklist for Loyalty Program Financial Reporting
")</f>
        <v>A Simple Checklist for Loyalty Program Financial Reporting_x000D_</v>
      </c>
      <c r="G44" s="13">
        <v>56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1:29" ht="15.75" customHeight="1">
      <c r="A45" s="13" t="s">
        <v>131</v>
      </c>
      <c r="B45" s="8">
        <f t="shared" si="0"/>
        <v>0</v>
      </c>
      <c r="C45" s="8" t="e">
        <f t="shared" si="10"/>
        <v>#DIV/0!</v>
      </c>
      <c r="D45" s="21" t="s">
        <v>132</v>
      </c>
      <c r="E45" s="46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1:29" ht="15.75" customHeight="1">
      <c r="A46" s="8"/>
      <c r="B46" s="8">
        <f t="shared" si="0"/>
        <v>0</v>
      </c>
      <c r="C46" s="3"/>
      <c r="D46" s="10"/>
      <c r="E46" s="3"/>
      <c r="F46" s="16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1:29" ht="15.75" customHeight="1">
      <c r="A47" s="8"/>
      <c r="B47" s="8">
        <f t="shared" si="0"/>
        <v>0</v>
      </c>
      <c r="C47" s="37"/>
      <c r="D47" s="36"/>
      <c r="E47" s="37"/>
      <c r="F47" s="2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1:29" ht="15.75" customHeight="1">
      <c r="A48" s="8"/>
      <c r="B48" s="8">
        <f t="shared" si="0"/>
        <v>0</v>
      </c>
      <c r="C48" s="37"/>
      <c r="D48" s="36"/>
      <c r="E48" s="37"/>
      <c r="F48" s="2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</row>
    <row r="49" spans="1:29">
      <c r="A49" s="8"/>
      <c r="B49" s="8">
        <f t="shared" si="0"/>
        <v>0</v>
      </c>
      <c r="C49" s="37"/>
      <c r="D49" s="195"/>
      <c r="E49" s="185"/>
      <c r="F49" s="185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1:29" ht="15.75" customHeight="1">
      <c r="A50" s="8"/>
      <c r="B50" s="8">
        <f t="shared" si="0"/>
        <v>0</v>
      </c>
      <c r="C50" s="37"/>
      <c r="D50" s="128"/>
      <c r="E50" s="31"/>
      <c r="F50" s="24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1:29" ht="15.75" customHeight="1">
      <c r="A51" s="8"/>
      <c r="B51" s="8">
        <f t="shared" si="0"/>
        <v>0</v>
      </c>
      <c r="C51" s="37"/>
      <c r="D51" s="10"/>
      <c r="E51" s="3"/>
      <c r="F51" s="24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ht="15.75" customHeight="1">
      <c r="A52" s="8"/>
      <c r="B52" s="8">
        <f t="shared" si="0"/>
        <v>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1:29" ht="15.75" customHeight="1">
      <c r="A53" s="8"/>
      <c r="B53" s="8">
        <f t="shared" si="0"/>
        <v>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ht="15.75" customHeight="1">
      <c r="A54" s="8"/>
      <c r="B54" s="8">
        <f t="shared" si="0"/>
        <v>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ht="15.75" customHeight="1">
      <c r="A55" s="8"/>
      <c r="B55" s="8">
        <f t="shared" si="0"/>
        <v>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</row>
    <row r="58" spans="1:29" ht="15.75" customHeight="1">
      <c r="A58" s="8"/>
      <c r="C58" s="57"/>
      <c r="D58" s="194" t="s">
        <v>1921</v>
      </c>
      <c r="E58" s="185"/>
      <c r="F58" s="185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1:29" ht="15.75" customHeight="1">
      <c r="A59" s="8"/>
      <c r="B59" s="3"/>
      <c r="C59" s="3"/>
      <c r="D59" s="7" t="s">
        <v>1409</v>
      </c>
      <c r="E59" s="7" t="s">
        <v>19</v>
      </c>
      <c r="F59" s="40" t="s">
        <v>21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1:29" ht="15.75" customHeight="1">
      <c r="A60" s="8"/>
      <c r="B60" s="102"/>
      <c r="C60" s="102"/>
      <c r="D60" s="62" t="str">
        <f>HYPERLINK("https://www.digitalauthority.me/resources/social-media-mistakes/","Social media whitepaper: epic fail tips from other social media executives
")</f>
        <v>Social media whitepaper: epic fail tips from other social media executives_x000D_</v>
      </c>
      <c r="E60" s="105" t="s">
        <v>128</v>
      </c>
      <c r="F60" s="170" t="s">
        <v>1922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1:29" ht="15.75" customHeight="1">
      <c r="A61" s="8"/>
      <c r="B61" s="102"/>
      <c r="C61" s="102"/>
      <c r="D61" s="71" t="str">
        <f t="shared" ref="D61:D62" si="11">HYPERLINK("https://www.digitalauthority.me/resources/financial-product-marketing/","5 Key Strategies for Your Financial Product Marketing Initiatives in 2019")</f>
        <v>5 Key Strategies for Your Financial Product Marketing Initiatives in 2019</v>
      </c>
      <c r="E61" s="72" t="s">
        <v>113</v>
      </c>
      <c r="F61" s="173" t="s">
        <v>1904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</row>
    <row r="62" spans="1:29" ht="15.75" customHeight="1">
      <c r="A62" s="8"/>
      <c r="B62" s="18"/>
      <c r="C62" s="3"/>
      <c r="D62" s="71" t="str">
        <f t="shared" si="11"/>
        <v>5 Key Strategies for Your Financial Product Marketing Initiatives in 2019</v>
      </c>
      <c r="E62" s="72" t="s">
        <v>109</v>
      </c>
      <c r="F62" s="173" t="s">
        <v>1923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</row>
    <row r="63" spans="1:29" ht="15.75" customHeight="1">
      <c r="A63" s="8"/>
      <c r="B63" s="169"/>
      <c r="C63" s="37"/>
      <c r="D63" s="36" t="str">
        <f>HYPERLINK("https://www.digitalauthority.me/insights/online-reputation-management-for-doctors-guide-02-09-2018","11 online reputation management techniques for doctors (the definitive guide)
")</f>
        <v>11 online reputation management techniques for doctors (the definitive guide)_x000D_</v>
      </c>
      <c r="E63" s="37" t="s">
        <v>123</v>
      </c>
      <c r="F63" s="170" t="s">
        <v>1913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1:29">
      <c r="A64" s="8"/>
      <c r="B64" s="38"/>
      <c r="C64" s="37"/>
      <c r="D64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64" s="72" t="s">
        <v>88</v>
      </c>
      <c r="F64" s="173" t="s">
        <v>1924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1:29" ht="15.75" customHeight="1">
      <c r="A65" s="8"/>
      <c r="B65" s="8"/>
      <c r="C65" s="8"/>
      <c r="D65" s="30" t="str">
        <f>HYPERLINK("https://www.digitalauthority.me/resources/step-step-guide-driving-android-app-downloads/","A Step by Step Guide for Driving Android App Downloads")</f>
        <v>A Step by Step Guide for Driving Android App Downloads</v>
      </c>
      <c r="E65" s="13" t="s">
        <v>1925</v>
      </c>
      <c r="F65" s="174" t="s">
        <v>1926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</row>
    <row r="66" spans="1:29" ht="15.75" customHeight="1">
      <c r="A66" s="8"/>
      <c r="B66" s="8"/>
      <c r="C66" s="8"/>
      <c r="D6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66" s="13" t="s">
        <v>94</v>
      </c>
      <c r="F66" s="174" t="s">
        <v>1927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</row>
    <row r="67" spans="1:29" ht="15.75" customHeight="1">
      <c r="A67" s="8"/>
      <c r="B67" s="8"/>
      <c r="C67" s="8"/>
      <c r="D67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67" s="13" t="s">
        <v>102</v>
      </c>
      <c r="F67" s="174" t="s">
        <v>1928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ht="15.75" customHeight="1">
      <c r="A68" s="8"/>
      <c r="B68" s="8"/>
      <c r="C68" s="8"/>
      <c r="D68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68" s="105" t="s">
        <v>59</v>
      </c>
      <c r="F68" s="170" t="s">
        <v>1929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5.75" customHeight="1">
      <c r="A69" s="8"/>
      <c r="B69" s="8"/>
      <c r="C69" s="8"/>
      <c r="D69" s="60" t="s">
        <v>77</v>
      </c>
      <c r="E69" s="3" t="s">
        <v>79</v>
      </c>
      <c r="F69" s="15" t="s">
        <v>1930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</row>
    <row r="70" spans="1:29" ht="15.75" customHeight="1">
      <c r="A70" s="8"/>
      <c r="B70" s="8"/>
      <c r="C70" s="8"/>
      <c r="D70" s="11" t="str">
        <f>HYPERLINK("https://www.digitalauthority.me/insights/2018-cardiovascular-health-technologies-doctors-02-11-2018","7 cardiovascular health technologies doctors should know about in 2018
")</f>
        <v>7 cardiovascular health technologies doctors should know about in 2018_x000D_</v>
      </c>
      <c r="E70" s="3" t="s">
        <v>91</v>
      </c>
      <c r="F70" s="170" t="s">
        <v>1931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</row>
    <row r="71" spans="1:29" ht="15.75" customHeight="1">
      <c r="A71" s="8"/>
      <c r="B71" s="8"/>
      <c r="C71" s="8"/>
      <c r="D71" s="11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71" s="16" t="s">
        <v>103</v>
      </c>
      <c r="F71" s="170" t="s">
        <v>1932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1:29" ht="15.75" customHeight="1">
      <c r="A72" s="8"/>
      <c r="B72" s="8"/>
      <c r="C72" s="8"/>
      <c r="D72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72" s="13" t="s">
        <v>90</v>
      </c>
      <c r="F72" s="174" t="s">
        <v>1933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</row>
    <row r="73" spans="1:29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</row>
    <row r="74" spans="1:29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</row>
    <row r="75" spans="1:29" ht="15.75" customHeight="1">
      <c r="A75" s="8"/>
      <c r="B75" s="8"/>
      <c r="C75" s="8"/>
      <c r="D75" s="1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</row>
    <row r="76" spans="1:29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</row>
    <row r="77" spans="1:29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</row>
    <row r="78" spans="1:29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</row>
    <row r="79" spans="1:29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</row>
    <row r="80" spans="1:29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</row>
    <row r="81" spans="1:29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</row>
    <row r="82" spans="1:29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</row>
    <row r="83" spans="1:29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</row>
    <row r="84" spans="1:29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</row>
    <row r="85" spans="1:29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</row>
    <row r="86" spans="1:29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</row>
    <row r="87" spans="1:29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</row>
    <row r="88" spans="1:29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</row>
    <row r="89" spans="1:29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</row>
    <row r="90" spans="1:29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</row>
    <row r="91" spans="1:29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</row>
    <row r="92" spans="1:29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</row>
    <row r="93" spans="1:29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</row>
    <row r="94" spans="1:29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</row>
    <row r="95" spans="1:29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</row>
    <row r="96" spans="1:29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</row>
    <row r="97" spans="1:29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</row>
    <row r="98" spans="1:29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</row>
    <row r="99" spans="1:29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</row>
    <row r="100" spans="1:29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</row>
    <row r="101" spans="1:29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</row>
    <row r="102" spans="1:29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</row>
    <row r="103" spans="1:29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</row>
    <row r="104" spans="1:29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</row>
    <row r="105" spans="1:29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</row>
    <row r="106" spans="1:29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</row>
    <row r="107" spans="1:29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</row>
    <row r="108" spans="1:29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</row>
    <row r="109" spans="1:2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</row>
    <row r="110" spans="1:29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</row>
    <row r="111" spans="1:29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</row>
    <row r="112" spans="1:29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</row>
    <row r="113" spans="1:29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</row>
    <row r="114" spans="1:29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</row>
    <row r="115" spans="1:29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</row>
    <row r="116" spans="1:29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</row>
    <row r="117" spans="1:29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</row>
    <row r="118" spans="1:29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</row>
    <row r="119" spans="1:2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</row>
    <row r="120" spans="1:29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</row>
    <row r="121" spans="1:29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</row>
    <row r="122" spans="1:29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</row>
    <row r="123" spans="1:29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</row>
    <row r="124" spans="1:29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</row>
    <row r="125" spans="1:29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</row>
    <row r="126" spans="1:29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</row>
    <row r="127" spans="1:29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</row>
    <row r="128" spans="1:29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</row>
    <row r="129" spans="1: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</row>
    <row r="130" spans="1:29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</row>
    <row r="131" spans="1:29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</row>
    <row r="132" spans="1:29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</row>
    <row r="133" spans="1:29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</row>
    <row r="134" spans="1:29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</row>
    <row r="135" spans="1:29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</row>
    <row r="136" spans="1:29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</row>
    <row r="137" spans="1:29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</row>
    <row r="138" spans="1:29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</row>
    <row r="139" spans="1:2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</row>
    <row r="140" spans="1:29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</row>
    <row r="141" spans="1:29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</row>
    <row r="142" spans="1:29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</row>
    <row r="143" spans="1:29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</row>
    <row r="144" spans="1:29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</row>
    <row r="145" spans="1:29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</row>
    <row r="146" spans="1:29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</row>
    <row r="147" spans="1:29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</row>
    <row r="148" spans="1:29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</row>
    <row r="149" spans="1:2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</row>
    <row r="150" spans="1:29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</row>
    <row r="151" spans="1:29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</row>
    <row r="152" spans="1:29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</row>
    <row r="153" spans="1:29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</row>
    <row r="154" spans="1:29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</row>
    <row r="155" spans="1:29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</row>
    <row r="156" spans="1:29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</row>
    <row r="157" spans="1:29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</row>
    <row r="158" spans="1:29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</row>
    <row r="159" spans="1:2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</row>
    <row r="160" spans="1:29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</row>
    <row r="161" spans="1:29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</row>
    <row r="162" spans="1:29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</row>
    <row r="163" spans="1:29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</row>
    <row r="164" spans="1:29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</row>
    <row r="165" spans="1:29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</row>
    <row r="166" spans="1:29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</row>
    <row r="167" spans="1:29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</row>
    <row r="168" spans="1:29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</row>
    <row r="169" spans="1:2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</row>
    <row r="170" spans="1:29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</row>
    <row r="171" spans="1:29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</row>
    <row r="172" spans="1:29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</row>
    <row r="173" spans="1:29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</row>
    <row r="174" spans="1:29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</row>
    <row r="175" spans="1:29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</row>
    <row r="176" spans="1:29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</row>
    <row r="177" spans="1:29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</row>
    <row r="178" spans="1:29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</row>
    <row r="179" spans="1:2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</row>
    <row r="180" spans="1:29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</row>
    <row r="181" spans="1:29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</row>
    <row r="182" spans="1:29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</row>
    <row r="183" spans="1:29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</row>
    <row r="184" spans="1:29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</row>
    <row r="185" spans="1:29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</row>
    <row r="186" spans="1:29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</row>
    <row r="187" spans="1:29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</row>
    <row r="188" spans="1:29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</row>
    <row r="189" spans="1:2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</row>
    <row r="190" spans="1:29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</row>
    <row r="191" spans="1:29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</row>
    <row r="192" spans="1:29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</row>
    <row r="193" spans="1:29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</row>
    <row r="194" spans="1:29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</row>
    <row r="195" spans="1:29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</row>
    <row r="196" spans="1:29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</row>
    <row r="197" spans="1:29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</row>
    <row r="198" spans="1:29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</row>
    <row r="199" spans="1:2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</row>
    <row r="200" spans="1:29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</row>
    <row r="201" spans="1:29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</row>
    <row r="202" spans="1:29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</row>
    <row r="203" spans="1:29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</row>
    <row r="204" spans="1:29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</row>
    <row r="205" spans="1:29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</row>
    <row r="206" spans="1:29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</row>
    <row r="207" spans="1:29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</row>
    <row r="208" spans="1:29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</row>
    <row r="209" spans="1:2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</row>
    <row r="210" spans="1:29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</row>
    <row r="211" spans="1:29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</row>
    <row r="212" spans="1:29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</row>
    <row r="213" spans="1:29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</row>
    <row r="214" spans="1:29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</row>
    <row r="215" spans="1:29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</row>
    <row r="216" spans="1:29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</row>
    <row r="217" spans="1:29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</row>
    <row r="219" spans="1:2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</row>
    <row r="221" spans="1:29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</row>
    <row r="222" spans="1:29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</row>
    <row r="223" spans="1:29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</row>
    <row r="224" spans="1:29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</row>
    <row r="226" spans="1:29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</row>
    <row r="228" spans="1:29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</row>
    <row r="230" spans="1:29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</row>
    <row r="231" spans="1:29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</row>
    <row r="233" spans="1:29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</row>
    <row r="235" spans="1:29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</row>
    <row r="236" spans="1:29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</row>
    <row r="237" spans="1:29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</row>
    <row r="238" spans="1:29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</row>
    <row r="240" spans="1:29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</row>
    <row r="242" spans="1:29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</row>
    <row r="244" spans="1:29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</row>
    <row r="245" spans="1:29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</row>
    <row r="247" spans="1:29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</row>
    <row r="249" spans="1:2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</row>
    <row r="250" spans="1:29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</row>
    <row r="251" spans="1:29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</row>
    <row r="252" spans="1:29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</row>
    <row r="254" spans="1:29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</row>
    <row r="256" spans="1:29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</row>
    <row r="258" spans="1:29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</row>
    <row r="260" spans="1:29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</row>
    <row r="261" spans="1:29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</row>
    <row r="263" spans="1:29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</row>
    <row r="264" spans="1:29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</row>
    <row r="265" spans="1:29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</row>
    <row r="266" spans="1:29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</row>
    <row r="268" spans="1:29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</row>
    <row r="270" spans="1:29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</row>
    <row r="272" spans="1:29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</row>
    <row r="273" spans="1:29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</row>
    <row r="276" spans="1:29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</row>
    <row r="277" spans="1:29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</row>
    <row r="278" spans="1:29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</row>
    <row r="279" spans="1:2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</row>
    <row r="280" spans="1:29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</row>
    <row r="283" spans="1:29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</row>
    <row r="284" spans="1:29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</row>
    <row r="285" spans="1:29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</row>
    <row r="287" spans="1:29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</row>
    <row r="289" spans="1:29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</row>
    <row r="291" spans="1:29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</row>
    <row r="292" spans="1:29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</row>
    <row r="293" spans="1:29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</row>
    <row r="294" spans="1:29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</row>
    <row r="297" spans="1:29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</row>
    <row r="298" spans="1:29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</row>
    <row r="299" spans="1:2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</row>
    <row r="302" spans="1:29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</row>
    <row r="303" spans="1:29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</row>
    <row r="305" spans="1:29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</row>
    <row r="306" spans="1:29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</row>
    <row r="307" spans="1:29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</row>
    <row r="308" spans="1:29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</row>
    <row r="311" spans="1:29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</row>
    <row r="312" spans="1:29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</row>
    <row r="313" spans="1:29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</row>
    <row r="316" spans="1:29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</row>
    <row r="318" spans="1:29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</row>
    <row r="319" spans="1:29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</row>
    <row r="320" spans="1:29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</row>
    <row r="321" spans="1:29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</row>
    <row r="322" spans="1:29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</row>
    <row r="324" spans="1:29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</row>
    <row r="326" spans="1:29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</row>
    <row r="327" spans="1:29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</row>
    <row r="329" spans="1:29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</row>
    <row r="330" spans="1:29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</row>
    <row r="331" spans="1:29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</row>
    <row r="333" spans="1:29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</row>
    <row r="334" spans="1:29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</row>
    <row r="335" spans="1:29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</row>
    <row r="337" spans="1:29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</row>
    <row r="339" spans="1:29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</row>
    <row r="340" spans="1:29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</row>
    <row r="341" spans="1:29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</row>
    <row r="344" spans="1:29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</row>
    <row r="346" spans="1:29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</row>
    <row r="347" spans="1:29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</row>
    <row r="348" spans="1:29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</row>
    <row r="349" spans="1:29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</row>
    <row r="350" spans="1:29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</row>
    <row r="352" spans="1:29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</row>
    <row r="354" spans="1:29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</row>
    <row r="355" spans="1:29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</row>
    <row r="357" spans="1:29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</row>
    <row r="360" spans="1:29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</row>
    <row r="361" spans="1:29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</row>
    <row r="362" spans="1:29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</row>
    <row r="363" spans="1:29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</row>
    <row r="365" spans="1:29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</row>
    <row r="367" spans="1:29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</row>
    <row r="368" spans="1:29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</row>
    <row r="369" spans="1:29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</row>
    <row r="370" spans="1:29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</row>
    <row r="371" spans="1:29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</row>
    <row r="372" spans="1:29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</row>
    <row r="374" spans="1:29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</row>
    <row r="375" spans="1:29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</row>
    <row r="376" spans="1:29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</row>
    <row r="377" spans="1:29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</row>
    <row r="379" spans="1:29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</row>
    <row r="381" spans="1:29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</row>
    <row r="382" spans="1:29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</row>
    <row r="383" spans="1:29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</row>
    <row r="384" spans="1:29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</row>
    <row r="385" spans="1:29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</row>
    <row r="386" spans="1:29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</row>
    <row r="387" spans="1:29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</row>
    <row r="388" spans="1:29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</row>
    <row r="390" spans="1:29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</row>
    <row r="391" spans="1:29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</row>
    <row r="392" spans="1:29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</row>
    <row r="393" spans="1:29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</row>
    <row r="394" spans="1:29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</row>
    <row r="396" spans="1:29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</row>
    <row r="397" spans="1:29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</row>
    <row r="398" spans="1:29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</row>
    <row r="399" spans="1:29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</row>
    <row r="400" spans="1:29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</row>
    <row r="401" spans="1:29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</row>
    <row r="403" spans="1:29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</row>
    <row r="404" spans="1:29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</row>
    <row r="405" spans="1:29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</row>
    <row r="406" spans="1:29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</row>
    <row r="407" spans="1:29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</row>
    <row r="408" spans="1:29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</row>
    <row r="410" spans="1:29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</row>
    <row r="411" spans="1:29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</row>
    <row r="412" spans="1:29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</row>
    <row r="413" spans="1:29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</row>
    <row r="414" spans="1:29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</row>
    <row r="415" spans="1:29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</row>
    <row r="417" spans="1:29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</row>
    <row r="418" spans="1:29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</row>
    <row r="419" spans="1:29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</row>
    <row r="420" spans="1:29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</row>
    <row r="421" spans="1:29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</row>
    <row r="422" spans="1:29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</row>
    <row r="424" spans="1:29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</row>
    <row r="425" spans="1:29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</row>
    <row r="426" spans="1:29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</row>
    <row r="427" spans="1:29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</row>
    <row r="428" spans="1:29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</row>
    <row r="429" spans="1:29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</row>
    <row r="431" spans="1:29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</row>
    <row r="432" spans="1:29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</row>
    <row r="433" spans="1:29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</row>
    <row r="434" spans="1:29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</row>
    <row r="435" spans="1:29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</row>
    <row r="436" spans="1:29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</row>
    <row r="438" spans="1:29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</row>
    <row r="439" spans="1:29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</row>
    <row r="440" spans="1:29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</row>
    <row r="443" spans="1:29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</row>
    <row r="444" spans="1:29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</row>
    <row r="445" spans="1:29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</row>
    <row r="446" spans="1:29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spans="1:29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</row>
    <row r="448" spans="1:29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</row>
    <row r="449" spans="1:29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</row>
    <row r="451" spans="1:29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</row>
    <row r="452" spans="1:29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</row>
    <row r="453" spans="1:29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</row>
    <row r="454" spans="1:29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</row>
    <row r="455" spans="1:29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</row>
    <row r="456" spans="1:29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</row>
    <row r="457" spans="1:29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</row>
    <row r="459" spans="1:29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</row>
    <row r="460" spans="1:29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</row>
    <row r="461" spans="1:29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</row>
    <row r="462" spans="1:29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</row>
    <row r="463" spans="1:29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</row>
    <row r="464" spans="1:29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</row>
    <row r="466" spans="1:29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</row>
    <row r="467" spans="1:29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</row>
    <row r="468" spans="1:29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</row>
    <row r="469" spans="1:29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</row>
    <row r="470" spans="1:29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</row>
    <row r="471" spans="1:29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</row>
    <row r="473" spans="1:29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</row>
    <row r="474" spans="1:29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</row>
    <row r="475" spans="1:29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</row>
    <row r="476" spans="1:29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</row>
    <row r="477" spans="1:29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</row>
    <row r="478" spans="1:29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</row>
    <row r="480" spans="1:29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</row>
    <row r="481" spans="1:29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</row>
    <row r="482" spans="1:29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</row>
    <row r="483" spans="1:29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</row>
    <row r="484" spans="1:29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</row>
    <row r="486" spans="1:29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</row>
    <row r="487" spans="1:29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</row>
    <row r="488" spans="1:29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</row>
    <row r="489" spans="1:29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</row>
    <row r="490" spans="1:29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</row>
    <row r="492" spans="1:29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</row>
    <row r="494" spans="1:29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</row>
    <row r="495" spans="1:29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</row>
    <row r="496" spans="1:29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</row>
    <row r="497" spans="1:29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</row>
    <row r="498" spans="1:29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</row>
    <row r="499" spans="1:29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</row>
    <row r="501" spans="1:29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</row>
    <row r="502" spans="1:29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</row>
    <row r="503" spans="1:29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</row>
    <row r="504" spans="1:29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  <row r="505" spans="1:29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</row>
    <row r="506" spans="1:29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</row>
    <row r="507" spans="1:29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</row>
    <row r="508" spans="1:29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</row>
    <row r="509" spans="1:29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</row>
    <row r="510" spans="1:29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</row>
    <row r="511" spans="1:29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</row>
    <row r="512" spans="1:29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</row>
    <row r="513" spans="1:29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</row>
    <row r="514" spans="1:29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</row>
    <row r="515" spans="1:29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</row>
    <row r="516" spans="1:29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</row>
    <row r="517" spans="1:29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</row>
    <row r="518" spans="1:29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</row>
    <row r="519" spans="1:29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</row>
    <row r="520" spans="1:29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</row>
    <row r="521" spans="1:29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</row>
    <row r="522" spans="1:29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</row>
    <row r="523" spans="1:29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</row>
    <row r="524" spans="1:29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</row>
    <row r="525" spans="1:29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</row>
    <row r="526" spans="1:29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</row>
    <row r="527" spans="1:29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</row>
    <row r="528" spans="1:29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</row>
    <row r="529" spans="1:29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</row>
    <row r="530" spans="1:29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</row>
    <row r="531" spans="1:29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</row>
    <row r="532" spans="1:29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</row>
    <row r="533" spans="1:29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</row>
    <row r="534" spans="1:29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</row>
    <row r="535" spans="1:29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</row>
    <row r="536" spans="1:29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</row>
    <row r="537" spans="1:29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</row>
    <row r="538" spans="1:29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</row>
    <row r="539" spans="1:29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</row>
    <row r="540" spans="1:29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</row>
    <row r="541" spans="1:29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</row>
    <row r="542" spans="1:29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</row>
    <row r="543" spans="1:29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</row>
    <row r="544" spans="1:29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</row>
    <row r="545" spans="1:29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</row>
    <row r="546" spans="1:29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</row>
    <row r="547" spans="1:29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</row>
    <row r="548" spans="1:29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</row>
    <row r="549" spans="1:29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</row>
    <row r="550" spans="1:29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</row>
    <row r="551" spans="1:29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</row>
    <row r="552" spans="1:29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</row>
    <row r="553" spans="1:29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</row>
    <row r="554" spans="1:29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</row>
    <row r="555" spans="1:29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</row>
    <row r="556" spans="1:29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</row>
    <row r="557" spans="1:29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</row>
    <row r="558" spans="1:29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</row>
    <row r="559" spans="1:29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</row>
    <row r="560" spans="1:29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</row>
    <row r="561" spans="1:29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</row>
    <row r="562" spans="1:29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</row>
    <row r="563" spans="1:29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</row>
    <row r="564" spans="1:29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</row>
    <row r="565" spans="1:29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</row>
    <row r="566" spans="1:29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</row>
    <row r="567" spans="1:29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</row>
    <row r="568" spans="1:29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</row>
    <row r="569" spans="1:29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</row>
    <row r="570" spans="1:29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</row>
    <row r="571" spans="1:29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</row>
    <row r="572" spans="1:29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</row>
    <row r="573" spans="1:29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</row>
    <row r="574" spans="1:29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</row>
    <row r="575" spans="1:29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</row>
    <row r="576" spans="1:29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</row>
    <row r="577" spans="1:29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</row>
    <row r="578" spans="1:29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</row>
    <row r="579" spans="1:29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</row>
    <row r="580" spans="1:29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</row>
    <row r="581" spans="1:29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</row>
    <row r="582" spans="1:29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</row>
    <row r="583" spans="1:29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</row>
    <row r="584" spans="1:29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</row>
    <row r="585" spans="1:29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</row>
    <row r="586" spans="1:29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</row>
    <row r="587" spans="1:29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</row>
    <row r="588" spans="1:29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</row>
    <row r="589" spans="1:29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</row>
    <row r="590" spans="1:29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</row>
    <row r="591" spans="1:29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</row>
    <row r="592" spans="1:29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</row>
    <row r="593" spans="1:29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</row>
    <row r="594" spans="1:29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</row>
    <row r="595" spans="1:29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</row>
    <row r="596" spans="1:29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</row>
    <row r="597" spans="1:29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</row>
    <row r="598" spans="1:29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</row>
    <row r="599" spans="1:29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</row>
    <row r="600" spans="1:29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</row>
    <row r="601" spans="1:29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</row>
    <row r="602" spans="1:29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</row>
    <row r="603" spans="1:29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</row>
    <row r="604" spans="1:29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</row>
    <row r="605" spans="1:29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</row>
    <row r="606" spans="1:29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</row>
    <row r="607" spans="1:29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</row>
    <row r="608" spans="1:29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</row>
    <row r="609" spans="1:29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</row>
    <row r="610" spans="1:29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</row>
    <row r="611" spans="1:29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</row>
    <row r="612" spans="1:29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</row>
    <row r="613" spans="1:29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</row>
    <row r="614" spans="1:29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</row>
    <row r="615" spans="1:29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</row>
    <row r="616" spans="1:29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</row>
    <row r="617" spans="1:29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</row>
    <row r="618" spans="1:29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</row>
    <row r="619" spans="1:29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</row>
    <row r="620" spans="1:29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</row>
    <row r="621" spans="1:29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</row>
    <row r="622" spans="1:29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</row>
    <row r="623" spans="1:29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</row>
    <row r="624" spans="1:29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</row>
    <row r="625" spans="1:29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</row>
    <row r="626" spans="1:29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</row>
    <row r="627" spans="1:29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</row>
    <row r="628" spans="1:29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</row>
    <row r="629" spans="1:29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</row>
    <row r="630" spans="1:29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</row>
    <row r="631" spans="1:29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</row>
    <row r="632" spans="1:29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</row>
    <row r="633" spans="1:29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</row>
    <row r="634" spans="1:29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</row>
    <row r="635" spans="1:29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</row>
    <row r="636" spans="1:29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</row>
    <row r="637" spans="1:29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</row>
    <row r="638" spans="1:29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</row>
    <row r="639" spans="1:29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</row>
    <row r="640" spans="1:29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</row>
    <row r="641" spans="1:29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</row>
    <row r="642" spans="1:29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</row>
    <row r="643" spans="1:29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</row>
    <row r="644" spans="1:29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</row>
    <row r="645" spans="1:29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</row>
    <row r="646" spans="1:29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</row>
    <row r="647" spans="1:29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</row>
    <row r="648" spans="1:29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</row>
    <row r="649" spans="1:29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</row>
    <row r="650" spans="1:29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</row>
    <row r="651" spans="1:29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</row>
    <row r="652" spans="1:29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</row>
    <row r="653" spans="1:29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</row>
    <row r="654" spans="1:29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</row>
    <row r="655" spans="1:29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</row>
    <row r="656" spans="1:29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</row>
    <row r="657" spans="1:29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</row>
    <row r="658" spans="1:29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</row>
    <row r="659" spans="1:29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</row>
    <row r="660" spans="1:29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</row>
    <row r="661" spans="1:29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</row>
    <row r="662" spans="1:29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</row>
    <row r="663" spans="1:29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</row>
    <row r="664" spans="1:29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</row>
    <row r="665" spans="1:29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</row>
    <row r="666" spans="1:29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</row>
    <row r="667" spans="1:29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</row>
    <row r="668" spans="1:29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</row>
    <row r="669" spans="1:29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</row>
    <row r="670" spans="1:29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</row>
    <row r="671" spans="1:29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</row>
    <row r="672" spans="1:29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</row>
    <row r="673" spans="1:29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</row>
    <row r="674" spans="1:29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</row>
    <row r="675" spans="1:29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</row>
    <row r="676" spans="1:29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</row>
    <row r="677" spans="1:29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</row>
    <row r="678" spans="1:29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</row>
    <row r="679" spans="1:29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</row>
    <row r="680" spans="1:29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</row>
    <row r="681" spans="1:29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</row>
    <row r="682" spans="1:29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</row>
    <row r="683" spans="1:29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</row>
    <row r="684" spans="1:29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</row>
    <row r="685" spans="1:29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</row>
    <row r="686" spans="1:29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</row>
    <row r="687" spans="1:29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</row>
    <row r="688" spans="1:29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</row>
    <row r="689" spans="1:29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</row>
    <row r="690" spans="1:29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</row>
    <row r="691" spans="1:29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</row>
    <row r="692" spans="1:29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</row>
    <row r="693" spans="1:29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</row>
    <row r="694" spans="1:29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</row>
    <row r="695" spans="1:29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</row>
    <row r="696" spans="1:29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</row>
    <row r="697" spans="1:29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</row>
    <row r="698" spans="1:29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</row>
    <row r="699" spans="1:29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</row>
    <row r="700" spans="1:29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</row>
    <row r="701" spans="1:29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</row>
    <row r="702" spans="1:29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</row>
    <row r="703" spans="1:29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</row>
    <row r="704" spans="1:29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</row>
    <row r="705" spans="1:29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</row>
    <row r="706" spans="1:29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</row>
    <row r="707" spans="1:29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</row>
    <row r="708" spans="1:29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</row>
    <row r="709" spans="1:29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</row>
    <row r="710" spans="1:29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</row>
    <row r="711" spans="1:29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</row>
    <row r="712" spans="1:29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</row>
    <row r="713" spans="1:29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</row>
    <row r="714" spans="1:29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</row>
    <row r="715" spans="1:29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</row>
    <row r="716" spans="1:29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</row>
    <row r="717" spans="1:29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</row>
    <row r="718" spans="1:29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</row>
    <row r="719" spans="1:29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</row>
    <row r="720" spans="1:29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</row>
    <row r="721" spans="1:29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</row>
    <row r="722" spans="1:29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</row>
    <row r="723" spans="1:29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</row>
    <row r="724" spans="1:29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</row>
    <row r="725" spans="1:29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</row>
    <row r="726" spans="1:29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</row>
    <row r="727" spans="1:29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</row>
    <row r="728" spans="1:29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</row>
    <row r="729" spans="1:29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</row>
    <row r="730" spans="1:29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</row>
    <row r="731" spans="1:29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</row>
    <row r="732" spans="1:29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</row>
    <row r="733" spans="1:29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</row>
    <row r="734" spans="1:29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</row>
    <row r="735" spans="1:29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</row>
    <row r="736" spans="1:29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</row>
    <row r="737" spans="1:29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</row>
    <row r="738" spans="1:29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</row>
    <row r="739" spans="1:29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</row>
    <row r="740" spans="1:29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</row>
    <row r="741" spans="1:29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</row>
    <row r="742" spans="1:29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</row>
    <row r="743" spans="1:29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</row>
    <row r="744" spans="1:29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</row>
    <row r="745" spans="1:29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</row>
    <row r="746" spans="1:29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</row>
    <row r="747" spans="1:29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</row>
    <row r="748" spans="1:29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</row>
    <row r="749" spans="1:29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</row>
    <row r="750" spans="1:29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</row>
    <row r="751" spans="1:29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</row>
    <row r="752" spans="1:29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</row>
    <row r="753" spans="1:29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</row>
    <row r="754" spans="1:29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</row>
    <row r="755" spans="1:29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</row>
    <row r="756" spans="1:29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</row>
    <row r="757" spans="1:29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</row>
    <row r="758" spans="1:29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</row>
    <row r="759" spans="1:29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</row>
    <row r="760" spans="1:29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</row>
    <row r="761" spans="1:29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</row>
    <row r="762" spans="1:29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</row>
    <row r="763" spans="1:29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</row>
    <row r="764" spans="1:29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</row>
    <row r="765" spans="1:29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</row>
    <row r="766" spans="1:29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</row>
    <row r="767" spans="1:29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</row>
    <row r="768" spans="1:29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</row>
    <row r="769" spans="1:29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</row>
    <row r="770" spans="1:29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</row>
    <row r="771" spans="1:29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</row>
    <row r="772" spans="1:29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</row>
    <row r="773" spans="1:29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</row>
    <row r="774" spans="1:29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</row>
    <row r="775" spans="1:29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</row>
    <row r="776" spans="1:29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</row>
    <row r="777" spans="1:29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</row>
    <row r="778" spans="1:29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</row>
    <row r="779" spans="1:29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</row>
    <row r="780" spans="1:29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</row>
    <row r="781" spans="1:29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</row>
    <row r="782" spans="1:29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</row>
    <row r="783" spans="1:29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</row>
    <row r="784" spans="1:29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</row>
    <row r="785" spans="1:29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</row>
    <row r="786" spans="1:29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</row>
    <row r="787" spans="1:29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</row>
    <row r="788" spans="1:29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</row>
    <row r="789" spans="1:29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</row>
    <row r="790" spans="1:29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</row>
    <row r="791" spans="1:29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</row>
    <row r="792" spans="1:29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</row>
    <row r="793" spans="1:29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</row>
    <row r="794" spans="1:29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</row>
    <row r="795" spans="1:29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</row>
    <row r="796" spans="1:29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</row>
    <row r="797" spans="1:29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</row>
    <row r="798" spans="1:29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</row>
    <row r="799" spans="1:29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</row>
    <row r="800" spans="1:29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</row>
    <row r="801" spans="1:29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</row>
    <row r="802" spans="1:29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</row>
    <row r="803" spans="1:29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</row>
    <row r="804" spans="1:29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</row>
    <row r="805" spans="1:29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</row>
    <row r="806" spans="1:29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</row>
    <row r="807" spans="1:29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</row>
    <row r="808" spans="1:29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</row>
    <row r="809" spans="1:29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</row>
    <row r="810" spans="1:29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</row>
    <row r="811" spans="1:29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</row>
    <row r="812" spans="1:29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</row>
    <row r="813" spans="1:29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</row>
    <row r="814" spans="1:29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</row>
    <row r="815" spans="1:29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</row>
    <row r="816" spans="1:29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</row>
    <row r="817" spans="1:29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</row>
    <row r="818" spans="1:29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</row>
    <row r="819" spans="1:29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</row>
    <row r="820" spans="1:29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</row>
    <row r="821" spans="1:29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</row>
    <row r="822" spans="1:29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</row>
    <row r="823" spans="1:29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</row>
    <row r="824" spans="1:29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</row>
    <row r="825" spans="1:29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</row>
    <row r="826" spans="1:29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</row>
    <row r="827" spans="1:29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</row>
    <row r="828" spans="1:29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</row>
    <row r="829" spans="1:29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</row>
    <row r="830" spans="1:29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</row>
    <row r="831" spans="1:29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</row>
    <row r="832" spans="1:29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</row>
    <row r="833" spans="1:29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</row>
    <row r="834" spans="1:29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</row>
    <row r="835" spans="1:29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</row>
    <row r="836" spans="1:29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</row>
    <row r="837" spans="1:29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</row>
    <row r="838" spans="1:29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</row>
    <row r="839" spans="1:29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</row>
    <row r="840" spans="1:29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</row>
    <row r="841" spans="1:29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</row>
    <row r="842" spans="1:29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</row>
    <row r="843" spans="1:29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</row>
    <row r="844" spans="1:29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</row>
    <row r="845" spans="1:29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</row>
    <row r="846" spans="1:29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</row>
    <row r="847" spans="1:29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</row>
    <row r="848" spans="1:29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</row>
    <row r="849" spans="1:29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</row>
    <row r="850" spans="1:29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</row>
    <row r="851" spans="1:29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</row>
    <row r="852" spans="1:29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</row>
    <row r="853" spans="1:29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</row>
    <row r="854" spans="1:29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</row>
    <row r="855" spans="1:29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</row>
    <row r="856" spans="1:29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</row>
    <row r="857" spans="1:29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</row>
    <row r="858" spans="1:29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</row>
    <row r="859" spans="1:29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</row>
    <row r="860" spans="1:29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</row>
    <row r="861" spans="1:29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</row>
    <row r="862" spans="1:29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</row>
    <row r="863" spans="1:29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</row>
    <row r="864" spans="1:29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</row>
    <row r="865" spans="1:29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</row>
    <row r="866" spans="1:29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</row>
    <row r="867" spans="1:29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</row>
    <row r="868" spans="1:29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</row>
    <row r="869" spans="1:29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</row>
    <row r="870" spans="1:29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</row>
    <row r="871" spans="1:29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</row>
    <row r="872" spans="1:29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</row>
    <row r="873" spans="1:29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</row>
    <row r="874" spans="1:29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</row>
    <row r="875" spans="1:29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</row>
    <row r="876" spans="1:29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</row>
    <row r="877" spans="1:29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</row>
    <row r="878" spans="1:29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</row>
    <row r="879" spans="1:29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</row>
    <row r="880" spans="1:29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</row>
    <row r="881" spans="1:29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</row>
    <row r="882" spans="1:29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</row>
    <row r="883" spans="1:29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</row>
    <row r="884" spans="1:29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</row>
    <row r="885" spans="1:29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</row>
    <row r="886" spans="1:29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</row>
    <row r="887" spans="1:29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</row>
    <row r="888" spans="1:29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</row>
    <row r="889" spans="1:29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</row>
    <row r="890" spans="1:29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</row>
    <row r="891" spans="1:29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</row>
    <row r="892" spans="1:29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</row>
    <row r="893" spans="1:29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</row>
    <row r="894" spans="1:29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</row>
    <row r="895" spans="1:29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</row>
    <row r="896" spans="1:29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</row>
    <row r="897" spans="1:29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</row>
    <row r="898" spans="1:29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</row>
    <row r="899" spans="1:29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</row>
    <row r="900" spans="1:29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</row>
    <row r="901" spans="1:29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</row>
    <row r="902" spans="1:29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</row>
    <row r="903" spans="1:29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</row>
    <row r="904" spans="1:29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</row>
    <row r="905" spans="1:29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</row>
    <row r="906" spans="1:29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</row>
    <row r="907" spans="1:29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</row>
    <row r="908" spans="1:29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</row>
    <row r="909" spans="1:29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</row>
    <row r="910" spans="1:29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</row>
    <row r="911" spans="1:29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</row>
    <row r="912" spans="1:29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</row>
    <row r="913" spans="1:29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</row>
    <row r="914" spans="1:29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</row>
    <row r="915" spans="1:29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</row>
    <row r="916" spans="1:29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</row>
    <row r="917" spans="1:29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</row>
    <row r="918" spans="1:29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</row>
    <row r="919" spans="1:29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</row>
    <row r="920" spans="1:29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</row>
    <row r="921" spans="1:29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</row>
    <row r="922" spans="1:29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</row>
    <row r="923" spans="1:29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</row>
    <row r="924" spans="1:29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</row>
    <row r="925" spans="1:29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</row>
    <row r="926" spans="1:29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</row>
    <row r="927" spans="1:29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</row>
    <row r="928" spans="1:29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</row>
    <row r="929" spans="1:29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</row>
    <row r="930" spans="1:29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</row>
    <row r="931" spans="1:29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</row>
    <row r="932" spans="1:29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</row>
    <row r="933" spans="1:29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</row>
    <row r="934" spans="1:29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</row>
    <row r="935" spans="1:29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</row>
    <row r="936" spans="1:29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</row>
    <row r="937" spans="1:29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</row>
    <row r="938" spans="1:29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</row>
    <row r="939" spans="1:29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</row>
    <row r="940" spans="1:29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</row>
    <row r="941" spans="1:29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</row>
    <row r="942" spans="1:29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</row>
    <row r="943" spans="1:29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</row>
    <row r="944" spans="1:29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</row>
    <row r="945" spans="1:29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</row>
    <row r="946" spans="1:29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</row>
    <row r="947" spans="1:29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</row>
    <row r="948" spans="1:29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</row>
    <row r="949" spans="1:29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</row>
    <row r="950" spans="1:29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</row>
    <row r="951" spans="1:29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</row>
    <row r="952" spans="1:29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</row>
    <row r="953" spans="1:29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</row>
    <row r="954" spans="1:29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</row>
    <row r="955" spans="1:29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</row>
    <row r="956" spans="1:29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</row>
    <row r="957" spans="1:29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</row>
    <row r="958" spans="1:29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</row>
    <row r="959" spans="1:29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</row>
    <row r="960" spans="1:29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</row>
    <row r="961" spans="1:29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</row>
    <row r="962" spans="1:29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</row>
    <row r="963" spans="1:29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</row>
    <row r="964" spans="1:29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</row>
    <row r="965" spans="1:29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</row>
    <row r="966" spans="1:29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</row>
    <row r="967" spans="1:29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</row>
    <row r="968" spans="1:29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</row>
    <row r="969" spans="1:29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</row>
    <row r="970" spans="1:29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</row>
    <row r="971" spans="1:29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</row>
    <row r="972" spans="1:29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</row>
    <row r="973" spans="1:29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</row>
    <row r="974" spans="1:29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</row>
    <row r="975" spans="1:29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</row>
    <row r="976" spans="1:29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</row>
    <row r="977" spans="1:29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</row>
    <row r="978" spans="1:29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</row>
    <row r="979" spans="1:29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</row>
    <row r="980" spans="1:29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</row>
    <row r="981" spans="1:29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</row>
    <row r="982" spans="1:29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</row>
    <row r="983" spans="1:29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</row>
    <row r="984" spans="1:29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</row>
    <row r="985" spans="1:29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</row>
    <row r="986" spans="1:29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</row>
    <row r="987" spans="1:29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</row>
    <row r="988" spans="1:29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</row>
    <row r="989" spans="1:29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</row>
    <row r="990" spans="1:29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</row>
    <row r="991" spans="1:29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</row>
    <row r="992" spans="1:29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</row>
    <row r="993" spans="1:29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</row>
    <row r="994" spans="1:29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</row>
    <row r="995" spans="1:29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</row>
    <row r="996" spans="1:29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</row>
    <row r="997" spans="1:29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</row>
    <row r="998" spans="1:29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</row>
    <row r="999" spans="1:29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</row>
    <row r="1000" spans="1:29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</row>
    <row r="1001" spans="1:29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</row>
    <row r="1002" spans="1:29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</row>
    <row r="1003" spans="1:29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</row>
    <row r="1004" spans="1:29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</row>
  </sheetData>
  <mergeCells count="2">
    <mergeCell ref="D49:F49"/>
    <mergeCell ref="D58:F58"/>
  </mergeCells>
  <hyperlinks>
    <hyperlink ref="D12" r:id="rId1"/>
    <hyperlink ref="D13" r:id="rId2"/>
    <hyperlink ref="D14" r:id="rId3"/>
    <hyperlink ref="D15" r:id="rId4"/>
    <hyperlink ref="D17" r:id="rId5"/>
    <hyperlink ref="D18" r:id="rId6"/>
    <hyperlink ref="D19" r:id="rId7"/>
    <hyperlink ref="D20" r:id="rId8"/>
    <hyperlink ref="D21" r:id="rId9"/>
    <hyperlink ref="D27" r:id="rId10"/>
    <hyperlink ref="D28" r:id="rId11"/>
    <hyperlink ref="D38" r:id="rId12"/>
    <hyperlink ref="D45" r:id="rId13"/>
    <hyperlink ref="D69" r:id="rId14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165" t="s">
        <v>7</v>
      </c>
      <c r="H1" s="1" t="s">
        <v>6</v>
      </c>
      <c r="I1" s="1" t="s">
        <v>8</v>
      </c>
      <c r="J1" s="1" t="s">
        <v>6</v>
      </c>
      <c r="K1" s="1" t="s">
        <v>9</v>
      </c>
      <c r="L1" s="1" t="s">
        <v>6</v>
      </c>
      <c r="M1" s="1" t="s">
        <v>10</v>
      </c>
      <c r="N1" s="1" t="s">
        <v>6</v>
      </c>
      <c r="O1" s="1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55" si="0">COUNTIF(E2:AD2,"&gt;0")</f>
        <v>0</v>
      </c>
      <c r="C2" s="8" t="e">
        <f t="shared" ref="C2:C3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3</v>
      </c>
      <c r="C4" s="8" t="e">
        <f t="shared" ref="C4:C6" si="2">SUM(F4:AD4)/B5</f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tr">
        <f>HYPERLINK("https://t2conline.com/heres-why-your-business-should-pay-attention-to-ada-compliance/","Here’s Why Your Business Should Pay Attention to ADA Compliance")</f>
        <v>Here’s Why Your Business Should Pay Attention to ADA Compliance</v>
      </c>
      <c r="F4" s="13">
        <v>70</v>
      </c>
      <c r="G4" s="158" t="str">
        <f>HYPERLINK("http://www.broowaha.com/articles/32152/5-things-american-online-businesses-should-know-about-ada-web-compliance#x5Us7lC3g55FV28O.99﻿","5 Things American Online Businesses Should Know About ADA Web Compliance")</f>
        <v>5 Things American Online Businesses Should Know About ADA Web Compliance</v>
      </c>
      <c r="H4" s="13">
        <v>60</v>
      </c>
      <c r="I4" s="30" t="str">
        <f>HYPERLINK("https://www.tgdaily.com/web/in-2019-you-need-to-make-sure-your-site-is-ada-compliant-here-are-4-reasons-why","In 2019 you need to make sure your site is ADA compliant. Here are 4 reasons why.
")</f>
        <v>In 2019 you need to make sure your site is ADA compliant. Here are 4 reasons why._x000D_</v>
      </c>
      <c r="J4" s="13">
        <v>78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>
        <f t="shared" si="2"/>
        <v>0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1</v>
      </c>
      <c r="C6" s="8" t="e">
        <f t="shared" si="2"/>
        <v>#DIV/0!</v>
      </c>
      <c r="D6" s="22" t="str">
        <f>HYPERLINK("https://www.digitalauthority.me/alexa/","Alexa dev page")</f>
        <v>Alexa dev page</v>
      </c>
      <c r="E6" s="22" t="str">
        <f>HYPERLINK("https://small-bizsense.com/how-banks-should-market-their-services-to-millennials/","How banks should market their services to Millennials
")</f>
        <v>How banks should market their services to Millennials_x000D_</v>
      </c>
      <c r="F6" s="24">
        <v>48</v>
      </c>
      <c r="G6" s="24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ref="C7:C8" si="3">SUM(F7:AD7)/B7</f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69</v>
      </c>
      <c r="B8" s="8">
        <f t="shared" si="0"/>
        <v>2</v>
      </c>
      <c r="C8" s="8">
        <f t="shared" si="3"/>
        <v>53</v>
      </c>
      <c r="D8" s="30" t="str">
        <f>HYPERLINK("https://healthcareweekly.com/astaxanthin/","15 health benefits of astaxanthin")</f>
        <v>15 health benefits of astaxanthin</v>
      </c>
      <c r="E8" s="30" t="str">
        <f>HYPERLINK("http://e-papyrus.com/astaxanthin-natural-ingredient-gives-hope-to-alzheimers-patients/","Astaxanthin – natural ingredient gives hope to Alzheimer’s patients
")</f>
        <v>Astaxanthin – natural ingredient gives hope to Alzheimer’s patients_x000D_</v>
      </c>
      <c r="F8" s="13">
        <v>35</v>
      </c>
      <c r="G8" s="30" t="str">
        <f>HYPERLINK("http://www.becomegorgeous.com/blogs/naim/astaxanthin-the-perfect-solution-to-improving-your-overall-health-P69053","Astaxanthin the Perfect Solution to Improving Your Overall Health
")</f>
        <v>Astaxanthin the Perfect Solution to Improving Your Overall Health_x000D_</v>
      </c>
      <c r="H8" s="13">
        <v>71</v>
      </c>
      <c r="I8" s="12"/>
      <c r="J8" s="13"/>
      <c r="K8" s="12"/>
      <c r="L8" s="13"/>
      <c r="M8" s="12"/>
      <c r="N8" s="13"/>
      <c r="O8" s="12"/>
      <c r="P8" s="13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70</v>
      </c>
      <c r="B9" s="8">
        <f t="shared" si="0"/>
        <v>0</v>
      </c>
      <c r="C9" s="8" t="e">
        <f>SUM(F9:AD9)/B10</f>
        <v>#DIV/0!</v>
      </c>
      <c r="D9" s="11" t="str">
        <f>HYPERLINK("https://www.digitalauthority.me/resources/b2b-marketing/","How to Jumpstart Your B2B Marketing Strategy in 2019")</f>
        <v>How to Jumpstart Your B2B Marketing Strategy in 2019</v>
      </c>
      <c r="E9" s="37"/>
      <c r="F9" s="38"/>
      <c r="G9" s="2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73</v>
      </c>
      <c r="B10" s="8">
        <f t="shared" si="0"/>
        <v>0</v>
      </c>
      <c r="C10" s="8" t="e">
        <f t="shared" ref="C10:C16" si="4">SUM(F10:AD10)/B10</f>
        <v>#DIV/0!</v>
      </c>
      <c r="D10" s="30" t="str">
        <f>HYPERLINK("https://healthcareweekly.com/blockchain-in-healthcare/","7 Applications of Blockchain in Healthcare
")</f>
        <v>7 Applications of Blockchain in Healthcare_x000D_</v>
      </c>
      <c r="E10" s="28"/>
      <c r="F10" s="26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75</v>
      </c>
      <c r="B11" s="8">
        <f t="shared" si="0"/>
        <v>0</v>
      </c>
      <c r="C11" s="8" t="e">
        <f t="shared" si="4"/>
        <v>#DIV/0!</v>
      </c>
      <c r="D11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76</v>
      </c>
      <c r="B12" s="8">
        <f t="shared" si="0"/>
        <v>0</v>
      </c>
      <c r="C12" s="8" t="e">
        <f t="shared" si="4"/>
        <v>#DIV/0!</v>
      </c>
      <c r="D12" s="21" t="s">
        <v>77</v>
      </c>
      <c r="E12" s="12"/>
      <c r="F12" s="13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78</v>
      </c>
      <c r="B13" s="8">
        <f t="shared" si="0"/>
        <v>0</v>
      </c>
      <c r="C13" s="8" t="e">
        <f t="shared" si="4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79</v>
      </c>
      <c r="B14" s="8">
        <f t="shared" si="0"/>
        <v>0</v>
      </c>
      <c r="C14" s="8" t="e">
        <f t="shared" si="4"/>
        <v>#DIV/0!</v>
      </c>
      <c r="D14" s="21" t="s">
        <v>77</v>
      </c>
      <c r="E14" s="33"/>
      <c r="F14" s="34"/>
      <c r="G14" s="12"/>
      <c r="H14" s="13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26" t="s">
        <v>80</v>
      </c>
      <c r="B15" s="8">
        <f t="shared" si="0"/>
        <v>0</v>
      </c>
      <c r="C15" s="8" t="e">
        <f t="shared" si="4"/>
        <v>#DIV/0!</v>
      </c>
      <c r="D15" s="35" t="s">
        <v>77</v>
      </c>
      <c r="E15" s="12"/>
      <c r="F15" s="13"/>
      <c r="G15" s="28"/>
      <c r="H15" s="26"/>
      <c r="I15" s="28"/>
      <c r="J15" s="26"/>
      <c r="K15" s="28"/>
      <c r="L15" s="26"/>
      <c r="M15" s="12"/>
      <c r="N15" s="13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74</v>
      </c>
      <c r="B16" s="8">
        <f t="shared" si="0"/>
        <v>0</v>
      </c>
      <c r="C16" s="8" t="e">
        <f t="shared" si="4"/>
        <v>#DIV/0!</v>
      </c>
      <c r="D16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6" s="28"/>
      <c r="F16" s="26"/>
      <c r="G16" s="28"/>
      <c r="H16" s="26"/>
      <c r="I16" s="12"/>
      <c r="J16" s="13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13"/>
      <c r="AA16" s="8"/>
      <c r="AB16" s="8"/>
      <c r="AC16" s="8"/>
      <c r="AD16" s="8"/>
    </row>
    <row r="17" spans="1:30" ht="15.75" customHeight="1">
      <c r="A17" s="3" t="s">
        <v>81</v>
      </c>
      <c r="B17" s="8">
        <f t="shared" si="0"/>
        <v>0</v>
      </c>
      <c r="C17" s="8" t="e">
        <f t="shared" ref="C17:C18" si="5">SUM(F17:AD17)/B18</f>
        <v>#DIV/0!</v>
      </c>
      <c r="D17" s="36"/>
      <c r="E17" s="37"/>
      <c r="F17" s="38"/>
      <c r="G17" s="2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3" t="s">
        <v>82</v>
      </c>
      <c r="B18" s="8">
        <f t="shared" si="0"/>
        <v>0</v>
      </c>
      <c r="C18" s="8" t="e">
        <f t="shared" si="5"/>
        <v>#DIV/0!</v>
      </c>
      <c r="D18" s="11" t="s">
        <v>77</v>
      </c>
      <c r="E18" s="3"/>
      <c r="F18" s="3"/>
      <c r="G18" s="16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83</v>
      </c>
      <c r="B19" s="8">
        <f t="shared" si="0"/>
        <v>0</v>
      </c>
      <c r="C19" s="8" t="e">
        <f>SUM(F19:AD19)/B19</f>
        <v>#DIV/0!</v>
      </c>
      <c r="D19" s="21" t="s">
        <v>77</v>
      </c>
      <c r="E19" s="12"/>
      <c r="F19" s="13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84</v>
      </c>
      <c r="B20" s="8">
        <f t="shared" si="0"/>
        <v>0</v>
      </c>
      <c r="C20" s="8" t="e">
        <f>SUM(F20:AD20)/B21</f>
        <v>#DIV/0!</v>
      </c>
      <c r="D20" s="21" t="s">
        <v>77</v>
      </c>
      <c r="E20" s="39"/>
      <c r="F20" s="7"/>
      <c r="G20" s="40"/>
      <c r="H20" s="8"/>
      <c r="I20" s="12"/>
      <c r="J20" s="13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85</v>
      </c>
      <c r="B21" s="8">
        <f t="shared" si="0"/>
        <v>0</v>
      </c>
      <c r="C21" s="8" t="e">
        <f t="shared" ref="C21:C24" si="6">SUM(F21:AD21)/B21</f>
        <v>#DIV/0!</v>
      </c>
      <c r="D21" s="21" t="s">
        <v>77</v>
      </c>
      <c r="E21" s="41"/>
      <c r="F21" s="42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86</v>
      </c>
      <c r="B22" s="8">
        <f t="shared" si="0"/>
        <v>0</v>
      </c>
      <c r="C22" s="8" t="e">
        <f t="shared" si="6"/>
        <v>#DIV/0!</v>
      </c>
      <c r="D22" s="21" t="s">
        <v>77</v>
      </c>
      <c r="E22" s="12"/>
      <c r="F22" s="13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2" t="s">
        <v>87</v>
      </c>
      <c r="B23" s="8">
        <f t="shared" si="0"/>
        <v>0</v>
      </c>
      <c r="C23" s="8" t="e">
        <f t="shared" si="6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>
      <c r="A24" s="26" t="s">
        <v>88</v>
      </c>
      <c r="B24" s="8">
        <f t="shared" si="0"/>
        <v>0</v>
      </c>
      <c r="C24" s="8" t="e">
        <f t="shared" si="6"/>
        <v>#DIV/0!</v>
      </c>
      <c r="D24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4" s="28"/>
      <c r="F24" s="26"/>
      <c r="G24" s="44"/>
      <c r="H24" s="24"/>
      <c r="I24" s="29"/>
      <c r="J24" s="29"/>
      <c r="K24" s="29"/>
      <c r="L24" s="29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89</v>
      </c>
      <c r="B25" s="8">
        <f t="shared" si="0"/>
        <v>0</v>
      </c>
      <c r="C25" s="8"/>
      <c r="D25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5" s="28"/>
      <c r="F25" s="26"/>
      <c r="G25" s="29"/>
      <c r="H25" s="29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3" t="s">
        <v>90</v>
      </c>
      <c r="B26" s="8">
        <f t="shared" si="0"/>
        <v>0</v>
      </c>
      <c r="C26" s="8" t="e">
        <f t="shared" ref="C26:C39" si="7">SUM(F26:AD26)/B26</f>
        <v>#DIV/0!</v>
      </c>
      <c r="D26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6" s="33"/>
      <c r="F26" s="34"/>
      <c r="G26" s="12"/>
      <c r="H26" s="13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59</v>
      </c>
      <c r="B27" s="8">
        <f t="shared" si="0"/>
        <v>0</v>
      </c>
      <c r="C27" s="8" t="e">
        <f t="shared" si="7"/>
        <v>#DIV/0!</v>
      </c>
      <c r="D27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7" s="33"/>
      <c r="F27" s="34"/>
      <c r="G27" s="12"/>
      <c r="H27" s="13"/>
      <c r="I27" s="12"/>
      <c r="J27" s="13"/>
      <c r="K27" s="12"/>
      <c r="L27" s="13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26" t="s">
        <v>91</v>
      </c>
      <c r="B28" s="8">
        <f t="shared" si="0"/>
        <v>1</v>
      </c>
      <c r="C28" s="8">
        <f t="shared" si="7"/>
        <v>67</v>
      </c>
      <c r="D28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8" s="22" t="str">
        <f>HYPERLINK("http://spacecoastdaily.com/2019/01/six-cool-health-technologies-you-didnt-know-exists-in-2019/","Six Cool Health Technologies You Didn’t Know Exists in 2019
")</f>
        <v>Six Cool Health Technologies You Didn’t Know Exists in 2019_x000D__x000D_</v>
      </c>
      <c r="F28" s="24">
        <v>67</v>
      </c>
      <c r="G28" s="12"/>
      <c r="H28" s="13"/>
      <c r="I28" s="28"/>
      <c r="J28" s="26"/>
      <c r="K28" s="167"/>
      <c r="L28" s="45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92</v>
      </c>
      <c r="B29" s="8">
        <f t="shared" si="0"/>
        <v>1</v>
      </c>
      <c r="C29" s="8">
        <f t="shared" si="7"/>
        <v>32</v>
      </c>
      <c r="D29" s="21" t="s">
        <v>77</v>
      </c>
      <c r="E29" s="27" t="str">
        <f>HYPERLINK("http://www.bakenstein.com/quick-tips-d%D0%BE%D1%81t%D0%BEr%D1%95-to-improve-their-%D0%BEnlin%D0%B5-r%D0%B5%D1%80ut%D0%B0ti%D0%BEn.html","Quick tips for Dосtоrѕ To Improve their Оnlinе Rерutаtiоn
")</f>
        <v>Quick tips for Dосtоrѕ To Improve their Оnlinе Rерutаtiоn_x000D_</v>
      </c>
      <c r="F29" s="26">
        <v>32</v>
      </c>
      <c r="G29" s="12"/>
      <c r="H29" s="13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93</v>
      </c>
      <c r="B30" s="8">
        <f t="shared" si="0"/>
        <v>0</v>
      </c>
      <c r="C30" s="8" t="e">
        <f t="shared" si="7"/>
        <v>#DIV/0!</v>
      </c>
      <c r="D30" s="30" t="s">
        <v>77</v>
      </c>
      <c r="E30" s="28"/>
      <c r="F30" s="26"/>
      <c r="G30" s="12"/>
      <c r="H30" s="13"/>
      <c r="I30" s="12"/>
      <c r="J30" s="13"/>
      <c r="K30" s="12"/>
      <c r="L30" s="13"/>
      <c r="M30" s="12"/>
      <c r="N30" s="13"/>
      <c r="O30" s="23"/>
      <c r="P30" s="24"/>
      <c r="Q30" s="12"/>
      <c r="R30" s="13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2" t="s">
        <v>94</v>
      </c>
      <c r="B31" s="8">
        <f t="shared" si="0"/>
        <v>1</v>
      </c>
      <c r="C31" s="8">
        <f t="shared" si="7"/>
        <v>62</v>
      </c>
      <c r="D31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1" s="30" t="str">
        <f>HYPERLINK("https://codetorank.com/best-social-media-tips-for-healthcare-organizations-in-2019/","Best Social Media Tips For Healthcare Organizations in 2019
")</f>
        <v>Best Social Media Tips For Healthcare Organizations in 2019_x000D_</v>
      </c>
      <c r="F31" s="13">
        <v>62</v>
      </c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95</v>
      </c>
      <c r="B32" s="8">
        <f t="shared" si="0"/>
        <v>1</v>
      </c>
      <c r="C32" s="8">
        <f t="shared" si="7"/>
        <v>35</v>
      </c>
      <c r="D32" s="8"/>
      <c r="E32" s="30" t="str">
        <f>HYPERLINK("http://e-papyrus.com/astaxanthin-natural-ingredient-gives-hope-to-alzheimers-patients/","Astaxanthin – natural ingredient gives hope to Alzheimer’s patients
")</f>
        <v>Astaxanthin – natural ingredient gives hope to Alzheimer’s patients_x000D_</v>
      </c>
      <c r="F32" s="13">
        <v>35</v>
      </c>
      <c r="G32" s="12"/>
      <c r="H32" s="13"/>
      <c r="I32" s="28"/>
      <c r="J32" s="26"/>
      <c r="K32" s="23"/>
      <c r="L32" s="24"/>
      <c r="M32" s="12"/>
      <c r="N32" s="13"/>
      <c r="O32" s="46"/>
      <c r="P32" s="47"/>
      <c r="Q32" s="28"/>
      <c r="R32" s="26"/>
      <c r="S32" s="12"/>
      <c r="T32" s="13"/>
      <c r="U32" s="12"/>
      <c r="V32" s="13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26" t="s">
        <v>101</v>
      </c>
      <c r="B33" s="8">
        <f t="shared" si="0"/>
        <v>0</v>
      </c>
      <c r="C33" s="8" t="e">
        <f t="shared" si="7"/>
        <v>#DIV/0!</v>
      </c>
      <c r="D33" s="27" t="str">
        <f>HYPERLINK("https://healthcareweekly.com/healthcare-startup-fails/","Most Common Health Startup Mistakes – and How to Fix Them
")</f>
        <v>Most Common Health Startup Mistakes – and How to Fix Them_x000D_</v>
      </c>
      <c r="E33" s="28"/>
      <c r="F33" s="26"/>
      <c r="G33" s="28"/>
      <c r="H33" s="26"/>
      <c r="I33" s="12"/>
      <c r="J33" s="13"/>
      <c r="K33" s="29"/>
      <c r="L33" s="29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26" t="s">
        <v>102</v>
      </c>
      <c r="B34" s="8">
        <f t="shared" si="0"/>
        <v>0</v>
      </c>
      <c r="C34" s="8" t="e">
        <f t="shared" si="7"/>
        <v>#DIV/0!</v>
      </c>
      <c r="D34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4" s="28"/>
      <c r="F34" s="26"/>
      <c r="G34" s="44"/>
      <c r="H34" s="24"/>
      <c r="I34" s="28"/>
      <c r="J34" s="26"/>
      <c r="K34" s="52"/>
      <c r="L34" s="53"/>
      <c r="M34" s="28"/>
      <c r="N34" s="26"/>
      <c r="O34" s="12"/>
      <c r="P34" s="13"/>
      <c r="Q34" s="12"/>
      <c r="R34" s="13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26" t="s">
        <v>103</v>
      </c>
      <c r="B35" s="8">
        <f t="shared" si="0"/>
        <v>0</v>
      </c>
      <c r="C35" s="8" t="e">
        <f t="shared" si="7"/>
        <v>#DIV/0!</v>
      </c>
      <c r="D35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5" s="28"/>
      <c r="F35" s="26"/>
      <c r="G35" s="44"/>
      <c r="H35" s="24"/>
      <c r="I35" s="28"/>
      <c r="J35" s="26"/>
      <c r="K35" s="12"/>
      <c r="L35" s="13"/>
      <c r="M35" s="12"/>
      <c r="N35" s="13"/>
      <c r="O35" s="13"/>
      <c r="P35" s="13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" t="s">
        <v>108</v>
      </c>
      <c r="B36" s="8">
        <f t="shared" si="0"/>
        <v>0</v>
      </c>
      <c r="C36" s="8" t="e">
        <f t="shared" si="7"/>
        <v>#DIV/0!</v>
      </c>
      <c r="D36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6" s="12"/>
      <c r="F36" s="13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3" t="s">
        <v>109</v>
      </c>
      <c r="B37" s="8">
        <f t="shared" si="0"/>
        <v>1</v>
      </c>
      <c r="C37" s="8">
        <f t="shared" si="7"/>
        <v>48</v>
      </c>
      <c r="D37" s="30" t="str">
        <f t="shared" ref="D37:D39" si="8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37" s="22" t="str">
        <f>HYPERLINK("https://small-bizsense.com/how-banks-should-market-their-services-to-millennials/","How banks should market their services to Millennials
")</f>
        <v>How banks should market their services to Millennials_x000D_</v>
      </c>
      <c r="F37" s="24">
        <v>48</v>
      </c>
      <c r="G37" s="12"/>
      <c r="H37" s="13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3" t="s">
        <v>112</v>
      </c>
      <c r="B38" s="8">
        <f t="shared" si="0"/>
        <v>0</v>
      </c>
      <c r="C38" s="8" t="e">
        <f t="shared" si="7"/>
        <v>#DIV/0!</v>
      </c>
      <c r="D38" s="30" t="str">
        <f t="shared" si="8"/>
        <v>5 Key Strategies for Your Financial Product Marketing Initiatives in 2019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" t="s">
        <v>113</v>
      </c>
      <c r="B39" s="8">
        <f t="shared" si="0"/>
        <v>0</v>
      </c>
      <c r="C39" s="8" t="e">
        <f t="shared" si="7"/>
        <v>#DIV/0!</v>
      </c>
      <c r="D39" s="30" t="str">
        <f t="shared" si="8"/>
        <v>5 Key Strategies for Your Financial Product Marketing Initiatives in 2019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13" t="s">
        <v>115</v>
      </c>
      <c r="B40" s="8">
        <f t="shared" si="0"/>
        <v>0</v>
      </c>
      <c r="C40" s="8" t="e">
        <f>SUM(F40:AD40)/B41</f>
        <v>#DIV/0!</v>
      </c>
      <c r="D40" s="21" t="s">
        <v>77</v>
      </c>
      <c r="E40" s="28"/>
      <c r="F40" s="26"/>
      <c r="G40" s="57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12" t="s">
        <v>119</v>
      </c>
      <c r="B41" s="8">
        <f t="shared" si="0"/>
        <v>0</v>
      </c>
      <c r="C41" s="8" t="e">
        <f t="shared" ref="C41:C45" si="9">SUM(F41:AD41)/B41</f>
        <v>#DIV/0!</v>
      </c>
      <c r="D4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1" s="12"/>
      <c r="F41" s="13"/>
      <c r="G41" s="12"/>
      <c r="H41" s="13"/>
      <c r="I41" s="12"/>
      <c r="J41" s="13"/>
      <c r="K41" s="12"/>
      <c r="L41" s="1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122</v>
      </c>
      <c r="B42" s="8">
        <f t="shared" si="0"/>
        <v>3</v>
      </c>
      <c r="C42" s="8">
        <f t="shared" si="9"/>
        <v>34.666666666666664</v>
      </c>
      <c r="D42" s="59" t="str">
        <f t="shared" ref="D42:D43" si="10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2" s="30" t="str">
        <f>HYPERLINK("http://soft2share.com/4-things-d%D0%BE%D1%81t%D0%BEr%D1%95-can-do-to-im%D1%80r%D0%BEv%D0%B5-their-online-r%D0%B5%D1%80ut%D0%B0ti%D0%BEn-in-their-free-time/","4 Things Dосtоrѕ Can Do to Imрrоvе their Online Rерutаtiоn in their Free time
")</f>
        <v>4 Things Dосtоrѕ Can Do to Imрrоvе their Online Rерutаtiоn in their Free time_x000D_</v>
      </c>
      <c r="F42" s="13">
        <v>36</v>
      </c>
      <c r="G42" s="27" t="str">
        <f>HYPERLINK("http://soft2share.com/4-things-d%D0%BE%D1%81t%D0%BEr%D1%95-can-do-to-im%D1%80r%D0%BEv%D0%B5-their-online-r%D0%B5%D1%80ut%D0%B0ti%D0%BEn-in-their-free-time/","4 Quick Strategies Dосtоrѕ Can Use to Imрrоvе Their Оnlіnе Reputation
")</f>
        <v>4 Quick Strategies Dосtоrѕ Can Use to Imрrоvе Their Оnlіnе Reputation_x000D_</v>
      </c>
      <c r="H42" s="26">
        <v>36</v>
      </c>
      <c r="I42" s="27" t="str">
        <f>HYPERLINK("http://www.bakenstein.com/quick-tips-d%D0%BE%D1%81t%D0%BEr%D1%95-to-improve-their-%D0%BEnlin%D0%B5-r%D0%B5%D1%80ut%D0%B0ti%D0%BEn.html","Quick tips for Dосtоrѕ To Improve their Оnlinе Rерutаtiоn
")</f>
        <v>Quick tips for Dосtоrѕ To Improve their Оnlinе Rерutаtiоn_x000D_</v>
      </c>
      <c r="J42" s="26">
        <v>32</v>
      </c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123</v>
      </c>
      <c r="B43" s="8">
        <f t="shared" si="0"/>
        <v>0</v>
      </c>
      <c r="C43" s="8" t="e">
        <f t="shared" si="9"/>
        <v>#DIV/0!</v>
      </c>
      <c r="D43" s="54" t="str">
        <f t="shared" si="10"/>
        <v xml:space="preserve">11 online reputation management techniques for doctors (the definitive guide)
</v>
      </c>
      <c r="E43" s="28"/>
      <c r="F43" s="26"/>
      <c r="G43" s="28"/>
      <c r="H43" s="26"/>
      <c r="I43" s="28"/>
      <c r="J43" s="26"/>
      <c r="K43" s="29"/>
      <c r="L43" s="29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10" t="s">
        <v>128</v>
      </c>
      <c r="B44" s="8">
        <f t="shared" si="0"/>
        <v>0</v>
      </c>
      <c r="C44" s="8" t="e">
        <f t="shared" si="9"/>
        <v>#DIV/0!</v>
      </c>
      <c r="D4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4" s="10"/>
      <c r="F44" s="13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129</v>
      </c>
      <c r="B45" s="8">
        <f t="shared" si="0"/>
        <v>0</v>
      </c>
      <c r="C45" s="8" t="e">
        <f t="shared" si="9"/>
        <v>#DIV/0!</v>
      </c>
      <c r="D4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45" s="28"/>
      <c r="F45" s="26"/>
      <c r="G45" s="12"/>
      <c r="H45" s="13"/>
      <c r="I45" s="12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130</v>
      </c>
      <c r="B46" s="8">
        <f t="shared" si="0"/>
        <v>3</v>
      </c>
      <c r="C46" s="8" t="e">
        <f t="shared" ref="C46:C50" si="11">SUM(F46:AD46)/B47</f>
        <v>#DIV/0!</v>
      </c>
      <c r="D46" s="30" t="str">
        <f>HYPERLINK("https://www.digitalauthority.me/web-analytics-services-chicago/","Web Analytics Services page")</f>
        <v>Web Analytics Services page</v>
      </c>
      <c r="E46" s="30" t="str">
        <f>HYPERLINK("https://www.independent.mk/3-ways-businesses-can-use-data-analytics-to-convert-online-customers/","3 Ways Businesses Can Use Data Analytics to Convert Online Customers")</f>
        <v>3 Ways Businesses Can Use Data Analytics to Convert Online Customers</v>
      </c>
      <c r="F46" s="13">
        <v>42</v>
      </c>
      <c r="G46" s="30" t="str">
        <f>HYPERLINK("https://sli.mg/using-web-analytics-to-improve-the-university-digital-experience/","Using Web Analytics to Improve the University Digital Experience
")</f>
        <v>Using Web Analytics to Improve the University Digital Experience_x000D_</v>
      </c>
      <c r="H46" s="13">
        <v>47</v>
      </c>
      <c r="I46" s="30" t="str">
        <f>HYPERLINK("https://techmoran.com/2019/01/04/5-analytics-kpis-every-online-business-should-pay-attention-to-in-2019/","5 analytics KPIs every online business should pay attention to in 2019")</f>
        <v>5 analytics KPIs every online business should pay attention to in 2019</v>
      </c>
      <c r="J46" s="13">
        <v>59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3" t="s">
        <v>131</v>
      </c>
      <c r="B47" s="8">
        <f t="shared" si="0"/>
        <v>0</v>
      </c>
      <c r="C47" s="8" t="e">
        <f t="shared" si="11"/>
        <v>#DIV/0!</v>
      </c>
      <c r="D47" s="21" t="s">
        <v>132</v>
      </c>
      <c r="E47" s="46"/>
      <c r="F47" s="4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8"/>
      <c r="B48" s="8">
        <f t="shared" si="0"/>
        <v>0</v>
      </c>
      <c r="C48" s="8" t="e">
        <f t="shared" si="11"/>
        <v>#DIV/0!</v>
      </c>
      <c r="D48" s="36"/>
      <c r="E48" s="37"/>
      <c r="F48" s="38"/>
      <c r="G48" s="2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>
      <c r="A49" s="8"/>
      <c r="B49" s="8">
        <f t="shared" si="0"/>
        <v>0</v>
      </c>
      <c r="C49" s="8" t="e">
        <f t="shared" si="11"/>
        <v>#DIV/0!</v>
      </c>
      <c r="D49" s="195"/>
      <c r="E49" s="185"/>
      <c r="F49" s="185"/>
      <c r="G49" s="18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8">
        <f t="shared" si="0"/>
        <v>0</v>
      </c>
      <c r="C50" s="8" t="e">
        <f t="shared" si="11"/>
        <v>#DIV/0!</v>
      </c>
      <c r="D50" s="128"/>
      <c r="E50" s="31"/>
      <c r="F50" s="24"/>
      <c r="G50" s="2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>
        <f t="shared" si="0"/>
        <v>0</v>
      </c>
      <c r="C51" s="37"/>
      <c r="D51" s="10"/>
      <c r="E51" s="3"/>
      <c r="F51" s="3"/>
      <c r="G51" s="2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>
        <f t="shared" si="0"/>
        <v>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>
        <f t="shared" si="0"/>
        <v>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>
        <f t="shared" si="0"/>
        <v>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>
        <f t="shared" si="0"/>
        <v>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mergeCells count="1">
    <mergeCell ref="D49:G49"/>
  </mergeCells>
  <hyperlinks>
    <hyperlink ref="D12" r:id="rId1"/>
    <hyperlink ref="D13" r:id="rId2"/>
    <hyperlink ref="D14" r:id="rId3"/>
    <hyperlink ref="D15" r:id="rId4"/>
    <hyperlink ref="D18" r:id="rId5"/>
    <hyperlink ref="D19" r:id="rId6"/>
    <hyperlink ref="D20" r:id="rId7"/>
    <hyperlink ref="D21" r:id="rId8"/>
    <hyperlink ref="D22" r:id="rId9"/>
    <hyperlink ref="D23" r:id="rId10"/>
    <hyperlink ref="D29" r:id="rId11"/>
    <hyperlink ref="D30" r:id="rId12"/>
    <hyperlink ref="D40" r:id="rId13"/>
    <hyperlink ref="D47" r:id="rId14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47" si="0">COUNTIF(E2:AD2,"&gt;0")</f>
        <v>0</v>
      </c>
      <c r="C2" s="8" t="e">
        <f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>
        <f t="shared" ref="C3:C6" si="1">SUM(F3:AD3)/B4</f>
        <v>0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1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955</v>
      </c>
      <c r="F4" s="13">
        <v>46</v>
      </c>
      <c r="G4" s="19"/>
      <c r="H4" s="13"/>
      <c r="I4" s="12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>
        <f t="shared" si="1"/>
        <v>0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2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2" t="str">
        <f>HYPERLINK("https://www.itsguru.com/five-reasons-why-business-should-build-an-alexa-skill-in-2019/","Five reasons why your business should build an Alexa skill in 2019
")</f>
        <v>Five reasons why your business should build an Alexa skill in 2019_x000D_</v>
      </c>
      <c r="F6" s="24">
        <v>54</v>
      </c>
      <c r="G6" s="172" t="str">
        <f>HYPERLINK("https://www.meetrv.com/why-ecommerce-companies-consider-building-alexa-skill/","5 Reasons Why E-commerce Companies Should Consider Building Alexa Skill")</f>
        <v>5 Reasons Why E-commerce Companies Should Consider Building Alexa Skill</v>
      </c>
      <c r="H6" s="13">
        <v>40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ref="C7:C8" si="2">SUM(F7:AD7)/B7</f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69</v>
      </c>
      <c r="B8" s="8">
        <f t="shared" si="0"/>
        <v>0</v>
      </c>
      <c r="C8" s="8" t="e">
        <f t="shared" si="2"/>
        <v>#DIV/0!</v>
      </c>
      <c r="D8" s="30" t="str">
        <f>HYPERLINK("https://healthcareweekly.com/astaxanthin/","15 health benefits of astaxanthin")</f>
        <v>15 health benefits of astaxanthin</v>
      </c>
      <c r="E8" s="12"/>
      <c r="F8" s="13"/>
      <c r="G8" s="12"/>
      <c r="H8" s="13"/>
      <c r="I8" s="12"/>
      <c r="J8" s="13"/>
      <c r="K8" s="12"/>
      <c r="L8" s="13"/>
      <c r="M8" s="12"/>
      <c r="N8" s="13"/>
      <c r="O8" s="12"/>
      <c r="P8" s="13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70</v>
      </c>
      <c r="B9" s="8">
        <f t="shared" si="0"/>
        <v>0</v>
      </c>
      <c r="C9" s="8" t="e">
        <f>SUM(F9:AD9)/B10</f>
        <v>#DIV/0!</v>
      </c>
      <c r="D9" s="11" t="str">
        <f>HYPERLINK("https://www.digitalauthority.me/resources/b2b-marketing/","How to Jumpstart Your B2B Marketing Strategy in 2019")</f>
        <v>How to Jumpstart Your B2B Marketing Strategy in 2019</v>
      </c>
      <c r="E9" s="37"/>
      <c r="F9" s="38"/>
      <c r="G9" s="2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73</v>
      </c>
      <c r="B10" s="8">
        <f t="shared" si="0"/>
        <v>0</v>
      </c>
      <c r="C10" s="8" t="e">
        <f t="shared" ref="C10:C16" si="3">SUM(F10:AD10)/B10</f>
        <v>#DIV/0!</v>
      </c>
      <c r="D10" s="30" t="str">
        <f>HYPERLINK("https://healthcareweekly.com/blockchain-in-healthcare/","7 Applications of Blockchain in Healthcare
")</f>
        <v>7 Applications of Blockchain in Healthcare_x000D_</v>
      </c>
      <c r="E10" s="28"/>
      <c r="F10" s="26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75</v>
      </c>
      <c r="B11" s="8">
        <f t="shared" si="0"/>
        <v>0</v>
      </c>
      <c r="C11" s="8" t="e">
        <f t="shared" si="3"/>
        <v>#DIV/0!</v>
      </c>
      <c r="D11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76</v>
      </c>
      <c r="B12" s="8">
        <f t="shared" si="0"/>
        <v>0</v>
      </c>
      <c r="C12" s="8" t="e">
        <f t="shared" si="3"/>
        <v>#DIV/0!</v>
      </c>
      <c r="D12" s="21" t="s">
        <v>77</v>
      </c>
      <c r="E12" s="12"/>
      <c r="F12" s="13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78</v>
      </c>
      <c r="B13" s="8">
        <f t="shared" si="0"/>
        <v>0</v>
      </c>
      <c r="C13" s="8" t="e">
        <f t="shared" si="3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79</v>
      </c>
      <c r="B14" s="8">
        <f t="shared" si="0"/>
        <v>1</v>
      </c>
      <c r="C14" s="8">
        <f t="shared" si="3"/>
        <v>86</v>
      </c>
      <c r="D14" s="21" t="s">
        <v>77</v>
      </c>
      <c r="E14" s="33" t="str">
        <f>HYPERLINK("https://inkhive.com/2019/01/10/6-local-seo-strategies-try-2019/","6 local SEO strategies you should try out in 2019
")</f>
        <v>6 local SEO strategies you should try out in 2019_x000D_</v>
      </c>
      <c r="F14" s="34">
        <v>86</v>
      </c>
      <c r="G14" s="12"/>
      <c r="H14" s="13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26" t="s">
        <v>80</v>
      </c>
      <c r="B15" s="8">
        <f t="shared" si="0"/>
        <v>0</v>
      </c>
      <c r="C15" s="8" t="e">
        <f t="shared" si="3"/>
        <v>#DIV/0!</v>
      </c>
      <c r="D15" s="35" t="s">
        <v>77</v>
      </c>
      <c r="E15" s="12"/>
      <c r="F15" s="13"/>
      <c r="G15" s="28"/>
      <c r="H15" s="26"/>
      <c r="I15" s="28"/>
      <c r="J15" s="26"/>
      <c r="K15" s="28"/>
      <c r="L15" s="26"/>
      <c r="M15" s="12"/>
      <c r="N15" s="13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74</v>
      </c>
      <c r="B16" s="8">
        <f t="shared" si="0"/>
        <v>0</v>
      </c>
      <c r="C16" s="8" t="e">
        <f t="shared" si="3"/>
        <v>#DIV/0!</v>
      </c>
      <c r="D16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6" s="28"/>
      <c r="F16" s="26"/>
      <c r="G16" s="28"/>
      <c r="H16" s="26"/>
      <c r="I16" s="12"/>
      <c r="J16" s="13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13"/>
      <c r="AA16" s="8"/>
      <c r="AB16" s="8"/>
      <c r="AC16" s="8"/>
      <c r="AD16" s="8"/>
    </row>
    <row r="17" spans="1:30" ht="15.75" customHeight="1">
      <c r="A17" s="3" t="s">
        <v>81</v>
      </c>
      <c r="B17" s="8">
        <f t="shared" si="0"/>
        <v>0</v>
      </c>
      <c r="C17" s="8" t="e">
        <f t="shared" ref="C17:C18" si="4">SUM(F17:AD17)/B18</f>
        <v>#DIV/0!</v>
      </c>
      <c r="D17" s="36"/>
      <c r="E17" s="37"/>
      <c r="F17" s="38"/>
      <c r="G17" s="2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3" t="s">
        <v>82</v>
      </c>
      <c r="B18" s="8">
        <f t="shared" si="0"/>
        <v>0</v>
      </c>
      <c r="C18" s="8" t="e">
        <f t="shared" si="4"/>
        <v>#DIV/0!</v>
      </c>
      <c r="D18" s="11" t="s">
        <v>77</v>
      </c>
      <c r="E18" s="3"/>
      <c r="F18" s="3"/>
      <c r="G18" s="16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83</v>
      </c>
      <c r="B19" s="8">
        <f t="shared" si="0"/>
        <v>0</v>
      </c>
      <c r="C19" s="8" t="e">
        <f>SUM(F19:AD19)/B19</f>
        <v>#DIV/0!</v>
      </c>
      <c r="D19" s="21" t="s">
        <v>77</v>
      </c>
      <c r="E19" s="12"/>
      <c r="F19" s="13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84</v>
      </c>
      <c r="B20" s="8">
        <f t="shared" si="0"/>
        <v>1</v>
      </c>
      <c r="C20" s="8" t="e">
        <f>SUM(F20:AD20)/B21</f>
        <v>#DIV/0!</v>
      </c>
      <c r="D20" s="21" t="s">
        <v>77</v>
      </c>
      <c r="E20" s="171" t="s">
        <v>949</v>
      </c>
      <c r="F20" s="7">
        <v>29</v>
      </c>
      <c r="G20" s="40"/>
      <c r="H20" s="8"/>
      <c r="I20" s="12"/>
      <c r="J20" s="13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85</v>
      </c>
      <c r="B21" s="8">
        <f t="shared" si="0"/>
        <v>0</v>
      </c>
      <c r="C21" s="8" t="e">
        <f t="shared" ref="C21:C24" si="5">SUM(F21:AD21)/B21</f>
        <v>#DIV/0!</v>
      </c>
      <c r="D21" s="21" t="s">
        <v>77</v>
      </c>
      <c r="E21" s="41"/>
      <c r="F21" s="42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86</v>
      </c>
      <c r="B22" s="8">
        <f t="shared" si="0"/>
        <v>0</v>
      </c>
      <c r="C22" s="8" t="e">
        <f t="shared" si="5"/>
        <v>#DIV/0!</v>
      </c>
      <c r="D22" s="21" t="s">
        <v>77</v>
      </c>
      <c r="E22" s="12"/>
      <c r="F22" s="13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2" t="s">
        <v>87</v>
      </c>
      <c r="B23" s="8">
        <f t="shared" si="0"/>
        <v>0</v>
      </c>
      <c r="C23" s="8" t="e">
        <f t="shared" si="5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>
      <c r="A24" s="26" t="s">
        <v>88</v>
      </c>
      <c r="B24" s="8">
        <f t="shared" si="0"/>
        <v>0</v>
      </c>
      <c r="C24" s="8" t="e">
        <f t="shared" si="5"/>
        <v>#DIV/0!</v>
      </c>
      <c r="D24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4" s="28"/>
      <c r="F24" s="26"/>
      <c r="G24" s="44"/>
      <c r="H24" s="24"/>
      <c r="I24" s="29"/>
      <c r="J24" s="29"/>
      <c r="K24" s="29"/>
      <c r="L24" s="29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89</v>
      </c>
      <c r="B25" s="8">
        <f t="shared" si="0"/>
        <v>0</v>
      </c>
      <c r="C25" s="8"/>
      <c r="D25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5" s="28"/>
      <c r="F25" s="26"/>
      <c r="G25" s="29"/>
      <c r="H25" s="29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3" t="s">
        <v>90</v>
      </c>
      <c r="B26" s="8">
        <f t="shared" si="0"/>
        <v>0</v>
      </c>
      <c r="C26" s="8" t="e">
        <f t="shared" ref="C26:C39" si="6">SUM(F26:AD26)/B26</f>
        <v>#DIV/0!</v>
      </c>
      <c r="D26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6" s="33"/>
      <c r="F26" s="34"/>
      <c r="G26" s="12"/>
      <c r="H26" s="13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59</v>
      </c>
      <c r="B27" s="8">
        <f t="shared" si="0"/>
        <v>0</v>
      </c>
      <c r="C27" s="8" t="e">
        <f t="shared" si="6"/>
        <v>#DIV/0!</v>
      </c>
      <c r="D27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7" s="33"/>
      <c r="F27" s="34"/>
      <c r="G27" s="12"/>
      <c r="H27" s="13"/>
      <c r="I27" s="12"/>
      <c r="J27" s="13"/>
      <c r="K27" s="12"/>
      <c r="L27" s="13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26" t="s">
        <v>91</v>
      </c>
      <c r="B28" s="8">
        <f t="shared" si="0"/>
        <v>1</v>
      </c>
      <c r="C28" s="8">
        <f t="shared" si="6"/>
        <v>54</v>
      </c>
      <c r="D28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8" s="22" t="s">
        <v>952</v>
      </c>
      <c r="F28" s="24">
        <v>54</v>
      </c>
      <c r="G28" s="12"/>
      <c r="H28" s="13"/>
      <c r="I28" s="28"/>
      <c r="J28" s="26"/>
      <c r="K28" s="167"/>
      <c r="L28" s="45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92</v>
      </c>
      <c r="B29" s="8">
        <f t="shared" si="0"/>
        <v>0</v>
      </c>
      <c r="C29" s="8" t="e">
        <f t="shared" si="6"/>
        <v>#DIV/0!</v>
      </c>
      <c r="D29" s="21" t="s">
        <v>77</v>
      </c>
      <c r="E29" s="28"/>
      <c r="F29" s="26"/>
      <c r="G29" s="12"/>
      <c r="H29" s="13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93</v>
      </c>
      <c r="B30" s="8">
        <f t="shared" si="0"/>
        <v>0</v>
      </c>
      <c r="C30" s="8" t="e">
        <f t="shared" si="6"/>
        <v>#DIV/0!</v>
      </c>
      <c r="D30" s="30" t="s">
        <v>77</v>
      </c>
      <c r="E30" s="28"/>
      <c r="F30" s="26"/>
      <c r="G30" s="12"/>
      <c r="H30" s="13"/>
      <c r="I30" s="12"/>
      <c r="J30" s="13"/>
      <c r="K30" s="12"/>
      <c r="L30" s="13"/>
      <c r="M30" s="12"/>
      <c r="N30" s="13"/>
      <c r="O30" s="23"/>
      <c r="P30" s="24"/>
      <c r="Q30" s="12"/>
      <c r="R30" s="13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2" t="s">
        <v>94</v>
      </c>
      <c r="B31" s="8">
        <f t="shared" si="0"/>
        <v>0</v>
      </c>
      <c r="C31" s="8" t="e">
        <f t="shared" si="6"/>
        <v>#DIV/0!</v>
      </c>
      <c r="D31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1" s="12"/>
      <c r="F31" s="13"/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95</v>
      </c>
      <c r="B32" s="8">
        <f t="shared" si="0"/>
        <v>0</v>
      </c>
      <c r="C32" s="8" t="e">
        <f t="shared" si="6"/>
        <v>#DIV/0!</v>
      </c>
      <c r="D32" s="8"/>
      <c r="E32" s="12"/>
      <c r="F32" s="13"/>
      <c r="G32" s="12"/>
      <c r="H32" s="13"/>
      <c r="I32" s="28"/>
      <c r="J32" s="26"/>
      <c r="K32" s="23"/>
      <c r="L32" s="24"/>
      <c r="M32" s="12"/>
      <c r="N32" s="13"/>
      <c r="O32" s="46"/>
      <c r="P32" s="47"/>
      <c r="Q32" s="28"/>
      <c r="R32" s="26"/>
      <c r="S32" s="12"/>
      <c r="T32" s="13"/>
      <c r="U32" s="12"/>
      <c r="V32" s="13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26" t="s">
        <v>101</v>
      </c>
      <c r="B33" s="8">
        <f t="shared" si="0"/>
        <v>0</v>
      </c>
      <c r="C33" s="8" t="e">
        <f t="shared" si="6"/>
        <v>#DIV/0!</v>
      </c>
      <c r="D33" s="27" t="str">
        <f>HYPERLINK("https://healthcareweekly.com/healthcare-startup-fails/","Most Common Health Startup Mistakes – and How to Fix Them
")</f>
        <v>Most Common Health Startup Mistakes – and How to Fix Them_x000D_</v>
      </c>
      <c r="E33" s="28"/>
      <c r="F33" s="26"/>
      <c r="G33" s="28"/>
      <c r="H33" s="26"/>
      <c r="I33" s="12"/>
      <c r="J33" s="13"/>
      <c r="K33" s="29"/>
      <c r="L33" s="29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26" t="s">
        <v>102</v>
      </c>
      <c r="B34" s="8">
        <f t="shared" si="0"/>
        <v>0</v>
      </c>
      <c r="C34" s="8" t="e">
        <f t="shared" si="6"/>
        <v>#DIV/0!</v>
      </c>
      <c r="D34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4" s="28"/>
      <c r="F34" s="26"/>
      <c r="G34" s="44"/>
      <c r="H34" s="24"/>
      <c r="I34" s="28"/>
      <c r="J34" s="26"/>
      <c r="K34" s="52"/>
      <c r="L34" s="53"/>
      <c r="M34" s="28"/>
      <c r="N34" s="26"/>
      <c r="O34" s="12"/>
      <c r="P34" s="13"/>
      <c r="Q34" s="12"/>
      <c r="R34" s="13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26" t="s">
        <v>103</v>
      </c>
      <c r="B35" s="8">
        <f t="shared" si="0"/>
        <v>1</v>
      </c>
      <c r="C35" s="8">
        <f t="shared" si="6"/>
        <v>46</v>
      </c>
      <c r="D35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5" s="27" t="s">
        <v>974</v>
      </c>
      <c r="F35" s="26">
        <v>46</v>
      </c>
      <c r="G35" s="44"/>
      <c r="H35" s="24"/>
      <c r="I35" s="28"/>
      <c r="J35" s="26"/>
      <c r="K35" s="12"/>
      <c r="L35" s="13"/>
      <c r="M35" s="12"/>
      <c r="N35" s="13"/>
      <c r="O35" s="13"/>
      <c r="P35" s="13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" t="s">
        <v>108</v>
      </c>
      <c r="B36" s="8">
        <f t="shared" si="0"/>
        <v>0</v>
      </c>
      <c r="C36" s="8" t="e">
        <f t="shared" si="6"/>
        <v>#DIV/0!</v>
      </c>
      <c r="D36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6" s="12"/>
      <c r="F36" s="13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3" t="s">
        <v>109</v>
      </c>
      <c r="B37" s="8">
        <f t="shared" si="0"/>
        <v>0</v>
      </c>
      <c r="C37" s="8" t="e">
        <f t="shared" si="6"/>
        <v>#DIV/0!</v>
      </c>
      <c r="D37" s="30" t="str">
        <f t="shared" ref="D37:D39" si="7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37" s="23"/>
      <c r="F37" s="24"/>
      <c r="G37" s="12"/>
      <c r="H37" s="13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3" t="s">
        <v>112</v>
      </c>
      <c r="B38" s="8">
        <f t="shared" si="0"/>
        <v>0</v>
      </c>
      <c r="C38" s="8" t="e">
        <f t="shared" si="6"/>
        <v>#DIV/0!</v>
      </c>
      <c r="D38" s="30" t="str">
        <f t="shared" si="7"/>
        <v>5 Key Strategies for Your Financial Product Marketing Initiatives in 2019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" t="s">
        <v>113</v>
      </c>
      <c r="B39" s="8">
        <f t="shared" si="0"/>
        <v>0</v>
      </c>
      <c r="C39" s="8" t="e">
        <f t="shared" si="6"/>
        <v>#DIV/0!</v>
      </c>
      <c r="D39" s="30" t="str">
        <f t="shared" si="7"/>
        <v>5 Key Strategies for Your Financial Product Marketing Initiatives in 2019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13" t="s">
        <v>115</v>
      </c>
      <c r="B40" s="8">
        <f t="shared" si="0"/>
        <v>0</v>
      </c>
      <c r="C40" s="8" t="e">
        <f>SUM(F40:AD40)/B41</f>
        <v>#DIV/0!</v>
      </c>
      <c r="D40" s="21" t="s">
        <v>77</v>
      </c>
      <c r="E40" s="28"/>
      <c r="F40" s="26"/>
      <c r="G40" s="57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12" t="s">
        <v>119</v>
      </c>
      <c r="B41" s="8">
        <f t="shared" si="0"/>
        <v>0</v>
      </c>
      <c r="C41" s="8" t="e">
        <f t="shared" ref="C41:C45" si="8">SUM(F41:AD41)/B41</f>
        <v>#DIV/0!</v>
      </c>
      <c r="D4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1" s="12"/>
      <c r="F41" s="13"/>
      <c r="G41" s="12"/>
      <c r="H41" s="13"/>
      <c r="I41" s="12"/>
      <c r="J41" s="13"/>
      <c r="K41" s="12"/>
      <c r="L41" s="1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122</v>
      </c>
      <c r="B42" s="8">
        <f t="shared" si="0"/>
        <v>0</v>
      </c>
      <c r="C42" s="8" t="e">
        <f t="shared" si="8"/>
        <v>#DIV/0!</v>
      </c>
      <c r="D42" s="59" t="str">
        <f t="shared" ref="D42:D43" si="9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2" s="12"/>
      <c r="F42" s="13"/>
      <c r="G42" s="28"/>
      <c r="H42" s="26"/>
      <c r="I42" s="28"/>
      <c r="J42" s="26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123</v>
      </c>
      <c r="B43" s="8">
        <f t="shared" si="0"/>
        <v>0</v>
      </c>
      <c r="C43" s="8" t="e">
        <f t="shared" si="8"/>
        <v>#DIV/0!</v>
      </c>
      <c r="D43" s="54" t="str">
        <f t="shared" si="9"/>
        <v xml:space="preserve">11 online reputation management techniques for doctors (the definitive guide)
</v>
      </c>
      <c r="E43" s="28"/>
      <c r="F43" s="26"/>
      <c r="G43" s="28"/>
      <c r="H43" s="26"/>
      <c r="I43" s="28"/>
      <c r="J43" s="26"/>
      <c r="K43" s="29"/>
      <c r="L43" s="29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10" t="s">
        <v>128</v>
      </c>
      <c r="B44" s="8">
        <f t="shared" si="0"/>
        <v>0</v>
      </c>
      <c r="C44" s="8" t="e">
        <f t="shared" si="8"/>
        <v>#DIV/0!</v>
      </c>
      <c r="D4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4" s="10"/>
      <c r="F44" s="13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129</v>
      </c>
      <c r="B45" s="8">
        <f t="shared" si="0"/>
        <v>0</v>
      </c>
      <c r="C45" s="8" t="e">
        <f t="shared" si="8"/>
        <v>#DIV/0!</v>
      </c>
      <c r="D4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45" s="28"/>
      <c r="F45" s="26"/>
      <c r="G45" s="12"/>
      <c r="H45" s="13"/>
      <c r="I45" s="12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130</v>
      </c>
      <c r="B46" s="8">
        <f t="shared" si="0"/>
        <v>0</v>
      </c>
      <c r="C46" s="8" t="e">
        <f t="shared" ref="C46:C50" si="10">SUM(F46:AD46)/B47</f>
        <v>#DIV/0!</v>
      </c>
      <c r="D46" s="30" t="str">
        <f>HYPERLINK("https://www.digitalauthority.me/web-analytics-services-chicago/","Web Analytics Services page")</f>
        <v>Web Analytics Services page</v>
      </c>
      <c r="E46" s="12"/>
      <c r="F46" s="13"/>
      <c r="G46" s="12"/>
      <c r="H46" s="13"/>
      <c r="I46" s="12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3" t="s">
        <v>131</v>
      </c>
      <c r="B47" s="8">
        <f t="shared" si="0"/>
        <v>0</v>
      </c>
      <c r="C47" s="8" t="str">
        <f t="shared" ca="1" si="10"/>
        <v>#DIV/0!</v>
      </c>
      <c r="D47" s="21" t="s">
        <v>132</v>
      </c>
      <c r="E47" s="46"/>
      <c r="F47" s="4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68</v>
      </c>
      <c r="B48" s="8">
        <f ca="1">COUNTIF(A48:AD48,"&gt;0")</f>
        <v>0</v>
      </c>
      <c r="C48" s="8" t="e">
        <f t="shared" si="10"/>
        <v>#DIV/0!</v>
      </c>
      <c r="D4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F48" s="38"/>
      <c r="G48" s="2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>
      <c r="A49" s="8"/>
      <c r="B49" s="8">
        <f t="shared" ref="B49:B55" si="11">COUNTIF(E49:AD49,"&gt;0")</f>
        <v>0</v>
      </c>
      <c r="C49" s="8" t="e">
        <f t="shared" si="10"/>
        <v>#DIV/0!</v>
      </c>
      <c r="D49" s="195"/>
      <c r="E49" s="185"/>
      <c r="F49" s="185"/>
      <c r="G49" s="18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8"/>
      <c r="B50" s="8">
        <f t="shared" si="11"/>
        <v>0</v>
      </c>
      <c r="C50" s="8" t="e">
        <f t="shared" si="10"/>
        <v>#DIV/0!</v>
      </c>
      <c r="D50" s="128"/>
      <c r="E50" s="31"/>
      <c r="F50" s="24"/>
      <c r="G50" s="2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>
        <f t="shared" si="11"/>
        <v>0</v>
      </c>
      <c r="C51" s="37"/>
      <c r="D51" s="10"/>
      <c r="E51" s="3"/>
      <c r="F51" s="3"/>
      <c r="G51" s="2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>
        <f t="shared" si="11"/>
        <v>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>
        <f t="shared" si="11"/>
        <v>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>
        <f t="shared" si="11"/>
        <v>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>
        <f t="shared" si="11"/>
        <v>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mergeCells count="1">
    <mergeCell ref="D49:G49"/>
  </mergeCells>
  <hyperlinks>
    <hyperlink ref="E4" r:id="rId1"/>
    <hyperlink ref="D12" r:id="rId2"/>
    <hyperlink ref="D13" r:id="rId3"/>
    <hyperlink ref="D14" r:id="rId4"/>
    <hyperlink ref="D15" r:id="rId5"/>
    <hyperlink ref="D18" r:id="rId6"/>
    <hyperlink ref="D19" r:id="rId7"/>
    <hyperlink ref="D20" r:id="rId8"/>
    <hyperlink ref="E20" r:id="rId9"/>
    <hyperlink ref="D21" r:id="rId10"/>
    <hyperlink ref="D22" r:id="rId11"/>
    <hyperlink ref="D23" r:id="rId12"/>
    <hyperlink ref="E28" r:id="rId13"/>
    <hyperlink ref="D29" r:id="rId14"/>
    <hyperlink ref="D30" r:id="rId15"/>
    <hyperlink ref="E35" r:id="rId16"/>
    <hyperlink ref="D40" r:id="rId17"/>
    <hyperlink ref="D47" r:id="rId1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6" si="0">COUNTIF(E2:AD2,"&gt;0")</f>
        <v>0</v>
      </c>
      <c r="C2" s="8" t="e">
        <f t="shared" ref="C2:C50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12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26" t="s">
        <v>67</v>
      </c>
      <c r="B6" s="8">
        <f t="shared" si="0"/>
        <v>0</v>
      </c>
      <c r="C6" s="8" t="e">
        <f t="shared" si="1"/>
        <v>#DIV/0!</v>
      </c>
      <c r="D6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6" s="28"/>
      <c r="F6" s="26"/>
      <c r="G6" s="29"/>
      <c r="H6" s="29"/>
      <c r="I6" s="29"/>
      <c r="J6" s="29"/>
      <c r="K6" s="29"/>
      <c r="L6" s="29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3" t="s">
        <v>68</v>
      </c>
      <c r="B7" s="8">
        <f ca="1">COUNTIF(A7:AD7,"&gt;0")</f>
        <v>0</v>
      </c>
      <c r="C7" s="8" t="str">
        <f t="shared" ca="1" si="1"/>
        <v>#DIV/0!</v>
      </c>
      <c r="D7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F7" s="38"/>
      <c r="G7" s="2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69</v>
      </c>
      <c r="B8" s="8">
        <f t="shared" ref="B8:B32" si="2">COUNTIF(E8:AD8,"&gt;0")</f>
        <v>1</v>
      </c>
      <c r="C8" s="8">
        <f t="shared" si="1"/>
        <v>32</v>
      </c>
      <c r="D8" s="30" t="str">
        <f>HYPERLINK("https://healthcareweekly.com/astaxanthin/","15 health benefits of astaxanthin")</f>
        <v>15 health benefits of astaxanthin</v>
      </c>
      <c r="E8" s="30" t="s">
        <v>1008</v>
      </c>
      <c r="F8" s="13">
        <v>32</v>
      </c>
      <c r="G8" s="12"/>
      <c r="H8" s="13"/>
      <c r="I8" s="12"/>
      <c r="J8" s="13"/>
      <c r="K8" s="12"/>
      <c r="L8" s="13"/>
      <c r="M8" s="12"/>
      <c r="N8" s="13"/>
      <c r="O8" s="12"/>
      <c r="P8" s="13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70</v>
      </c>
      <c r="B9" s="8">
        <f t="shared" si="2"/>
        <v>0</v>
      </c>
      <c r="C9" s="8" t="e">
        <f t="shared" si="1"/>
        <v>#DIV/0!</v>
      </c>
      <c r="D9" s="11" t="str">
        <f>HYPERLINK("https://www.digitalauthority.me/resources/b2b-marketing/","How to Jumpstart Your B2B Marketing Strategy in 2019")</f>
        <v>How to Jumpstart Your B2B Marketing Strategy in 2019</v>
      </c>
      <c r="E9" s="37"/>
      <c r="F9" s="38"/>
      <c r="G9" s="2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73</v>
      </c>
      <c r="B10" s="8">
        <f t="shared" si="2"/>
        <v>0</v>
      </c>
      <c r="C10" s="8" t="e">
        <f t="shared" si="1"/>
        <v>#DIV/0!</v>
      </c>
      <c r="D10" s="30" t="str">
        <f>HYPERLINK("https://healthcareweekly.com/blockchain-in-healthcare/","7 Applications of Blockchain in Healthcare
")</f>
        <v>7 Applications of Blockchain in Healthcare_x000D_</v>
      </c>
      <c r="E10" s="28"/>
      <c r="F10" s="26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75</v>
      </c>
      <c r="B11" s="8">
        <f t="shared" si="2"/>
        <v>0</v>
      </c>
      <c r="C11" s="8" t="e">
        <f t="shared" si="1"/>
        <v>#DIV/0!</v>
      </c>
      <c r="D11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76</v>
      </c>
      <c r="B12" s="8">
        <f t="shared" si="2"/>
        <v>0</v>
      </c>
      <c r="C12" s="8" t="e">
        <f t="shared" si="1"/>
        <v>#DIV/0!</v>
      </c>
      <c r="D12" s="21" t="s">
        <v>77</v>
      </c>
      <c r="E12" s="12"/>
      <c r="F12" s="13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78</v>
      </c>
      <c r="B13" s="8">
        <f t="shared" si="2"/>
        <v>0</v>
      </c>
      <c r="C13" s="8" t="e">
        <f t="shared" si="1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79</v>
      </c>
      <c r="B14" s="8">
        <f t="shared" si="2"/>
        <v>0</v>
      </c>
      <c r="C14" s="8" t="e">
        <f t="shared" si="1"/>
        <v>#DIV/0!</v>
      </c>
      <c r="D14" s="21" t="s">
        <v>77</v>
      </c>
      <c r="E14" s="33"/>
      <c r="F14" s="34"/>
      <c r="G14" s="12"/>
      <c r="H14" s="13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26" t="s">
        <v>80</v>
      </c>
      <c r="B15" s="8">
        <f t="shared" si="2"/>
        <v>0</v>
      </c>
      <c r="C15" s="8" t="e">
        <f t="shared" si="1"/>
        <v>#DIV/0!</v>
      </c>
      <c r="D15" s="35" t="s">
        <v>77</v>
      </c>
      <c r="E15" s="12"/>
      <c r="F15" s="13"/>
      <c r="G15" s="28"/>
      <c r="H15" s="26"/>
      <c r="I15" s="28"/>
      <c r="J15" s="26"/>
      <c r="K15" s="28"/>
      <c r="L15" s="26"/>
      <c r="M15" s="12"/>
      <c r="N15" s="13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74</v>
      </c>
      <c r="B16" s="8">
        <f t="shared" si="2"/>
        <v>0</v>
      </c>
      <c r="C16" s="8" t="e">
        <f t="shared" si="1"/>
        <v>#DIV/0!</v>
      </c>
      <c r="D16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6" s="28"/>
      <c r="F16" s="26"/>
      <c r="G16" s="28"/>
      <c r="H16" s="26"/>
      <c r="I16" s="12"/>
      <c r="J16" s="13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13"/>
      <c r="AA16" s="8"/>
      <c r="AB16" s="8"/>
      <c r="AC16" s="8"/>
      <c r="AD16" s="8"/>
    </row>
    <row r="17" spans="1:30" ht="15.75" customHeight="1">
      <c r="A17" s="3" t="s">
        <v>81</v>
      </c>
      <c r="B17" s="8">
        <f t="shared" si="2"/>
        <v>0</v>
      </c>
      <c r="C17" s="8" t="e">
        <f t="shared" si="1"/>
        <v>#DIV/0!</v>
      </c>
      <c r="D17" s="36"/>
      <c r="E17" s="37"/>
      <c r="F17" s="38"/>
      <c r="G17" s="2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3" t="s">
        <v>82</v>
      </c>
      <c r="B18" s="8">
        <f t="shared" si="2"/>
        <v>0</v>
      </c>
      <c r="C18" s="8" t="e">
        <f t="shared" si="1"/>
        <v>#DIV/0!</v>
      </c>
      <c r="D18" s="11" t="s">
        <v>77</v>
      </c>
      <c r="E18" s="3"/>
      <c r="F18" s="3"/>
      <c r="G18" s="16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83</v>
      </c>
      <c r="B19" s="8">
        <f t="shared" si="2"/>
        <v>0</v>
      </c>
      <c r="C19" s="8" t="e">
        <f t="shared" si="1"/>
        <v>#DIV/0!</v>
      </c>
      <c r="D19" s="21" t="s">
        <v>77</v>
      </c>
      <c r="E19" s="12"/>
      <c r="F19" s="13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84</v>
      </c>
      <c r="B20" s="8">
        <f t="shared" si="2"/>
        <v>0</v>
      </c>
      <c r="C20" s="8" t="e">
        <f t="shared" si="1"/>
        <v>#DIV/0!</v>
      </c>
      <c r="D20" s="21" t="s">
        <v>77</v>
      </c>
      <c r="E20" s="39"/>
      <c r="F20" s="7"/>
      <c r="G20" s="40"/>
      <c r="H20" s="8"/>
      <c r="I20" s="12"/>
      <c r="J20" s="13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85</v>
      </c>
      <c r="B21" s="8">
        <f t="shared" si="2"/>
        <v>0</v>
      </c>
      <c r="C21" s="8" t="e">
        <f t="shared" si="1"/>
        <v>#DIV/0!</v>
      </c>
      <c r="D21" s="21" t="s">
        <v>77</v>
      </c>
      <c r="E21" s="41"/>
      <c r="F21" s="42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86</v>
      </c>
      <c r="B22" s="8">
        <f t="shared" si="2"/>
        <v>0</v>
      </c>
      <c r="C22" s="8" t="e">
        <f t="shared" si="1"/>
        <v>#DIV/0!</v>
      </c>
      <c r="D22" s="21" t="s">
        <v>77</v>
      </c>
      <c r="E22" s="12"/>
      <c r="F22" s="13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2" t="s">
        <v>87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>
      <c r="A24" s="26" t="s">
        <v>88</v>
      </c>
      <c r="B24" s="8">
        <f t="shared" si="2"/>
        <v>2</v>
      </c>
      <c r="C24" s="8">
        <f t="shared" si="1"/>
        <v>38</v>
      </c>
      <c r="D24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4" s="27" t="s">
        <v>989</v>
      </c>
      <c r="F24" s="26">
        <v>40</v>
      </c>
      <c r="G24" s="44" t="s">
        <v>1006</v>
      </c>
      <c r="H24" s="24">
        <v>36</v>
      </c>
      <c r="I24" s="29"/>
      <c r="J24" s="29"/>
      <c r="K24" s="29"/>
      <c r="L24" s="29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89</v>
      </c>
      <c r="B25" s="8">
        <f t="shared" si="2"/>
        <v>1</v>
      </c>
      <c r="C25" s="8">
        <f t="shared" si="1"/>
        <v>77</v>
      </c>
      <c r="D25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5" s="27" t="s">
        <v>998</v>
      </c>
      <c r="F25" s="26">
        <v>77</v>
      </c>
      <c r="G25" s="29"/>
      <c r="H25" s="29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3" t="s">
        <v>90</v>
      </c>
      <c r="B26" s="8">
        <f t="shared" si="2"/>
        <v>1</v>
      </c>
      <c r="C26" s="8">
        <f t="shared" si="1"/>
        <v>56</v>
      </c>
      <c r="D26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6" s="33" t="s">
        <v>982</v>
      </c>
      <c r="F26" s="34">
        <v>56</v>
      </c>
      <c r="G26" s="12"/>
      <c r="H26" s="13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59</v>
      </c>
      <c r="B27" s="8">
        <f t="shared" si="2"/>
        <v>0</v>
      </c>
      <c r="C27" s="8" t="e">
        <f t="shared" si="1"/>
        <v>#DIV/0!</v>
      </c>
      <c r="D27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7" s="33"/>
      <c r="F27" s="34"/>
      <c r="G27" s="12"/>
      <c r="H27" s="13"/>
      <c r="I27" s="12"/>
      <c r="J27" s="13"/>
      <c r="K27" s="12"/>
      <c r="L27" s="13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26" t="s">
        <v>91</v>
      </c>
      <c r="B28" s="8">
        <f t="shared" si="2"/>
        <v>9</v>
      </c>
      <c r="C28" s="8">
        <f t="shared" si="1"/>
        <v>54</v>
      </c>
      <c r="D28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8" s="22" t="s">
        <v>990</v>
      </c>
      <c r="F28" s="24">
        <v>27</v>
      </c>
      <c r="G28" s="30" t="s">
        <v>980</v>
      </c>
      <c r="H28" s="13">
        <v>75</v>
      </c>
      <c r="I28" s="27" t="s">
        <v>986</v>
      </c>
      <c r="J28" s="26">
        <v>47</v>
      </c>
      <c r="K28" s="175" t="s">
        <v>967</v>
      </c>
      <c r="L28" s="176">
        <v>90</v>
      </c>
      <c r="M28" s="22" t="s">
        <v>990</v>
      </c>
      <c r="N28" s="24">
        <v>27</v>
      </c>
      <c r="O28" s="30" t="s">
        <v>961</v>
      </c>
      <c r="P28" s="13">
        <v>71</v>
      </c>
      <c r="Q28" s="30" t="s">
        <v>984</v>
      </c>
      <c r="R28" s="13">
        <v>57</v>
      </c>
      <c r="S28" s="21" t="s">
        <v>995</v>
      </c>
      <c r="T28" s="13">
        <v>65</v>
      </c>
      <c r="U28" s="21" t="s">
        <v>1010</v>
      </c>
      <c r="V28" s="13">
        <v>27</v>
      </c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92</v>
      </c>
      <c r="B29" s="8">
        <f t="shared" si="2"/>
        <v>1</v>
      </c>
      <c r="C29" s="8">
        <f t="shared" si="1"/>
        <v>10</v>
      </c>
      <c r="D29" s="21" t="s">
        <v>77</v>
      </c>
      <c r="E29" s="27" t="s">
        <v>1002</v>
      </c>
      <c r="F29" s="26">
        <v>10</v>
      </c>
      <c r="G29" s="12"/>
      <c r="H29" s="13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93</v>
      </c>
      <c r="B30" s="8">
        <f t="shared" si="2"/>
        <v>0</v>
      </c>
      <c r="C30" s="8" t="e">
        <f t="shared" si="1"/>
        <v>#DIV/0!</v>
      </c>
      <c r="D30" s="30" t="s">
        <v>77</v>
      </c>
      <c r="E30" s="28"/>
      <c r="F30" s="26"/>
      <c r="G30" s="12"/>
      <c r="H30" s="13"/>
      <c r="I30" s="12"/>
      <c r="J30" s="13"/>
      <c r="K30" s="12"/>
      <c r="L30" s="13"/>
      <c r="M30" s="12"/>
      <c r="N30" s="13"/>
      <c r="O30" s="23"/>
      <c r="P30" s="24"/>
      <c r="Q30" s="12"/>
      <c r="R30" s="13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2" t="s">
        <v>94</v>
      </c>
      <c r="B31" s="8">
        <f t="shared" si="2"/>
        <v>1</v>
      </c>
      <c r="C31" s="8">
        <f t="shared" si="1"/>
        <v>27</v>
      </c>
      <c r="D31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1" s="30" t="s">
        <v>1000</v>
      </c>
      <c r="F31" s="13">
        <v>27</v>
      </c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95</v>
      </c>
      <c r="B32" s="8">
        <f t="shared" si="2"/>
        <v>0</v>
      </c>
      <c r="C32" s="8" t="e">
        <f t="shared" si="1"/>
        <v>#DIV/0!</v>
      </c>
      <c r="D32" s="8"/>
      <c r="E32" s="12"/>
      <c r="F32" s="13"/>
      <c r="G32" s="12"/>
      <c r="H32" s="13"/>
      <c r="I32" s="28"/>
      <c r="J32" s="26"/>
      <c r="K32" s="23"/>
      <c r="L32" s="24"/>
      <c r="M32" s="12"/>
      <c r="N32" s="13"/>
      <c r="O32" s="46"/>
      <c r="P32" s="47"/>
      <c r="Q32" s="28"/>
      <c r="R32" s="26"/>
      <c r="S32" s="12"/>
      <c r="T32" s="13"/>
      <c r="U32" s="12"/>
      <c r="V32" s="13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3" t="s">
        <v>98</v>
      </c>
      <c r="B33" s="8">
        <f ca="1">COUNTIF(A33:AD33,"&gt;0")</f>
        <v>0</v>
      </c>
      <c r="C33" s="8" t="str">
        <f t="shared" ca="1" si="1"/>
        <v>#DIV/0!</v>
      </c>
      <c r="D33" s="11" t="str">
        <f>HYPERLINK("https://www.digitalauthority.me/resources/healthcare-app-development-ultimate-guide/","Healthcare Mobile App development")</f>
        <v>Healthcare Mobile App development</v>
      </c>
      <c r="F33" s="24"/>
      <c r="G33" s="24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>
      <c r="A34" s="3" t="s">
        <v>100</v>
      </c>
      <c r="B34" s="8">
        <f t="shared" ref="B34:B55" si="3">COUNTIF(E34:AD34,"&gt;0")</f>
        <v>0</v>
      </c>
      <c r="C34" s="8" t="e">
        <f t="shared" si="1"/>
        <v>#DIV/0!</v>
      </c>
      <c r="D34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4" s="51"/>
      <c r="F34" s="51"/>
      <c r="G34" s="5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26" t="s">
        <v>101</v>
      </c>
      <c r="B35" s="8">
        <f t="shared" si="3"/>
        <v>0</v>
      </c>
      <c r="C35" s="8" t="e">
        <f t="shared" si="1"/>
        <v>#DIV/0!</v>
      </c>
      <c r="D35" s="27" t="str">
        <f>HYPERLINK("https://healthcareweekly.com/healthcare-startup-fails/","Most Common Health Startup Mistakes – and How to Fix Them
")</f>
        <v>Most Common Health Startup Mistakes – and How to Fix Them_x000D_</v>
      </c>
      <c r="E35" s="28"/>
      <c r="F35" s="26"/>
      <c r="G35" s="28"/>
      <c r="H35" s="26"/>
      <c r="I35" s="12"/>
      <c r="J35" s="13"/>
      <c r="K35" s="29"/>
      <c r="L35" s="29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26" t="s">
        <v>102</v>
      </c>
      <c r="B36" s="8">
        <f t="shared" si="3"/>
        <v>0</v>
      </c>
      <c r="C36" s="8" t="e">
        <f t="shared" si="1"/>
        <v>#DIV/0!</v>
      </c>
      <c r="D36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6" s="28"/>
      <c r="F36" s="26"/>
      <c r="G36" s="44"/>
      <c r="H36" s="24"/>
      <c r="I36" s="28"/>
      <c r="J36" s="26"/>
      <c r="K36" s="52"/>
      <c r="L36" s="53"/>
      <c r="M36" s="28"/>
      <c r="N36" s="26"/>
      <c r="O36" s="12"/>
      <c r="P36" s="13"/>
      <c r="Q36" s="12"/>
      <c r="R36" s="13"/>
      <c r="S36" s="12"/>
      <c r="T36" s="13"/>
      <c r="U36" s="12"/>
      <c r="V36" s="13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26" t="s">
        <v>103</v>
      </c>
      <c r="B37" s="8">
        <f t="shared" si="3"/>
        <v>0</v>
      </c>
      <c r="C37" s="8" t="e">
        <f t="shared" si="1"/>
        <v>#DIV/0!</v>
      </c>
      <c r="D37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7" s="28"/>
      <c r="F37" s="26"/>
      <c r="G37" s="44"/>
      <c r="H37" s="24"/>
      <c r="I37" s="28"/>
      <c r="J37" s="26"/>
      <c r="K37" s="12"/>
      <c r="L37" s="13"/>
      <c r="M37" s="12"/>
      <c r="N37" s="13"/>
      <c r="O37" s="13"/>
      <c r="P37" s="13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3" t="s">
        <v>108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8" s="12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" t="s">
        <v>109</v>
      </c>
      <c r="B39" s="8">
        <f t="shared" si="3"/>
        <v>0</v>
      </c>
      <c r="C39" s="8" t="e">
        <f t="shared" si="1"/>
        <v>#DIV/0!</v>
      </c>
      <c r="D39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39" s="23"/>
      <c r="F39" s="24"/>
      <c r="G39" s="12"/>
      <c r="H39" s="13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1" t="s">
        <v>1004</v>
      </c>
      <c r="B40" s="8">
        <f t="shared" si="3"/>
        <v>2</v>
      </c>
      <c r="C40" s="8">
        <f t="shared" si="1"/>
        <v>42.5</v>
      </c>
      <c r="D40" s="22" t="str">
        <f>HYPERLINK("https://www.digitalauthority.me/alexa/","Alexa dev page")</f>
        <v>Alexa dev page</v>
      </c>
      <c r="E40" s="22" t="s">
        <v>992</v>
      </c>
      <c r="F40" s="24">
        <v>59</v>
      </c>
      <c r="G40" s="172" t="s">
        <v>1004</v>
      </c>
      <c r="H40" s="13">
        <v>26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3" t="s">
        <v>112</v>
      </c>
      <c r="B41" s="8">
        <f t="shared" si="3"/>
        <v>0</v>
      </c>
      <c r="C41" s="8" t="e">
        <f t="shared" si="1"/>
        <v>#DIV/0!</v>
      </c>
      <c r="D41" s="30" t="str">
        <f t="shared" ref="D41:D4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3" t="s">
        <v>113</v>
      </c>
      <c r="B42" s="8">
        <f t="shared" si="3"/>
        <v>0</v>
      </c>
      <c r="C42" s="8" t="e">
        <f t="shared" si="1"/>
        <v>#DIV/0!</v>
      </c>
      <c r="D42" s="30" t="str">
        <f t="shared" si="4"/>
        <v>5 Key Strategies for Your Financial Product Marketing Initiatives in 2019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13" t="s">
        <v>115</v>
      </c>
      <c r="B43" s="8">
        <f t="shared" si="3"/>
        <v>1</v>
      </c>
      <c r="C43" s="8">
        <f t="shared" si="1"/>
        <v>90</v>
      </c>
      <c r="D43" s="21" t="s">
        <v>77</v>
      </c>
      <c r="E43" s="27" t="s">
        <v>968</v>
      </c>
      <c r="F43" s="26">
        <v>90</v>
      </c>
      <c r="G43" s="57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12" t="s">
        <v>119</v>
      </c>
      <c r="B44" s="8">
        <f t="shared" si="3"/>
        <v>0</v>
      </c>
      <c r="C44" s="8" t="e">
        <f t="shared" si="1"/>
        <v>#DIV/0!</v>
      </c>
      <c r="D44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4" s="12"/>
      <c r="F44" s="13"/>
      <c r="G44" s="12"/>
      <c r="H44" s="13"/>
      <c r="I44" s="12"/>
      <c r="J44" s="13"/>
      <c r="K44" s="12"/>
      <c r="L44" s="13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26" t="s">
        <v>122</v>
      </c>
      <c r="B45" s="8">
        <f t="shared" si="3"/>
        <v>0</v>
      </c>
      <c r="C45" s="8" t="e">
        <f t="shared" si="1"/>
        <v>#DIV/0!</v>
      </c>
      <c r="D45" s="59" t="str">
        <f t="shared" ref="D45:D46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5" s="12"/>
      <c r="F45" s="13"/>
      <c r="G45" s="28"/>
      <c r="H45" s="26"/>
      <c r="I45" s="28"/>
      <c r="J45" s="26"/>
      <c r="K45" s="29"/>
      <c r="L45" s="29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26" t="s">
        <v>123</v>
      </c>
      <c r="B46" s="8">
        <f t="shared" si="3"/>
        <v>0</v>
      </c>
      <c r="C46" s="8" t="e">
        <f t="shared" si="1"/>
        <v>#DIV/0!</v>
      </c>
      <c r="D46" s="54" t="str">
        <f t="shared" si="5"/>
        <v xml:space="preserve">11 online reputation management techniques for doctors (the definitive guide)
</v>
      </c>
      <c r="E46" s="28"/>
      <c r="F46" s="26"/>
      <c r="G46" s="28"/>
      <c r="H46" s="26"/>
      <c r="I46" s="28"/>
      <c r="J46" s="26"/>
      <c r="K46" s="29"/>
      <c r="L46" s="29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0" t="s">
        <v>128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7" s="10"/>
      <c r="F47" s="13"/>
      <c r="G47" s="12"/>
      <c r="H47" s="13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13" t="s">
        <v>129</v>
      </c>
      <c r="B48" s="8">
        <f t="shared" si="3"/>
        <v>3</v>
      </c>
      <c r="C48" s="8">
        <f t="shared" si="1"/>
        <v>57.333333333333336</v>
      </c>
      <c r="D48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48" s="27" t="s">
        <v>980</v>
      </c>
      <c r="F48" s="26">
        <v>75</v>
      </c>
      <c r="G48" s="30" t="s">
        <v>989</v>
      </c>
      <c r="H48" s="13">
        <v>40</v>
      </c>
      <c r="I48" s="30" t="s">
        <v>984</v>
      </c>
      <c r="J48" s="13">
        <v>57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130</v>
      </c>
      <c r="B49" s="8">
        <f t="shared" si="3"/>
        <v>1</v>
      </c>
      <c r="C49" s="8">
        <f t="shared" si="1"/>
        <v>90</v>
      </c>
      <c r="D49" s="30" t="str">
        <f>HYPERLINK("https://www.digitalauthority.me/web-analytics-services-chicago/","Web Analytics Services page")</f>
        <v>Web Analytics Services page</v>
      </c>
      <c r="E49" s="30" t="s">
        <v>968</v>
      </c>
      <c r="F49" s="13">
        <v>90</v>
      </c>
      <c r="G49" s="12"/>
      <c r="H49" s="13"/>
      <c r="I49" s="12"/>
      <c r="J49" s="13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131</v>
      </c>
      <c r="B50" s="8">
        <f t="shared" si="3"/>
        <v>0</v>
      </c>
      <c r="C50" s="8" t="e">
        <f t="shared" si="1"/>
        <v>#DIV/0!</v>
      </c>
      <c r="D50" s="21" t="s">
        <v>132</v>
      </c>
      <c r="E50" s="46"/>
      <c r="F50" s="4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>
        <f t="shared" si="3"/>
        <v>0</v>
      </c>
      <c r="C51" s="37"/>
      <c r="D51" s="10"/>
      <c r="E51" s="3"/>
      <c r="F51" s="3"/>
      <c r="G51" s="2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>
        <f t="shared" si="3"/>
        <v>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>
        <f t="shared" si="3"/>
        <v>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>
        <f t="shared" si="3"/>
        <v>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>
        <f t="shared" si="3"/>
        <v>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8" r:id="rId1"/>
    <hyperlink ref="D12" r:id="rId2"/>
    <hyperlink ref="D13" r:id="rId3"/>
    <hyperlink ref="D14" r:id="rId4"/>
    <hyperlink ref="D15" r:id="rId5"/>
    <hyperlink ref="D18" r:id="rId6"/>
    <hyperlink ref="D19" r:id="rId7"/>
    <hyperlink ref="D20" r:id="rId8"/>
    <hyperlink ref="D21" r:id="rId9"/>
    <hyperlink ref="D22" r:id="rId10"/>
    <hyperlink ref="D23" r:id="rId11"/>
    <hyperlink ref="E24" r:id="rId12"/>
    <hyperlink ref="G24" r:id="rId13"/>
    <hyperlink ref="E25" r:id="rId14"/>
    <hyperlink ref="E26" r:id="rId15"/>
    <hyperlink ref="E28" r:id="rId16"/>
    <hyperlink ref="G28" r:id="rId17"/>
    <hyperlink ref="I28" r:id="rId18"/>
    <hyperlink ref="K28" r:id="rId19"/>
    <hyperlink ref="M28" r:id="rId20"/>
    <hyperlink ref="O28" r:id="rId21"/>
    <hyperlink ref="Q28" r:id="rId22"/>
    <hyperlink ref="S28" r:id="rId23"/>
    <hyperlink ref="U28" r:id="rId24"/>
    <hyperlink ref="D29" r:id="rId25"/>
    <hyperlink ref="E29" r:id="rId26"/>
    <hyperlink ref="D30" r:id="rId27"/>
    <hyperlink ref="E31" r:id="rId28"/>
    <hyperlink ref="A40" r:id="rId29"/>
    <hyperlink ref="E40" r:id="rId30"/>
    <hyperlink ref="G40" r:id="rId31"/>
    <hyperlink ref="D43" r:id="rId32"/>
    <hyperlink ref="E43" r:id="rId33"/>
    <hyperlink ref="E48" r:id="rId34"/>
    <hyperlink ref="G48" r:id="rId35"/>
    <hyperlink ref="I48" r:id="rId36"/>
    <hyperlink ref="E49" r:id="rId37"/>
    <hyperlink ref="D50" r:id="rId3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0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12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3</v>
      </c>
      <c r="C8" s="8">
        <f t="shared" ca="1" si="1"/>
        <v>21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61" t="s">
        <v>1024</v>
      </c>
      <c r="F8" s="24">
        <v>63</v>
      </c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3" si="2">COUNTIF(E9:AD9,"&gt;0")</f>
        <v>2</v>
      </c>
      <c r="C9" s="8">
        <f t="shared" si="1"/>
        <v>44</v>
      </c>
      <c r="D9" s="30" t="str">
        <f>HYPERLINK("https://healthcareweekly.com/astaxanthin/","15 health benefits of astaxanthin")</f>
        <v>15 health benefits of astaxanthin</v>
      </c>
      <c r="E9" s="30" t="s">
        <v>1027</v>
      </c>
      <c r="F9" s="24">
        <v>63</v>
      </c>
      <c r="G9" s="30" t="s">
        <v>1032</v>
      </c>
      <c r="H9" s="13">
        <v>25</v>
      </c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0</v>
      </c>
      <c r="C10" s="8" t="e">
        <f t="shared" si="1"/>
        <v>#DIV/0!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7"/>
      <c r="F10" s="38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75</v>
      </c>
      <c r="B12" s="8">
        <f t="shared" si="2"/>
        <v>0</v>
      </c>
      <c r="C12" s="8" t="e">
        <f t="shared" si="1"/>
        <v>#DIV/0!</v>
      </c>
      <c r="D12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76</v>
      </c>
      <c r="B13" s="8">
        <f t="shared" si="2"/>
        <v>0</v>
      </c>
      <c r="C13" s="8" t="e">
        <f t="shared" si="1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78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79</v>
      </c>
      <c r="B15" s="8">
        <f t="shared" si="2"/>
        <v>0</v>
      </c>
      <c r="C15" s="8" t="e">
        <f t="shared" si="1"/>
        <v>#DIV/0!</v>
      </c>
      <c r="D15" s="21" t="s">
        <v>77</v>
      </c>
      <c r="E15" s="33"/>
      <c r="F15" s="34"/>
      <c r="G15" s="12"/>
      <c r="H15" s="13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80</v>
      </c>
      <c r="B16" s="8">
        <f t="shared" si="2"/>
        <v>0</v>
      </c>
      <c r="C16" s="8" t="e">
        <f t="shared" si="1"/>
        <v>#DIV/0!</v>
      </c>
      <c r="D16" s="35" t="s">
        <v>77</v>
      </c>
      <c r="E16" s="12"/>
      <c r="F16" s="13"/>
      <c r="G16" s="28"/>
      <c r="H16" s="26"/>
      <c r="I16" s="28"/>
      <c r="J16" s="26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74</v>
      </c>
      <c r="B17" s="8">
        <f t="shared" si="2"/>
        <v>0</v>
      </c>
      <c r="C17" s="8" t="e">
        <f t="shared" si="1"/>
        <v>#DIV/0!</v>
      </c>
      <c r="D17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7" s="28"/>
      <c r="F17" s="26"/>
      <c r="G17" s="28"/>
      <c r="H17" s="26"/>
      <c r="I17" s="12"/>
      <c r="J17" s="13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13"/>
      <c r="AA17" s="8"/>
      <c r="AB17" s="8"/>
      <c r="AC17" s="8"/>
      <c r="AD17" s="8"/>
    </row>
    <row r="18" spans="1:30" ht="15.75" customHeight="1">
      <c r="A18" s="3" t="s">
        <v>81</v>
      </c>
      <c r="B18" s="8">
        <f t="shared" si="2"/>
        <v>0</v>
      </c>
      <c r="C18" s="8" t="e">
        <f t="shared" si="1"/>
        <v>#DIV/0!</v>
      </c>
      <c r="D18" s="36"/>
      <c r="E18" s="37"/>
      <c r="F18" s="38"/>
      <c r="G18" s="2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82</v>
      </c>
      <c r="B19" s="8">
        <f t="shared" si="2"/>
        <v>0</v>
      </c>
      <c r="C19" s="8" t="e">
        <f t="shared" si="1"/>
        <v>#DIV/0!</v>
      </c>
      <c r="D19" s="11" t="s">
        <v>77</v>
      </c>
      <c r="E19" s="3"/>
      <c r="F19" s="3"/>
      <c r="G19" s="16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83</v>
      </c>
      <c r="B20" s="8">
        <f t="shared" si="2"/>
        <v>0</v>
      </c>
      <c r="C20" s="8" t="e">
        <f t="shared" si="1"/>
        <v>#DIV/0!</v>
      </c>
      <c r="D20" s="21" t="s">
        <v>77</v>
      </c>
      <c r="E20" s="12"/>
      <c r="F20" s="13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84</v>
      </c>
      <c r="B21" s="8">
        <f t="shared" si="2"/>
        <v>0</v>
      </c>
      <c r="C21" s="8" t="e">
        <f t="shared" si="1"/>
        <v>#DIV/0!</v>
      </c>
      <c r="D21" s="21" t="s">
        <v>77</v>
      </c>
      <c r="E21" s="39"/>
      <c r="F21" s="7"/>
      <c r="G21" s="40"/>
      <c r="H21" s="8"/>
      <c r="I21" s="12"/>
      <c r="J21" s="13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85</v>
      </c>
      <c r="B22" s="8">
        <f t="shared" si="2"/>
        <v>0</v>
      </c>
      <c r="C22" s="8" t="e">
        <f t="shared" si="1"/>
        <v>#DIV/0!</v>
      </c>
      <c r="D22" s="21" t="s">
        <v>77</v>
      </c>
      <c r="E22" s="41"/>
      <c r="F22" s="4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86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2" t="s">
        <v>87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>
      <c r="A25" s="26" t="s">
        <v>88</v>
      </c>
      <c r="B25" s="8">
        <f t="shared" si="2"/>
        <v>0</v>
      </c>
      <c r="C25" s="8" t="e">
        <f t="shared" si="1"/>
        <v>#DIV/0!</v>
      </c>
      <c r="D25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5" s="28"/>
      <c r="F25" s="26"/>
      <c r="G25" s="44"/>
      <c r="H25" s="24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89</v>
      </c>
      <c r="B26" s="8">
        <f t="shared" si="2"/>
        <v>0</v>
      </c>
      <c r="C26" s="8" t="e">
        <f t="shared" si="1"/>
        <v>#DIV/0!</v>
      </c>
      <c r="D26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6" s="28"/>
      <c r="F26" s="26"/>
      <c r="G26" s="29"/>
      <c r="H26" s="29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3" t="s">
        <v>90</v>
      </c>
      <c r="B27" s="8">
        <f t="shared" si="2"/>
        <v>1</v>
      </c>
      <c r="C27" s="8">
        <f t="shared" si="1"/>
        <v>43</v>
      </c>
      <c r="D27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7" s="33" t="s">
        <v>1019</v>
      </c>
      <c r="F27" s="34">
        <v>43</v>
      </c>
      <c r="G27" s="12"/>
      <c r="H27" s="13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3" t="s">
        <v>59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8" s="33"/>
      <c r="F28" s="34"/>
      <c r="G28" s="12"/>
      <c r="H28" s="13"/>
      <c r="I28" s="12"/>
      <c r="J28" s="13"/>
      <c r="K28" s="12"/>
      <c r="L28" s="1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91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9" s="18"/>
      <c r="F29" s="18"/>
      <c r="G29" s="18"/>
      <c r="H29" s="18"/>
      <c r="I29" s="28"/>
      <c r="J29" s="26"/>
      <c r="K29" s="167"/>
      <c r="L29" s="45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92</v>
      </c>
      <c r="B30" s="8">
        <f t="shared" si="2"/>
        <v>1</v>
      </c>
      <c r="C30" s="8">
        <f t="shared" si="1"/>
        <v>23</v>
      </c>
      <c r="D30" s="21" t="s">
        <v>77</v>
      </c>
      <c r="E30" s="27" t="s">
        <v>1032</v>
      </c>
      <c r="F30" s="26">
        <v>23</v>
      </c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93</v>
      </c>
      <c r="B31" s="8">
        <f t="shared" si="2"/>
        <v>0</v>
      </c>
      <c r="C31" s="8" t="e">
        <f t="shared" si="1"/>
        <v>#DIV/0!</v>
      </c>
      <c r="D31" s="30" t="s">
        <v>77</v>
      </c>
      <c r="E31" s="28"/>
      <c r="F31" s="26"/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2" t="s">
        <v>94</v>
      </c>
      <c r="B32" s="8">
        <f t="shared" si="2"/>
        <v>1</v>
      </c>
      <c r="C32" s="8">
        <f t="shared" si="1"/>
        <v>72</v>
      </c>
      <c r="D32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2" s="30" t="s">
        <v>1030</v>
      </c>
      <c r="F32" s="13">
        <v>72</v>
      </c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3" t="s">
        <v>95</v>
      </c>
      <c r="B33" s="8">
        <f t="shared" si="2"/>
        <v>0</v>
      </c>
      <c r="C33" s="8" t="e">
        <f t="shared" si="1"/>
        <v>#DIV/0!</v>
      </c>
      <c r="D33" s="8"/>
      <c r="E33" s="12"/>
      <c r="F33" s="13"/>
      <c r="G33" s="12"/>
      <c r="H33" s="13"/>
      <c r="I33" s="28"/>
      <c r="J33" s="26"/>
      <c r="K33" s="23"/>
      <c r="L33" s="24"/>
      <c r="M33" s="12"/>
      <c r="N33" s="13"/>
      <c r="O33" s="46"/>
      <c r="P33" s="47"/>
      <c r="Q33" s="28"/>
      <c r="R33" s="26"/>
      <c r="S33" s="12"/>
      <c r="T33" s="13"/>
      <c r="U33" s="12"/>
      <c r="V33" s="13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3" t="s">
        <v>98</v>
      </c>
      <c r="B34" s="8">
        <f ca="1">COUNTIF(A34:AD34,"&gt;0")</f>
        <v>0</v>
      </c>
      <c r="C34" s="8" t="str">
        <f t="shared" ca="1" si="1"/>
        <v>#DIV/0!</v>
      </c>
      <c r="D34" s="11" t="str">
        <f>HYPERLINK("https://www.digitalauthority.me/resources/healthcare-app-development-ultimate-guide/","Healthcare Mobile App development")</f>
        <v>Healthcare Mobile App development</v>
      </c>
      <c r="E34" s="18"/>
      <c r="F34" s="24"/>
      <c r="G34" s="24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>
      <c r="A35" s="3" t="s">
        <v>100</v>
      </c>
      <c r="B35" s="8">
        <f t="shared" ref="B35:B55" si="3">COUNTIF(E35:AD35,"&gt;0")</f>
        <v>0</v>
      </c>
      <c r="C35" s="8" t="e">
        <f t="shared" si="1"/>
        <v>#DIV/0!</v>
      </c>
      <c r="D35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5" s="51"/>
      <c r="F35" s="51"/>
      <c r="G35" s="5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26" t="s">
        <v>101</v>
      </c>
      <c r="B36" s="8">
        <f t="shared" si="3"/>
        <v>0</v>
      </c>
      <c r="C36" s="8" t="e">
        <f t="shared" si="1"/>
        <v>#DIV/0!</v>
      </c>
      <c r="D36" s="27" t="str">
        <f>HYPERLINK("https://healthcareweekly.com/healthcare-startup-fails/","Most Common Health Startup Mistakes – and How to Fix Them
")</f>
        <v>Most Common Health Startup Mistakes – and How to Fix Them_x000D_</v>
      </c>
      <c r="E36" s="28"/>
      <c r="F36" s="26"/>
      <c r="G36" s="28"/>
      <c r="H36" s="26"/>
      <c r="I36" s="12"/>
      <c r="J36" s="13"/>
      <c r="K36" s="29"/>
      <c r="L36" s="29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26" t="s">
        <v>102</v>
      </c>
      <c r="B37" s="8">
        <f t="shared" si="3"/>
        <v>0</v>
      </c>
      <c r="C37" s="8" t="e">
        <f t="shared" si="1"/>
        <v>#DIV/0!</v>
      </c>
      <c r="D37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7" s="28"/>
      <c r="F37" s="26"/>
      <c r="G37" s="44"/>
      <c r="H37" s="24"/>
      <c r="I37" s="28"/>
      <c r="J37" s="26"/>
      <c r="K37" s="52"/>
      <c r="L37" s="53"/>
      <c r="M37" s="28"/>
      <c r="N37" s="26"/>
      <c r="O37" s="12"/>
      <c r="P37" s="13"/>
      <c r="Q37" s="12"/>
      <c r="R37" s="13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26" t="s">
        <v>103</v>
      </c>
      <c r="B38" s="8">
        <f t="shared" si="3"/>
        <v>0</v>
      </c>
      <c r="C38" s="8" t="e">
        <f t="shared" si="1"/>
        <v>#DIV/0!</v>
      </c>
      <c r="D38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8" s="28"/>
      <c r="F38" s="26"/>
      <c r="G38" s="44"/>
      <c r="H38" s="24"/>
      <c r="I38" s="28"/>
      <c r="J38" s="26"/>
      <c r="K38" s="12"/>
      <c r="L38" s="13"/>
      <c r="M38" s="12"/>
      <c r="N38" s="13"/>
      <c r="O38" s="13"/>
      <c r="P38" s="13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" t="s">
        <v>108</v>
      </c>
      <c r="B39" s="8">
        <f t="shared" si="3"/>
        <v>0</v>
      </c>
      <c r="C39" s="8" t="e">
        <f t="shared" si="1"/>
        <v>#DIV/0!</v>
      </c>
      <c r="D39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9" s="12"/>
      <c r="F39" s="13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3" t="s">
        <v>109</v>
      </c>
      <c r="B40" s="8">
        <f t="shared" si="3"/>
        <v>0</v>
      </c>
      <c r="C40" s="8" t="e">
        <f t="shared" si="1"/>
        <v>#DIV/0!</v>
      </c>
      <c r="D40" s="30" t="str">
        <f t="shared" ref="D40:D4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0" s="23"/>
      <c r="F40" s="24"/>
      <c r="G40" s="12"/>
      <c r="H40" s="13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3" t="s">
        <v>112</v>
      </c>
      <c r="B41" s="8">
        <f t="shared" si="3"/>
        <v>0</v>
      </c>
      <c r="C41" s="8" t="e">
        <f t="shared" si="1"/>
        <v>#DIV/0!</v>
      </c>
      <c r="D41" s="30" t="str">
        <f t="shared" si="4"/>
        <v>5 Key Strategies for Your Financial Product Marketing Initiatives in 2019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3" t="s">
        <v>113</v>
      </c>
      <c r="B42" s="8">
        <f t="shared" si="3"/>
        <v>0</v>
      </c>
      <c r="C42" s="8" t="e">
        <f t="shared" si="1"/>
        <v>#DIV/0!</v>
      </c>
      <c r="D42" s="30" t="str">
        <f t="shared" si="4"/>
        <v>5 Key Strategies for Your Financial Product Marketing Initiatives in 2019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13" t="s">
        <v>115</v>
      </c>
      <c r="B43" s="8">
        <f t="shared" si="3"/>
        <v>0</v>
      </c>
      <c r="C43" s="8" t="e">
        <f t="shared" si="1"/>
        <v>#DIV/0!</v>
      </c>
      <c r="D43" s="21" t="s">
        <v>77</v>
      </c>
      <c r="E43" s="28"/>
      <c r="F43" s="26"/>
      <c r="G43" s="57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12" t="s">
        <v>119</v>
      </c>
      <c r="B44" s="8">
        <f t="shared" si="3"/>
        <v>0</v>
      </c>
      <c r="C44" s="8" t="e">
        <f t="shared" si="1"/>
        <v>#DIV/0!</v>
      </c>
      <c r="D44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4" s="12"/>
      <c r="F44" s="13"/>
      <c r="G44" s="12"/>
      <c r="H44" s="13"/>
      <c r="I44" s="12"/>
      <c r="J44" s="13"/>
      <c r="K44" s="12"/>
      <c r="L44" s="13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26" t="s">
        <v>122</v>
      </c>
      <c r="B45" s="8">
        <f t="shared" si="3"/>
        <v>0</v>
      </c>
      <c r="C45" s="8" t="e">
        <f t="shared" si="1"/>
        <v>#DIV/0!</v>
      </c>
      <c r="D45" s="59" t="str">
        <f t="shared" ref="D45:D46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5" s="12"/>
      <c r="F45" s="13"/>
      <c r="G45" s="28"/>
      <c r="H45" s="26"/>
      <c r="I45" s="28"/>
      <c r="J45" s="26"/>
      <c r="K45" s="29"/>
      <c r="L45" s="29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26" t="s">
        <v>123</v>
      </c>
      <c r="B46" s="8">
        <f t="shared" si="3"/>
        <v>0</v>
      </c>
      <c r="C46" s="8" t="e">
        <f t="shared" si="1"/>
        <v>#DIV/0!</v>
      </c>
      <c r="D46" s="54" t="str">
        <f t="shared" si="5"/>
        <v xml:space="preserve">11 online reputation management techniques for doctors (the definitive guide)
</v>
      </c>
      <c r="E46" s="28"/>
      <c r="F46" s="26"/>
      <c r="G46" s="28"/>
      <c r="H46" s="26"/>
      <c r="I46" s="28"/>
      <c r="J46" s="26"/>
      <c r="K46" s="29"/>
      <c r="L46" s="29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0" t="s">
        <v>128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7" s="10"/>
      <c r="F47" s="13"/>
      <c r="G47" s="12"/>
      <c r="H47" s="13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13" t="s">
        <v>129</v>
      </c>
      <c r="B48" s="8">
        <f t="shared" si="3"/>
        <v>0</v>
      </c>
      <c r="C48" s="8" t="e">
        <f t="shared" si="1"/>
        <v>#DIV/0!</v>
      </c>
      <c r="D48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48" s="28"/>
      <c r="F48" s="26"/>
      <c r="G48" s="12"/>
      <c r="H48" s="13"/>
      <c r="I48" s="12"/>
      <c r="J48" s="13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130</v>
      </c>
      <c r="B49" s="8">
        <f t="shared" si="3"/>
        <v>1</v>
      </c>
      <c r="C49" s="8">
        <f t="shared" si="1"/>
        <v>28</v>
      </c>
      <c r="D49" s="30" t="str">
        <f>HYPERLINK("https://www.digitalauthority.me/web-analytics-services-chicago/","Web Analytics Services page")</f>
        <v>Web Analytics Services page</v>
      </c>
      <c r="E49" s="30" t="s">
        <v>1034</v>
      </c>
      <c r="F49" s="13">
        <v>28</v>
      </c>
      <c r="G49" s="12"/>
      <c r="H49" s="13"/>
      <c r="I49" s="12"/>
      <c r="J49" s="13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131</v>
      </c>
      <c r="B50" s="8">
        <f t="shared" si="3"/>
        <v>0</v>
      </c>
      <c r="C50" s="8" t="e">
        <f t="shared" si="1"/>
        <v>#DIV/0!</v>
      </c>
      <c r="D50" s="21" t="s">
        <v>132</v>
      </c>
      <c r="E50" s="46"/>
      <c r="F50" s="4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8"/>
      <c r="B51" s="8">
        <f t="shared" si="3"/>
        <v>0</v>
      </c>
      <c r="C51" s="37"/>
      <c r="D51" s="10"/>
      <c r="E51" s="3"/>
      <c r="F51" s="3"/>
      <c r="G51" s="2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8"/>
      <c r="B52" s="8">
        <f t="shared" si="3"/>
        <v>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8"/>
      <c r="B53" s="8">
        <f t="shared" si="3"/>
        <v>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8"/>
      <c r="B54" s="8">
        <f t="shared" si="3"/>
        <v>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>
        <f t="shared" si="3"/>
        <v>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8" r:id="rId1"/>
    <hyperlink ref="E9" r:id="rId2"/>
    <hyperlink ref="G9" r:id="rId3"/>
    <hyperlink ref="D13" r:id="rId4"/>
    <hyperlink ref="D14" r:id="rId5"/>
    <hyperlink ref="D15" r:id="rId6"/>
    <hyperlink ref="D16" r:id="rId7"/>
    <hyperlink ref="D19" r:id="rId8"/>
    <hyperlink ref="D20" r:id="rId9"/>
    <hyperlink ref="D21" r:id="rId10"/>
    <hyperlink ref="D22" r:id="rId11"/>
    <hyperlink ref="D23" r:id="rId12"/>
    <hyperlink ref="D24" r:id="rId13"/>
    <hyperlink ref="E27" r:id="rId14"/>
    <hyperlink ref="D30" r:id="rId15"/>
    <hyperlink ref="E30" r:id="rId16"/>
    <hyperlink ref="D31" r:id="rId17"/>
    <hyperlink ref="E32" r:id="rId18"/>
    <hyperlink ref="D43" r:id="rId19"/>
    <hyperlink ref="E49" r:id="rId20"/>
    <hyperlink ref="D50" r:id="rId2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4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6</v>
      </c>
      <c r="C4" s="8">
        <f t="shared" si="1"/>
        <v>69.5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1064</v>
      </c>
      <c r="F4" s="13">
        <v>55</v>
      </c>
      <c r="G4" s="27" t="s">
        <v>1081</v>
      </c>
      <c r="H4" s="26">
        <v>73</v>
      </c>
      <c r="I4" s="30" t="s">
        <v>1934</v>
      </c>
      <c r="J4" s="13">
        <v>91</v>
      </c>
      <c r="K4" s="21" t="s">
        <v>1935</v>
      </c>
      <c r="L4" s="13">
        <v>73</v>
      </c>
      <c r="M4" s="21" t="s">
        <v>1936</v>
      </c>
      <c r="N4" s="13">
        <v>54</v>
      </c>
      <c r="O4" s="21" t="s">
        <v>1104</v>
      </c>
      <c r="P4" s="13">
        <v>71</v>
      </c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1</v>
      </c>
      <c r="C6" s="8">
        <f t="shared" si="1"/>
        <v>47</v>
      </c>
      <c r="D6" s="22" t="str">
        <f>HYPERLINK("https://www.digitalauthority.me/alexa/","Alexa dev page")</f>
        <v>Alexa dev page</v>
      </c>
      <c r="E6" s="22" t="s">
        <v>1087</v>
      </c>
      <c r="F6" s="24">
        <v>47</v>
      </c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4</v>
      </c>
      <c r="C8" s="8">
        <f t="shared" ca="1" si="1"/>
        <v>19.75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61" t="s">
        <v>1049</v>
      </c>
      <c r="F8" s="24">
        <v>39</v>
      </c>
      <c r="G8" s="160" t="s">
        <v>1937</v>
      </c>
      <c r="H8" s="13">
        <v>40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3" si="2">COUNTIF(E9:AD9,"&gt;0")</f>
        <v>0</v>
      </c>
      <c r="C9" s="8" t="e">
        <f t="shared" si="1"/>
        <v>#DIV/0!</v>
      </c>
      <c r="D9" s="30" t="str">
        <f>HYPERLINK("https://healthcareweekly.com/astaxanthin/","15 health benefits of astaxanthin")</f>
        <v>15 health benefits of astaxanthin</v>
      </c>
      <c r="E9" s="12"/>
      <c r="F9" s="13"/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4</v>
      </c>
      <c r="C10" s="8">
        <f t="shared" si="1"/>
        <v>59.5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1046</v>
      </c>
      <c r="F10" s="24">
        <v>47</v>
      </c>
      <c r="G10" s="160" t="s">
        <v>1053</v>
      </c>
      <c r="H10" s="13">
        <v>68</v>
      </c>
      <c r="I10" s="21" t="s">
        <v>1055</v>
      </c>
      <c r="J10" s="13">
        <v>66</v>
      </c>
      <c r="K10" s="21" t="s">
        <v>1057</v>
      </c>
      <c r="L10" s="13">
        <v>57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75</v>
      </c>
      <c r="B12" s="8">
        <f t="shared" si="2"/>
        <v>0</v>
      </c>
      <c r="C12" s="8" t="e">
        <f t="shared" si="1"/>
        <v>#DIV/0!</v>
      </c>
      <c r="D12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76</v>
      </c>
      <c r="B13" s="8">
        <f t="shared" si="2"/>
        <v>0</v>
      </c>
      <c r="C13" s="8" t="e">
        <f t="shared" si="1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78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79</v>
      </c>
      <c r="B15" s="8">
        <f t="shared" si="2"/>
        <v>0</v>
      </c>
      <c r="C15" s="8" t="e">
        <f t="shared" si="1"/>
        <v>#DIV/0!</v>
      </c>
      <c r="D15" s="21" t="s">
        <v>77</v>
      </c>
      <c r="E15" s="33"/>
      <c r="F15" s="34"/>
      <c r="G15" s="12"/>
      <c r="H15" s="13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80</v>
      </c>
      <c r="B16" s="8">
        <f t="shared" si="2"/>
        <v>0</v>
      </c>
      <c r="C16" s="8" t="e">
        <f t="shared" si="1"/>
        <v>#DIV/0!</v>
      </c>
      <c r="D16" s="35" t="s">
        <v>77</v>
      </c>
      <c r="E16" s="12"/>
      <c r="F16" s="13"/>
      <c r="G16" s="28"/>
      <c r="H16" s="26"/>
      <c r="I16" s="28"/>
      <c r="J16" s="26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74</v>
      </c>
      <c r="B17" s="8">
        <f t="shared" si="2"/>
        <v>0</v>
      </c>
      <c r="C17" s="8" t="e">
        <f t="shared" si="1"/>
        <v>#DIV/0!</v>
      </c>
      <c r="D17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7" s="28"/>
      <c r="F17" s="26"/>
      <c r="G17" s="28"/>
      <c r="H17" s="26"/>
      <c r="I17" s="12"/>
      <c r="J17" s="13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13"/>
      <c r="AA17" s="8"/>
      <c r="AB17" s="8"/>
      <c r="AC17" s="8"/>
      <c r="AD17" s="8"/>
    </row>
    <row r="18" spans="1:30" ht="15.75" customHeight="1">
      <c r="A18" s="3" t="s">
        <v>81</v>
      </c>
      <c r="B18" s="8">
        <f t="shared" si="2"/>
        <v>0</v>
      </c>
      <c r="C18" s="8" t="e">
        <f t="shared" si="1"/>
        <v>#DIV/0!</v>
      </c>
      <c r="D18" s="36"/>
      <c r="E18" s="37"/>
      <c r="F18" s="38"/>
      <c r="G18" s="2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82</v>
      </c>
      <c r="B19" s="8">
        <f t="shared" si="2"/>
        <v>0</v>
      </c>
      <c r="C19" s="8" t="e">
        <f t="shared" si="1"/>
        <v>#DIV/0!</v>
      </c>
      <c r="D19" s="11" t="s">
        <v>77</v>
      </c>
      <c r="E19" s="3"/>
      <c r="F19" s="3"/>
      <c r="G19" s="16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83</v>
      </c>
      <c r="B20" s="8">
        <f t="shared" si="2"/>
        <v>0</v>
      </c>
      <c r="C20" s="8" t="e">
        <f t="shared" si="1"/>
        <v>#DIV/0!</v>
      </c>
      <c r="D20" s="21" t="s">
        <v>77</v>
      </c>
      <c r="E20" s="12"/>
      <c r="F20" s="13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84</v>
      </c>
      <c r="B21" s="8">
        <f t="shared" si="2"/>
        <v>0</v>
      </c>
      <c r="C21" s="8" t="e">
        <f t="shared" si="1"/>
        <v>#DIV/0!</v>
      </c>
      <c r="D21" s="21" t="s">
        <v>77</v>
      </c>
      <c r="E21" s="39"/>
      <c r="F21" s="7"/>
      <c r="G21" s="40"/>
      <c r="H21" s="8"/>
      <c r="I21" s="12"/>
      <c r="J21" s="13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85</v>
      </c>
      <c r="B22" s="8">
        <f t="shared" si="2"/>
        <v>0</v>
      </c>
      <c r="C22" s="8" t="e">
        <f t="shared" si="1"/>
        <v>#DIV/0!</v>
      </c>
      <c r="D22" s="21" t="s">
        <v>77</v>
      </c>
      <c r="E22" s="41"/>
      <c r="F22" s="4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86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2" t="s">
        <v>87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>
      <c r="A25" s="26" t="s">
        <v>88</v>
      </c>
      <c r="B25" s="8">
        <f t="shared" si="2"/>
        <v>0</v>
      </c>
      <c r="C25" s="8" t="e">
        <f t="shared" si="1"/>
        <v>#DIV/0!</v>
      </c>
      <c r="D25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5" s="27" t="s">
        <v>1099</v>
      </c>
      <c r="F25" s="26"/>
      <c r="G25" s="44"/>
      <c r="H25" s="24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89</v>
      </c>
      <c r="B26" s="8">
        <f t="shared" si="2"/>
        <v>0</v>
      </c>
      <c r="C26" s="8" t="e">
        <f t="shared" si="1"/>
        <v>#DIV/0!</v>
      </c>
      <c r="D26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6" s="28"/>
      <c r="F26" s="26"/>
      <c r="G26" s="29"/>
      <c r="H26" s="29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3" t="s">
        <v>90</v>
      </c>
      <c r="B27" s="8">
        <f t="shared" si="2"/>
        <v>0</v>
      </c>
      <c r="C27" s="8" t="e">
        <f t="shared" si="1"/>
        <v>#DIV/0!</v>
      </c>
      <c r="D27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7" s="33"/>
      <c r="F27" s="34"/>
      <c r="G27" s="12"/>
      <c r="H27" s="13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3" t="s">
        <v>59</v>
      </c>
      <c r="B28" s="8">
        <f t="shared" si="2"/>
        <v>1</v>
      </c>
      <c r="C28" s="8">
        <f t="shared" si="1"/>
        <v>56</v>
      </c>
      <c r="D28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8" s="33" t="s">
        <v>1094</v>
      </c>
      <c r="F28" s="34">
        <v>56</v>
      </c>
      <c r="G28" s="12"/>
      <c r="H28" s="13"/>
      <c r="I28" s="12"/>
      <c r="J28" s="13"/>
      <c r="K28" s="12"/>
      <c r="L28" s="1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91</v>
      </c>
      <c r="B29" s="8">
        <f t="shared" si="2"/>
        <v>1</v>
      </c>
      <c r="C29" s="8">
        <f t="shared" si="1"/>
        <v>27</v>
      </c>
      <c r="D29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9" s="22" t="s">
        <v>990</v>
      </c>
      <c r="F29" s="24">
        <v>27</v>
      </c>
      <c r="G29" s="12"/>
      <c r="H29" s="13"/>
      <c r="I29" s="28"/>
      <c r="J29" s="26"/>
      <c r="K29" s="167"/>
      <c r="L29" s="45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92</v>
      </c>
      <c r="B30" s="8">
        <f t="shared" si="2"/>
        <v>1</v>
      </c>
      <c r="C30" s="8">
        <f t="shared" si="1"/>
        <v>10</v>
      </c>
      <c r="D30" s="21" t="s">
        <v>77</v>
      </c>
      <c r="E30" s="27" t="s">
        <v>1085</v>
      </c>
      <c r="F30" s="26">
        <v>10</v>
      </c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93</v>
      </c>
      <c r="B31" s="8">
        <f t="shared" si="2"/>
        <v>0</v>
      </c>
      <c r="C31" s="8" t="e">
        <f t="shared" si="1"/>
        <v>#DIV/0!</v>
      </c>
      <c r="D31" s="30" t="s">
        <v>77</v>
      </c>
      <c r="E31" s="28"/>
      <c r="F31" s="26"/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2" t="s">
        <v>94</v>
      </c>
      <c r="B32" s="8">
        <f t="shared" si="2"/>
        <v>0</v>
      </c>
      <c r="C32" s="8" t="e">
        <f t="shared" si="1"/>
        <v>#DIV/0!</v>
      </c>
      <c r="D32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2" s="12"/>
      <c r="F32" s="13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3" t="s">
        <v>95</v>
      </c>
      <c r="B33" s="8">
        <f t="shared" si="2"/>
        <v>0</v>
      </c>
      <c r="C33" s="8" t="e">
        <f t="shared" si="1"/>
        <v>#DIV/0!</v>
      </c>
      <c r="D33" s="8"/>
      <c r="E33" s="12"/>
      <c r="F33" s="13"/>
      <c r="G33" s="12"/>
      <c r="H33" s="13"/>
      <c r="I33" s="28"/>
      <c r="J33" s="26"/>
      <c r="K33" s="23"/>
      <c r="L33" s="24"/>
      <c r="M33" s="12"/>
      <c r="N33" s="13"/>
      <c r="O33" s="46"/>
      <c r="P33" s="47"/>
      <c r="Q33" s="28"/>
      <c r="R33" s="26"/>
      <c r="S33" s="12"/>
      <c r="T33" s="13"/>
      <c r="U33" s="12"/>
      <c r="V33" s="13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37" t="s">
        <v>98</v>
      </c>
      <c r="B34" s="47">
        <f ca="1">COUNTIF(A34:AD34,"&gt;0")</f>
        <v>3</v>
      </c>
      <c r="C34" s="49">
        <f t="shared" ca="1" si="1"/>
        <v>12.33333333</v>
      </c>
      <c r="D34" s="50" t="str">
        <f>HYPERLINK("https://www.digitalauthority.me/resources/healthcare-app-development-ultimate-guide/","Healthcare Mobile App development")</f>
        <v>Healthcare Mobile App development</v>
      </c>
      <c r="E34" s="32" t="s">
        <v>1096</v>
      </c>
      <c r="F34" s="31">
        <v>37</v>
      </c>
      <c r="G34" s="11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>
      <c r="A35" s="3" t="s">
        <v>100</v>
      </c>
      <c r="B35" s="8">
        <f t="shared" ref="B35:B54" si="3">COUNTIF(E35:AD35,"&gt;0")</f>
        <v>0</v>
      </c>
      <c r="C35" s="8" t="e">
        <f t="shared" si="1"/>
        <v>#DIV/0!</v>
      </c>
      <c r="D35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5" s="51"/>
      <c r="F35" s="51"/>
      <c r="G35" s="5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26" t="s">
        <v>101</v>
      </c>
      <c r="B36" s="8">
        <f t="shared" si="3"/>
        <v>0</v>
      </c>
      <c r="C36" s="8" t="e">
        <f t="shared" si="1"/>
        <v>#DIV/0!</v>
      </c>
      <c r="D36" s="27" t="str">
        <f>HYPERLINK("https://healthcareweekly.com/healthcare-startup-fails/","Most Common Health Startup Mistakes – and How to Fix Them
")</f>
        <v>Most Common Health Startup Mistakes – and How to Fix Them_x000D_</v>
      </c>
      <c r="E36" s="28"/>
      <c r="F36" s="26"/>
      <c r="G36" s="28"/>
      <c r="H36" s="26"/>
      <c r="I36" s="12"/>
      <c r="J36" s="13"/>
      <c r="K36" s="29"/>
      <c r="L36" s="29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26" t="s">
        <v>102</v>
      </c>
      <c r="B37" s="8">
        <f t="shared" si="3"/>
        <v>1</v>
      </c>
      <c r="C37" s="8">
        <f t="shared" si="1"/>
        <v>34</v>
      </c>
      <c r="D37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7" s="27" t="s">
        <v>1083</v>
      </c>
      <c r="F37" s="26">
        <v>34</v>
      </c>
      <c r="G37" s="44"/>
      <c r="H37" s="24"/>
      <c r="I37" s="28"/>
      <c r="J37" s="26"/>
      <c r="K37" s="52"/>
      <c r="L37" s="53"/>
      <c r="M37" s="28"/>
      <c r="N37" s="26"/>
      <c r="O37" s="12"/>
      <c r="P37" s="13"/>
      <c r="Q37" s="12"/>
      <c r="R37" s="13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26" t="s">
        <v>103</v>
      </c>
      <c r="B38" s="8">
        <f t="shared" si="3"/>
        <v>1</v>
      </c>
      <c r="C38" s="8">
        <f t="shared" si="1"/>
        <v>73</v>
      </c>
      <c r="D38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8" s="27" t="s">
        <v>1081</v>
      </c>
      <c r="F38" s="26">
        <v>73</v>
      </c>
      <c r="G38" s="44"/>
      <c r="H38" s="24"/>
      <c r="I38" s="28"/>
      <c r="J38" s="26"/>
      <c r="K38" s="12"/>
      <c r="L38" s="13"/>
      <c r="M38" s="12"/>
      <c r="N38" s="13"/>
      <c r="O38" s="13"/>
      <c r="P38" s="13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" t="s">
        <v>108</v>
      </c>
      <c r="B39" s="8">
        <f t="shared" si="3"/>
        <v>0</v>
      </c>
      <c r="C39" s="8" t="e">
        <f t="shared" si="1"/>
        <v>#DIV/0!</v>
      </c>
      <c r="D39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39" s="12"/>
      <c r="F39" s="13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3" t="s">
        <v>109</v>
      </c>
      <c r="B40" s="8">
        <f t="shared" si="3"/>
        <v>0</v>
      </c>
      <c r="C40" s="8" t="e">
        <f t="shared" si="1"/>
        <v>#DIV/0!</v>
      </c>
      <c r="D40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0" s="23"/>
      <c r="F40" s="24"/>
      <c r="G40" s="12"/>
      <c r="H40" s="13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13" t="s">
        <v>110</v>
      </c>
      <c r="B41" s="8">
        <f t="shared" si="3"/>
        <v>2</v>
      </c>
      <c r="C41" s="8">
        <f t="shared" si="1"/>
        <v>46</v>
      </c>
      <c r="D41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1" s="21" t="s">
        <v>1047</v>
      </c>
      <c r="F41" s="13">
        <v>52</v>
      </c>
      <c r="G41" s="21" t="s">
        <v>1938</v>
      </c>
      <c r="H41" s="13">
        <v>40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3" t="s">
        <v>111</v>
      </c>
      <c r="B42" s="8">
        <f t="shared" si="3"/>
        <v>0</v>
      </c>
      <c r="C42" s="8" t="e">
        <f t="shared" si="1"/>
        <v>#DIV/0!</v>
      </c>
      <c r="D42" s="11" t="str">
        <f>HYPERLINK("https://www.digitalauthority.me/resources/it-marketing-guide/","2019 IT marketing Guide")</f>
        <v>2019 IT marketing Guide</v>
      </c>
      <c r="E42" s="3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112</v>
      </c>
      <c r="B43" s="8">
        <f t="shared" si="3"/>
        <v>0</v>
      </c>
      <c r="C43" s="8" t="e">
        <f t="shared" si="1"/>
        <v>#DIV/0!</v>
      </c>
      <c r="D43" s="30" t="str">
        <f t="shared" ref="D43:D44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113</v>
      </c>
      <c r="B44" s="8">
        <f t="shared" si="3"/>
        <v>0</v>
      </c>
      <c r="C44" s="8" t="e">
        <f t="shared" si="1"/>
        <v>#DIV/0!</v>
      </c>
      <c r="D44" s="30" t="str">
        <f t="shared" si="4"/>
        <v>5 Key Strategies for Your Financial Product Marketing Initiatives in 2019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115</v>
      </c>
      <c r="B45" s="8">
        <f t="shared" si="3"/>
        <v>0</v>
      </c>
      <c r="C45" s="8" t="e">
        <f t="shared" si="1"/>
        <v>#DIV/0!</v>
      </c>
      <c r="D45" s="21" t="s">
        <v>77</v>
      </c>
      <c r="E45" s="28"/>
      <c r="F45" s="26"/>
      <c r="G45" s="57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2" t="s">
        <v>119</v>
      </c>
      <c r="B46" s="8">
        <f t="shared" si="3"/>
        <v>1</v>
      </c>
      <c r="C46" s="8">
        <f t="shared" si="1"/>
        <v>39</v>
      </c>
      <c r="D46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6" s="30" t="s">
        <v>1052</v>
      </c>
      <c r="F46" s="13">
        <v>39</v>
      </c>
      <c r="G46" s="12"/>
      <c r="H46" s="13"/>
      <c r="I46" s="12"/>
      <c r="J46" s="13"/>
      <c r="K46" s="12"/>
      <c r="L46" s="13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26" t="s">
        <v>122</v>
      </c>
      <c r="B47" s="8">
        <f t="shared" si="3"/>
        <v>0</v>
      </c>
      <c r="C47" s="8" t="e">
        <f t="shared" si="1"/>
        <v>#DIV/0!</v>
      </c>
      <c r="D47" s="59" t="str">
        <f t="shared" ref="D47:D48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7" s="12"/>
      <c r="F47" s="13"/>
      <c r="G47" s="28"/>
      <c r="H47" s="26"/>
      <c r="I47" s="28"/>
      <c r="J47" s="26"/>
      <c r="K47" s="29"/>
      <c r="L47" s="29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26" t="s">
        <v>123</v>
      </c>
      <c r="B48" s="8">
        <f t="shared" si="3"/>
        <v>0</v>
      </c>
      <c r="C48" s="8" t="e">
        <f t="shared" si="1"/>
        <v>#DIV/0!</v>
      </c>
      <c r="D48" s="54" t="str">
        <f t="shared" si="5"/>
        <v xml:space="preserve">11 online reputation management techniques for doctors (the definitive guide)
</v>
      </c>
      <c r="E48" s="28"/>
      <c r="F48" s="26"/>
      <c r="G48" s="28"/>
      <c r="H48" s="26"/>
      <c r="I48" s="28"/>
      <c r="J48" s="26"/>
      <c r="K48" s="29"/>
      <c r="L48" s="29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0" t="s">
        <v>128</v>
      </c>
      <c r="B49" s="8">
        <f t="shared" si="3"/>
        <v>0</v>
      </c>
      <c r="C49" s="8" t="e">
        <f t="shared" si="1"/>
        <v>#DIV/0!</v>
      </c>
      <c r="D49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49" s="10"/>
      <c r="F49" s="13"/>
      <c r="G49" s="12"/>
      <c r="H49" s="13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129</v>
      </c>
      <c r="B50" s="8">
        <f t="shared" si="3"/>
        <v>0</v>
      </c>
      <c r="C50" s="8" t="e">
        <f t="shared" si="1"/>
        <v>#DIV/0!</v>
      </c>
      <c r="D50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0" s="28"/>
      <c r="F50" s="26"/>
      <c r="G50" s="12"/>
      <c r="H50" s="13"/>
      <c r="I50" s="12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3" t="s">
        <v>130</v>
      </c>
      <c r="B51" s="8">
        <f t="shared" si="3"/>
        <v>0</v>
      </c>
      <c r="C51" s="8" t="e">
        <f t="shared" si="1"/>
        <v>#DIV/0!</v>
      </c>
      <c r="D51" s="30" t="str">
        <f>HYPERLINK("https://www.digitalauthority.me/web-analytics-services-chicago/","Web Analytics Services page")</f>
        <v>Web Analytics Services page</v>
      </c>
      <c r="E51" s="12"/>
      <c r="F51" s="13"/>
      <c r="G51" s="12"/>
      <c r="H51" s="13"/>
      <c r="I51" s="12"/>
      <c r="J51" s="13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13" t="s">
        <v>131</v>
      </c>
      <c r="B52" s="8">
        <f t="shared" si="3"/>
        <v>0</v>
      </c>
      <c r="C52" s="8" t="e">
        <f t="shared" si="1"/>
        <v>#DIV/0!</v>
      </c>
      <c r="D52" s="21" t="s">
        <v>132</v>
      </c>
      <c r="E52" s="46"/>
      <c r="F52" s="4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1939</v>
      </c>
      <c r="B53" s="8">
        <f t="shared" si="3"/>
        <v>1</v>
      </c>
      <c r="C53" s="8">
        <f t="shared" si="1"/>
        <v>27</v>
      </c>
      <c r="D53" s="30" t="str">
        <f>HYPERLINK("https://www.digitalauthority.me/resources/influencer-marketing-guide/","Ultimate Guide to Influencer Marketing: What You Need to Know
")</f>
        <v>Ultimate Guide to Influencer Marketing: What You Need to Know_x000D_</v>
      </c>
      <c r="E53" s="13" t="s">
        <v>1940</v>
      </c>
      <c r="F53" s="13">
        <v>27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99</v>
      </c>
      <c r="B54" s="8">
        <f t="shared" si="3"/>
        <v>1</v>
      </c>
      <c r="C54" s="8">
        <f t="shared" si="1"/>
        <v>71</v>
      </c>
      <c r="D54" s="11" t="str">
        <f>HYPERLINK("https://www.digitalauthority.me/resources/public-relations-healthcare-guide/","Healthcare PR Guide")</f>
        <v>Healthcare PR Guide</v>
      </c>
      <c r="E54" s="21" t="s">
        <v>1103</v>
      </c>
      <c r="F54" s="13">
        <v>71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</sheetData>
  <hyperlinks>
    <hyperlink ref="E4" r:id="rId1"/>
    <hyperlink ref="G4" r:id="rId2"/>
    <hyperlink ref="I4" r:id="rId3"/>
    <hyperlink ref="K4" r:id="rId4"/>
    <hyperlink ref="M4" r:id="rId5"/>
    <hyperlink ref="O4" r:id="rId6"/>
    <hyperlink ref="E6" r:id="rId7"/>
    <hyperlink ref="E8" r:id="rId8"/>
    <hyperlink ref="G8" r:id="rId9"/>
    <hyperlink ref="E10" r:id="rId10"/>
    <hyperlink ref="G10" r:id="rId11"/>
    <hyperlink ref="I10" r:id="rId12"/>
    <hyperlink ref="K10" r:id="rId13"/>
    <hyperlink ref="D13" r:id="rId14"/>
    <hyperlink ref="D14" r:id="rId15"/>
    <hyperlink ref="D15" r:id="rId16"/>
    <hyperlink ref="D16" r:id="rId17"/>
    <hyperlink ref="D19" r:id="rId18"/>
    <hyperlink ref="D20" r:id="rId19"/>
    <hyperlink ref="D21" r:id="rId20"/>
    <hyperlink ref="D22" r:id="rId21"/>
    <hyperlink ref="D23" r:id="rId22"/>
    <hyperlink ref="D24" r:id="rId23"/>
    <hyperlink ref="E25" r:id="rId24"/>
    <hyperlink ref="E28" r:id="rId25"/>
    <hyperlink ref="E29" r:id="rId26"/>
    <hyperlink ref="D30" r:id="rId27"/>
    <hyperlink ref="E30" r:id="rId28"/>
    <hyperlink ref="D31" r:id="rId29"/>
    <hyperlink ref="E34" r:id="rId30"/>
    <hyperlink ref="E37" r:id="rId31"/>
    <hyperlink ref="E38" r:id="rId32"/>
    <hyperlink ref="E41" r:id="rId33"/>
    <hyperlink ref="G41" r:id="rId34"/>
    <hyperlink ref="D45" r:id="rId35"/>
    <hyperlink ref="E46" r:id="rId36"/>
    <hyperlink ref="D52" r:id="rId37"/>
    <hyperlink ref="E54" r:id="rId3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5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2</v>
      </c>
      <c r="C4" s="8">
        <f t="shared" si="1"/>
        <v>50.5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1114</v>
      </c>
      <c r="F4" s="13">
        <v>30</v>
      </c>
      <c r="G4" s="158" t="s">
        <v>1116</v>
      </c>
      <c r="H4" s="13">
        <v>71</v>
      </c>
      <c r="I4" s="12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3</v>
      </c>
      <c r="C8" s="8">
        <f t="shared" ca="1" si="1"/>
        <v>11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61" t="s">
        <v>1141</v>
      </c>
      <c r="F8" s="24">
        <v>33</v>
      </c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3" si="2">COUNTIF(E9:AD9,"&gt;0")</f>
        <v>1</v>
      </c>
      <c r="C9" s="8">
        <f t="shared" si="1"/>
        <v>24</v>
      </c>
      <c r="D9" s="30" t="str">
        <f>HYPERLINK("https://healthcareweekly.com/astaxanthin/","15 health benefits of astaxanthin")</f>
        <v>15 health benefits of astaxanthin</v>
      </c>
      <c r="E9" s="30" t="s">
        <v>1162</v>
      </c>
      <c r="F9" s="13">
        <v>24</v>
      </c>
      <c r="G9" s="30" t="s">
        <v>1188</v>
      </c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0</v>
      </c>
      <c r="C10" s="8" t="e">
        <f t="shared" si="1"/>
        <v>#DIV/0!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7"/>
      <c r="F10" s="38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75</v>
      </c>
      <c r="B12" s="8">
        <f t="shared" si="2"/>
        <v>0</v>
      </c>
      <c r="C12" s="8" t="e">
        <f t="shared" si="1"/>
        <v>#DIV/0!</v>
      </c>
      <c r="D12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76</v>
      </c>
      <c r="B13" s="8">
        <f t="shared" si="2"/>
        <v>0</v>
      </c>
      <c r="C13" s="8" t="e">
        <f t="shared" si="1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78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79</v>
      </c>
      <c r="B15" s="8">
        <f t="shared" si="2"/>
        <v>1</v>
      </c>
      <c r="C15" s="8">
        <f t="shared" si="1"/>
        <v>62</v>
      </c>
      <c r="D15" s="21" t="s">
        <v>77</v>
      </c>
      <c r="E15" s="21" t="s">
        <v>1176</v>
      </c>
      <c r="F15" s="13">
        <v>62</v>
      </c>
      <c r="G15" s="12"/>
      <c r="H15" s="13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80</v>
      </c>
      <c r="B16" s="8">
        <f t="shared" si="2"/>
        <v>0</v>
      </c>
      <c r="C16" s="8" t="e">
        <f t="shared" si="1"/>
        <v>#DIV/0!</v>
      </c>
      <c r="D16" s="35" t="s">
        <v>77</v>
      </c>
      <c r="E16" s="12"/>
      <c r="F16" s="13"/>
      <c r="G16" s="28"/>
      <c r="H16" s="26"/>
      <c r="I16" s="28"/>
      <c r="J16" s="26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74</v>
      </c>
      <c r="B17" s="8">
        <f t="shared" si="2"/>
        <v>0</v>
      </c>
      <c r="C17" s="8" t="e">
        <f t="shared" si="1"/>
        <v>#DIV/0!</v>
      </c>
      <c r="D17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7" s="28"/>
      <c r="F17" s="26"/>
      <c r="G17" s="28"/>
      <c r="H17" s="26"/>
      <c r="I17" s="12"/>
      <c r="J17" s="13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13"/>
      <c r="AA17" s="8"/>
      <c r="AB17" s="8"/>
      <c r="AC17" s="8"/>
      <c r="AD17" s="8"/>
    </row>
    <row r="18" spans="1:30" ht="15.75" customHeight="1">
      <c r="A18" s="3" t="s">
        <v>81</v>
      </c>
      <c r="B18" s="8">
        <f t="shared" si="2"/>
        <v>0</v>
      </c>
      <c r="C18" s="8" t="e">
        <f t="shared" si="1"/>
        <v>#DIV/0!</v>
      </c>
      <c r="D18" s="36"/>
      <c r="E18" s="37"/>
      <c r="F18" s="38"/>
      <c r="G18" s="2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82</v>
      </c>
      <c r="B19" s="8">
        <f t="shared" si="2"/>
        <v>0</v>
      </c>
      <c r="C19" s="8" t="e">
        <f t="shared" si="1"/>
        <v>#DIV/0!</v>
      </c>
      <c r="D19" s="11" t="s">
        <v>77</v>
      </c>
      <c r="E19" s="3"/>
      <c r="F19" s="3"/>
      <c r="G19" s="16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83</v>
      </c>
      <c r="B20" s="8">
        <f t="shared" si="2"/>
        <v>0</v>
      </c>
      <c r="C20" s="8" t="e">
        <f t="shared" si="1"/>
        <v>#DIV/0!</v>
      </c>
      <c r="D20" s="21" t="s">
        <v>77</v>
      </c>
      <c r="E20" s="12"/>
      <c r="F20" s="13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84</v>
      </c>
      <c r="B21" s="8">
        <f t="shared" si="2"/>
        <v>0</v>
      </c>
      <c r="C21" s="8" t="e">
        <f t="shared" si="1"/>
        <v>#DIV/0!</v>
      </c>
      <c r="D21" s="21" t="s">
        <v>77</v>
      </c>
      <c r="E21" s="39"/>
      <c r="F21" s="7"/>
      <c r="G21" s="40"/>
      <c r="H21" s="8"/>
      <c r="I21" s="12"/>
      <c r="J21" s="13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85</v>
      </c>
      <c r="B22" s="8">
        <f t="shared" si="2"/>
        <v>0</v>
      </c>
      <c r="C22" s="8" t="e">
        <f t="shared" si="1"/>
        <v>#DIV/0!</v>
      </c>
      <c r="D22" s="21" t="s">
        <v>77</v>
      </c>
      <c r="E22" s="41"/>
      <c r="F22" s="4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86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2" t="s">
        <v>87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>
      <c r="A25" s="26" t="s">
        <v>88</v>
      </c>
      <c r="B25" s="8">
        <f t="shared" si="2"/>
        <v>0</v>
      </c>
      <c r="C25" s="8" t="e">
        <f t="shared" si="1"/>
        <v>#DIV/0!</v>
      </c>
      <c r="D25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5" s="28"/>
      <c r="F25" s="26"/>
      <c r="G25" s="44"/>
      <c r="H25" s="24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89</v>
      </c>
      <c r="B26" s="8">
        <f t="shared" si="2"/>
        <v>0</v>
      </c>
      <c r="C26" s="8" t="e">
        <f t="shared" si="1"/>
        <v>#DIV/0!</v>
      </c>
      <c r="D26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6" s="28"/>
      <c r="F26" s="26"/>
      <c r="G26" s="29"/>
      <c r="H26" s="29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3" t="s">
        <v>90</v>
      </c>
      <c r="B27" s="8">
        <f t="shared" si="2"/>
        <v>0</v>
      </c>
      <c r="C27" s="8" t="e">
        <f t="shared" si="1"/>
        <v>#DIV/0!</v>
      </c>
      <c r="D27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7" s="33"/>
      <c r="F27" s="34"/>
      <c r="G27" s="12"/>
      <c r="H27" s="13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3" t="s">
        <v>59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8" s="33"/>
      <c r="F28" s="34"/>
      <c r="G28" s="12"/>
      <c r="H28" s="13"/>
      <c r="I28" s="12"/>
      <c r="J28" s="13"/>
      <c r="K28" s="12"/>
      <c r="L28" s="1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91</v>
      </c>
      <c r="B29" s="8">
        <f t="shared" si="2"/>
        <v>5</v>
      </c>
      <c r="C29" s="8">
        <f t="shared" si="1"/>
        <v>51.8</v>
      </c>
      <c r="D29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9" s="22" t="s">
        <v>990</v>
      </c>
      <c r="F29" s="24">
        <v>27</v>
      </c>
      <c r="G29" s="30" t="s">
        <v>1123</v>
      </c>
      <c r="H29" s="13">
        <v>54</v>
      </c>
      <c r="I29" s="27" t="s">
        <v>1941</v>
      </c>
      <c r="J29" s="26">
        <v>56</v>
      </c>
      <c r="K29" s="175" t="s">
        <v>1156</v>
      </c>
      <c r="L29" s="176">
        <v>60</v>
      </c>
      <c r="M29" s="21" t="s">
        <v>1176</v>
      </c>
      <c r="N29" s="13">
        <v>62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92</v>
      </c>
      <c r="B30" s="8">
        <f t="shared" si="2"/>
        <v>0</v>
      </c>
      <c r="C30" s="8" t="e">
        <f t="shared" si="1"/>
        <v>#DIV/0!</v>
      </c>
      <c r="D30" s="21" t="s">
        <v>77</v>
      </c>
      <c r="E30" s="28"/>
      <c r="F30" s="26"/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93</v>
      </c>
      <c r="B31" s="8">
        <f t="shared" si="2"/>
        <v>0</v>
      </c>
      <c r="C31" s="8" t="e">
        <f t="shared" si="1"/>
        <v>#DIV/0!</v>
      </c>
      <c r="D31" s="30" t="s">
        <v>77</v>
      </c>
      <c r="E31" s="28"/>
      <c r="F31" s="26"/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2" t="s">
        <v>94</v>
      </c>
      <c r="B32" s="8">
        <f t="shared" si="2"/>
        <v>0</v>
      </c>
      <c r="C32" s="8" t="e">
        <f t="shared" si="1"/>
        <v>#DIV/0!</v>
      </c>
      <c r="D32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2" s="12"/>
      <c r="F32" s="13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3" t="s">
        <v>95</v>
      </c>
      <c r="B33" s="8">
        <f t="shared" si="2"/>
        <v>0</v>
      </c>
      <c r="C33" s="8" t="e">
        <f t="shared" si="1"/>
        <v>#DIV/0!</v>
      </c>
      <c r="D33" s="8"/>
      <c r="E33" s="12"/>
      <c r="F33" s="13"/>
      <c r="G33" s="12"/>
      <c r="H33" s="13"/>
      <c r="I33" s="28"/>
      <c r="J33" s="26"/>
      <c r="K33" s="23"/>
      <c r="L33" s="24"/>
      <c r="M33" s="12"/>
      <c r="N33" s="13"/>
      <c r="O33" s="46"/>
      <c r="P33" s="47"/>
      <c r="Q33" s="28"/>
      <c r="R33" s="26"/>
      <c r="S33" s="12"/>
      <c r="T33" s="13"/>
      <c r="U33" s="12"/>
      <c r="V33" s="13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37" t="s">
        <v>98</v>
      </c>
      <c r="B34" s="47">
        <f ca="1">COUNTIF(A34:AD34,"&gt;0")</f>
        <v>5</v>
      </c>
      <c r="C34" s="49">
        <f t="shared" ca="1" si="1"/>
        <v>18</v>
      </c>
      <c r="D34" s="50" t="str">
        <f>HYPERLINK("https://www.digitalauthority.me/resources/healthcare-app-development-ultimate-guide/","Healthcare Mobile App development")</f>
        <v>Healthcare Mobile App development</v>
      </c>
      <c r="E34" s="32" t="s">
        <v>1942</v>
      </c>
      <c r="F34" s="31">
        <v>35</v>
      </c>
      <c r="G34" s="32" t="s">
        <v>1131</v>
      </c>
      <c r="H34" s="31">
        <v>31</v>
      </c>
      <c r="I34" s="21" t="s">
        <v>1170</v>
      </c>
      <c r="J34" s="13">
        <v>24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5.75" customHeight="1">
      <c r="A35" s="13" t="s">
        <v>99</v>
      </c>
      <c r="B35" s="8">
        <f t="shared" ref="B35:B55" si="3">COUNTIF(E35:AD35,"&gt;0")</f>
        <v>1</v>
      </c>
      <c r="C35" s="8">
        <f t="shared" si="1"/>
        <v>39</v>
      </c>
      <c r="D35" s="11" t="str">
        <f>HYPERLINK("https://www.digitalauthority.me/resources/public-relations-healthcare-guide/","Healthcare PR Guide")</f>
        <v>Healthcare PR Guide</v>
      </c>
      <c r="E35" s="21" t="s">
        <v>1943</v>
      </c>
      <c r="F35" s="13">
        <v>39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>
      <c r="A36" s="3" t="s">
        <v>100</v>
      </c>
      <c r="B36" s="8">
        <f t="shared" si="3"/>
        <v>0</v>
      </c>
      <c r="C36" s="8" t="e">
        <f t="shared" si="1"/>
        <v>#DIV/0!</v>
      </c>
      <c r="D36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6" s="51"/>
      <c r="F36" s="51"/>
      <c r="G36" s="5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26" t="s">
        <v>101</v>
      </c>
      <c r="B37" s="8">
        <f t="shared" si="3"/>
        <v>0</v>
      </c>
      <c r="C37" s="8" t="e">
        <f t="shared" si="1"/>
        <v>#DIV/0!</v>
      </c>
      <c r="D37" s="27" t="str">
        <f>HYPERLINK("https://healthcareweekly.com/healthcare-startup-fails/","Most Common Health Startup Mistakes – and How to Fix Them
")</f>
        <v>Most Common Health Startup Mistakes – and How to Fix Them_x000D_</v>
      </c>
      <c r="E37" s="28"/>
      <c r="F37" s="26"/>
      <c r="G37" s="28"/>
      <c r="H37" s="26"/>
      <c r="I37" s="12"/>
      <c r="J37" s="13"/>
      <c r="K37" s="29"/>
      <c r="L37" s="29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26" t="s">
        <v>102</v>
      </c>
      <c r="B38" s="8">
        <f t="shared" si="3"/>
        <v>0</v>
      </c>
      <c r="C38" s="8" t="e">
        <f t="shared" si="1"/>
        <v>#DIV/0!</v>
      </c>
      <c r="D38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8" s="28"/>
      <c r="F38" s="26"/>
      <c r="G38" s="44"/>
      <c r="H38" s="24"/>
      <c r="I38" s="28"/>
      <c r="J38" s="26"/>
      <c r="K38" s="52"/>
      <c r="L38" s="53"/>
      <c r="M38" s="28"/>
      <c r="N38" s="26"/>
      <c r="O38" s="12"/>
      <c r="P38" s="13"/>
      <c r="Q38" s="12"/>
      <c r="R38" s="13"/>
      <c r="S38" s="12"/>
      <c r="T38" s="13"/>
      <c r="U38" s="12"/>
      <c r="V38" s="13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103</v>
      </c>
      <c r="B39" s="8">
        <f t="shared" si="3"/>
        <v>0</v>
      </c>
      <c r="C39" s="8" t="e">
        <f t="shared" si="1"/>
        <v>#DIV/0!</v>
      </c>
      <c r="D39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9" s="28"/>
      <c r="F39" s="26"/>
      <c r="G39" s="44"/>
      <c r="H39" s="24"/>
      <c r="I39" s="28"/>
      <c r="J39" s="26"/>
      <c r="K39" s="12"/>
      <c r="L39" s="13"/>
      <c r="M39" s="12"/>
      <c r="N39" s="13"/>
      <c r="O39" s="13"/>
      <c r="P39" s="13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3" t="s">
        <v>108</v>
      </c>
      <c r="B40" s="8">
        <f t="shared" si="3"/>
        <v>0</v>
      </c>
      <c r="C40" s="8" t="e">
        <f t="shared" si="1"/>
        <v>#DIV/0!</v>
      </c>
      <c r="D40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0" s="12"/>
      <c r="F40" s="13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3" t="s">
        <v>109</v>
      </c>
      <c r="B41" s="8">
        <f t="shared" si="3"/>
        <v>0</v>
      </c>
      <c r="C41" s="8" t="e">
        <f t="shared" si="1"/>
        <v>#DIV/0!</v>
      </c>
      <c r="D41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1" s="23"/>
      <c r="F41" s="24"/>
      <c r="G41" s="12"/>
      <c r="H41" s="13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110</v>
      </c>
      <c r="B42" s="8">
        <f t="shared" si="3"/>
        <v>1</v>
      </c>
      <c r="C42" s="8">
        <f t="shared" si="1"/>
        <v>70</v>
      </c>
      <c r="D42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2" s="21" t="s">
        <v>1133</v>
      </c>
      <c r="F42" s="13">
        <v>70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111</v>
      </c>
      <c r="B43" s="8">
        <f t="shared" si="3"/>
        <v>2</v>
      </c>
      <c r="C43" s="8">
        <f t="shared" si="1"/>
        <v>40.5</v>
      </c>
      <c r="D43" s="11" t="str">
        <f>HYPERLINK("https://www.digitalauthority.me/resources/it-marketing-guide/","2019 IT marketing Guide")</f>
        <v>2019 IT marketing Guide</v>
      </c>
      <c r="E43" s="61" t="s">
        <v>1126</v>
      </c>
      <c r="F43" s="13">
        <v>42</v>
      </c>
      <c r="G43" s="21" t="s">
        <v>1943</v>
      </c>
      <c r="H43" s="13">
        <v>39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112</v>
      </c>
      <c r="B44" s="8">
        <f t="shared" si="3"/>
        <v>0</v>
      </c>
      <c r="C44" s="8" t="e">
        <f t="shared" si="1"/>
        <v>#DIV/0!</v>
      </c>
      <c r="D44" s="30" t="str">
        <f t="shared" ref="D44:D45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3" t="s">
        <v>113</v>
      </c>
      <c r="B45" s="8">
        <f t="shared" si="3"/>
        <v>0</v>
      </c>
      <c r="C45" s="8" t="e">
        <f t="shared" si="1"/>
        <v>#DIV/0!</v>
      </c>
      <c r="D45" s="30" t="str">
        <f t="shared" si="4"/>
        <v>5 Key Strategies for Your Financial Product Marketing Initiatives in 2019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115</v>
      </c>
      <c r="B46" s="8">
        <f t="shared" si="3"/>
        <v>0</v>
      </c>
      <c r="C46" s="8" t="e">
        <f t="shared" si="1"/>
        <v>#DIV/0!</v>
      </c>
      <c r="D46" s="21" t="s">
        <v>77</v>
      </c>
      <c r="E46" s="28"/>
      <c r="F46" s="26"/>
      <c r="G46" s="57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3" t="s">
        <v>118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HYPERLINK("https://www.digitalauthority.me/resources/mobile-app-marketing-guide/","Mobile app marketing guide")</f>
        <v>Mobile app marketing guide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12" t="s">
        <v>119</v>
      </c>
      <c r="B48" s="8">
        <f t="shared" si="3"/>
        <v>0</v>
      </c>
      <c r="C48" s="8" t="e">
        <f t="shared" si="1"/>
        <v>#DIV/0!</v>
      </c>
      <c r="D48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8" s="12"/>
      <c r="F48" s="13"/>
      <c r="G48" s="12"/>
      <c r="H48" s="13"/>
      <c r="I48" s="12"/>
      <c r="J48" s="13"/>
      <c r="K48" s="12"/>
      <c r="L48" s="13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26" t="s">
        <v>122</v>
      </c>
      <c r="B49" s="8">
        <f t="shared" si="3"/>
        <v>0</v>
      </c>
      <c r="C49" s="8" t="e">
        <f t="shared" si="1"/>
        <v>#DIV/0!</v>
      </c>
      <c r="D49" s="59" t="str">
        <f t="shared" ref="D49:D5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9" s="12"/>
      <c r="F49" s="13"/>
      <c r="G49" s="28"/>
      <c r="H49" s="26"/>
      <c r="I49" s="28"/>
      <c r="J49" s="26"/>
      <c r="K49" s="29"/>
      <c r="L49" s="29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26" t="s">
        <v>123</v>
      </c>
      <c r="B50" s="8">
        <f t="shared" si="3"/>
        <v>0</v>
      </c>
      <c r="C50" s="8" t="e">
        <f t="shared" si="1"/>
        <v>#DIV/0!</v>
      </c>
      <c r="D50" s="54" t="str">
        <f t="shared" si="5"/>
        <v xml:space="preserve">11 online reputation management techniques for doctors (the definitive guide)
</v>
      </c>
      <c r="E50" s="28"/>
      <c r="F50" s="26"/>
      <c r="G50" s="28"/>
      <c r="H50" s="26"/>
      <c r="I50" s="28"/>
      <c r="J50" s="26"/>
      <c r="K50" s="29"/>
      <c r="L50" s="29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0" t="s">
        <v>128</v>
      </c>
      <c r="B51" s="8">
        <f t="shared" si="3"/>
        <v>1</v>
      </c>
      <c r="C51" s="8">
        <f t="shared" si="1"/>
        <v>50</v>
      </c>
      <c r="D51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1" s="11" t="s">
        <v>1135</v>
      </c>
      <c r="F51" s="13">
        <v>50</v>
      </c>
      <c r="G51" s="12"/>
      <c r="H51" s="13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13" t="s">
        <v>129</v>
      </c>
      <c r="B52" s="8">
        <f t="shared" si="3"/>
        <v>4</v>
      </c>
      <c r="C52" s="8">
        <f t="shared" si="1"/>
        <v>70.25</v>
      </c>
      <c r="D52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2" s="27" t="s">
        <v>1148</v>
      </c>
      <c r="F52" s="26">
        <v>91</v>
      </c>
      <c r="G52" s="30" t="s">
        <v>1149</v>
      </c>
      <c r="H52" s="13">
        <v>74</v>
      </c>
      <c r="I52" s="30" t="s">
        <v>1150</v>
      </c>
      <c r="J52" s="13">
        <v>54</v>
      </c>
      <c r="K52" s="21" t="s">
        <v>1176</v>
      </c>
      <c r="L52" s="13">
        <v>62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130</v>
      </c>
      <c r="B53" s="8">
        <f t="shared" si="3"/>
        <v>3</v>
      </c>
      <c r="C53" s="8">
        <f t="shared" si="1"/>
        <v>50</v>
      </c>
      <c r="D53" s="30" t="str">
        <f>HYPERLINK("https://www.digitalauthority.me/web-analytics-services-chicago/","Web Analytics Services page")</f>
        <v>Web Analytics Services page</v>
      </c>
      <c r="E53" s="30" t="s">
        <v>1113</v>
      </c>
      <c r="F53" s="13">
        <v>40</v>
      </c>
      <c r="G53" s="30" t="s">
        <v>1120</v>
      </c>
      <c r="H53" s="13">
        <v>59</v>
      </c>
      <c r="I53" s="30" t="s">
        <v>1129</v>
      </c>
      <c r="J53" s="13">
        <v>51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131</v>
      </c>
      <c r="B54" s="8">
        <f t="shared" si="3"/>
        <v>0</v>
      </c>
      <c r="C54" s="8" t="e">
        <f t="shared" si="1"/>
        <v>#DIV/0!</v>
      </c>
      <c r="D54" s="21" t="s">
        <v>132</v>
      </c>
      <c r="E54" s="46"/>
      <c r="F54" s="4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104</v>
      </c>
      <c r="B55" s="8">
        <f t="shared" si="3"/>
        <v>2</v>
      </c>
      <c r="C55" s="8">
        <f t="shared" si="1"/>
        <v>28</v>
      </c>
      <c r="D55" s="21" t="s">
        <v>105</v>
      </c>
      <c r="E55" s="21" t="s">
        <v>1154</v>
      </c>
      <c r="F55" s="13">
        <v>32</v>
      </c>
      <c r="G55" s="21" t="s">
        <v>1170</v>
      </c>
      <c r="H55" s="13">
        <v>24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E8" r:id="rId3"/>
    <hyperlink ref="E9" r:id="rId4"/>
    <hyperlink ref="G9" r:id="rId5"/>
    <hyperlink ref="D13" r:id="rId6"/>
    <hyperlink ref="D14" r:id="rId7"/>
    <hyperlink ref="D15" r:id="rId8"/>
    <hyperlink ref="E15" r:id="rId9"/>
    <hyperlink ref="D16" r:id="rId10"/>
    <hyperlink ref="D19" r:id="rId11"/>
    <hyperlink ref="D20" r:id="rId12"/>
    <hyperlink ref="D21" r:id="rId13"/>
    <hyperlink ref="D22" r:id="rId14"/>
    <hyperlink ref="D23" r:id="rId15"/>
    <hyperlink ref="D24" r:id="rId16"/>
    <hyperlink ref="E29" r:id="rId17"/>
    <hyperlink ref="G29" r:id="rId18"/>
    <hyperlink ref="I29" r:id="rId19"/>
    <hyperlink ref="K29" r:id="rId20"/>
    <hyperlink ref="M29" r:id="rId21"/>
    <hyperlink ref="D30" r:id="rId22"/>
    <hyperlink ref="D31" r:id="rId23"/>
    <hyperlink ref="E34" r:id="rId24"/>
    <hyperlink ref="G34" r:id="rId25"/>
    <hyperlink ref="I34" r:id="rId26"/>
    <hyperlink ref="E35" r:id="rId27"/>
    <hyperlink ref="E42" r:id="rId28"/>
    <hyperlink ref="E43" r:id="rId29"/>
    <hyperlink ref="G43" r:id="rId30"/>
    <hyperlink ref="D46" r:id="rId31"/>
    <hyperlink ref="E51" r:id="rId32"/>
    <hyperlink ref="E52" r:id="rId33"/>
    <hyperlink ref="G52" r:id="rId34"/>
    <hyperlink ref="I52" r:id="rId35"/>
    <hyperlink ref="K52" r:id="rId36"/>
    <hyperlink ref="E53" r:id="rId37"/>
    <hyperlink ref="G53" r:id="rId38"/>
    <hyperlink ref="I53" r:id="rId39"/>
    <hyperlink ref="D54" r:id="rId40"/>
    <hyperlink ref="D55" r:id="rId41"/>
    <hyperlink ref="E55" r:id="rId42"/>
    <hyperlink ref="G55" r:id="rId4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8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3</v>
      </c>
      <c r="C4" s="8">
        <f t="shared" si="1"/>
        <v>56.666666666666664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1197</v>
      </c>
      <c r="F4" s="13">
        <v>37</v>
      </c>
      <c r="G4" s="158" t="s">
        <v>1237</v>
      </c>
      <c r="H4" s="13">
        <v>81</v>
      </c>
      <c r="I4" s="30" t="s">
        <v>1240</v>
      </c>
      <c r="J4" s="13">
        <v>52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3</v>
      </c>
      <c r="C8" s="8">
        <f t="shared" ca="1" si="1"/>
        <v>11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61" t="s">
        <v>1234</v>
      </c>
      <c r="F8" s="24">
        <v>33</v>
      </c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3" si="2">COUNTIF(E9:AD9,"&gt;0")</f>
        <v>1</v>
      </c>
      <c r="C9" s="8">
        <f t="shared" si="1"/>
        <v>15</v>
      </c>
      <c r="D9" s="30" t="str">
        <f>HYPERLINK("https://healthcareweekly.com/astaxanthin/","15 health benefits of astaxanthin")</f>
        <v>15 health benefits of astaxanthin</v>
      </c>
      <c r="E9" s="30" t="s">
        <v>1203</v>
      </c>
      <c r="F9" s="13">
        <v>15</v>
      </c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0</v>
      </c>
      <c r="C10" s="8" t="e">
        <f t="shared" si="1"/>
        <v>#DIV/0!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7"/>
      <c r="F10" s="38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1</v>
      </c>
      <c r="C11" s="8">
        <f t="shared" si="1"/>
        <v>21</v>
      </c>
      <c r="D11" s="30" t="str">
        <f>HYPERLINK("https://healthcareweekly.com/blockchain-in-healthcare/","7 Applications of Blockchain in Healthcare
")</f>
        <v>7 Applications of Blockchain in Healthcare_x000D_</v>
      </c>
      <c r="E11" s="27" t="s">
        <v>1228</v>
      </c>
      <c r="F11" s="26">
        <v>21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75</v>
      </c>
      <c r="B12" s="8">
        <f t="shared" si="2"/>
        <v>0</v>
      </c>
      <c r="C12" s="8" t="e">
        <f t="shared" si="1"/>
        <v>#DIV/0!</v>
      </c>
      <c r="D12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76</v>
      </c>
      <c r="B13" s="8">
        <f t="shared" si="2"/>
        <v>0</v>
      </c>
      <c r="C13" s="8" t="e">
        <f t="shared" si="1"/>
        <v>#DIV/0!</v>
      </c>
      <c r="D13" s="21" t="s">
        <v>77</v>
      </c>
      <c r="E13" s="12"/>
      <c r="F13" s="1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78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79</v>
      </c>
      <c r="B15" s="8">
        <f t="shared" si="2"/>
        <v>0</v>
      </c>
      <c r="C15" s="8" t="e">
        <f t="shared" si="1"/>
        <v>#DIV/0!</v>
      </c>
      <c r="D15" s="21" t="s">
        <v>77</v>
      </c>
      <c r="E15" s="33"/>
      <c r="F15" s="34"/>
      <c r="G15" s="12"/>
      <c r="H15" s="13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26" t="s">
        <v>80</v>
      </c>
      <c r="B16" s="8">
        <f t="shared" si="2"/>
        <v>0</v>
      </c>
      <c r="C16" s="8" t="e">
        <f t="shared" si="1"/>
        <v>#DIV/0!</v>
      </c>
      <c r="D16" s="35" t="s">
        <v>77</v>
      </c>
      <c r="E16" s="12"/>
      <c r="F16" s="13"/>
      <c r="G16" s="28"/>
      <c r="H16" s="26"/>
      <c r="I16" s="28"/>
      <c r="J16" s="26"/>
      <c r="K16" s="28"/>
      <c r="L16" s="26"/>
      <c r="M16" s="12"/>
      <c r="N16" s="13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74</v>
      </c>
      <c r="B17" s="8">
        <f t="shared" si="2"/>
        <v>0</v>
      </c>
      <c r="C17" s="8" t="e">
        <f t="shared" si="1"/>
        <v>#DIV/0!</v>
      </c>
      <c r="D17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7" s="28"/>
      <c r="F17" s="26"/>
      <c r="G17" s="28"/>
      <c r="H17" s="26"/>
      <c r="I17" s="12"/>
      <c r="J17" s="13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13"/>
      <c r="AA17" s="8"/>
      <c r="AB17" s="8"/>
      <c r="AC17" s="8"/>
      <c r="AD17" s="8"/>
    </row>
    <row r="18" spans="1:30" ht="15.75" customHeight="1">
      <c r="A18" s="3" t="s">
        <v>81</v>
      </c>
      <c r="B18" s="8">
        <f t="shared" si="2"/>
        <v>0</v>
      </c>
      <c r="C18" s="8" t="e">
        <f t="shared" si="1"/>
        <v>#DIV/0!</v>
      </c>
      <c r="D18" s="36"/>
      <c r="E18" s="37"/>
      <c r="F18" s="38"/>
      <c r="G18" s="2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3" t="s">
        <v>82</v>
      </c>
      <c r="B19" s="8">
        <f t="shared" si="2"/>
        <v>0</v>
      </c>
      <c r="C19" s="8" t="e">
        <f t="shared" si="1"/>
        <v>#DIV/0!</v>
      </c>
      <c r="D19" s="11" t="s">
        <v>77</v>
      </c>
      <c r="E19" s="3"/>
      <c r="F19" s="3"/>
      <c r="G19" s="16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13" t="s">
        <v>83</v>
      </c>
      <c r="B20" s="8">
        <f t="shared" si="2"/>
        <v>0</v>
      </c>
      <c r="C20" s="8" t="e">
        <f t="shared" si="1"/>
        <v>#DIV/0!</v>
      </c>
      <c r="D20" s="21" t="s">
        <v>77</v>
      </c>
      <c r="E20" s="12"/>
      <c r="F20" s="13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84</v>
      </c>
      <c r="B21" s="8">
        <f t="shared" si="2"/>
        <v>1</v>
      </c>
      <c r="C21" s="8">
        <f t="shared" si="1"/>
        <v>21</v>
      </c>
      <c r="D21" s="21" t="s">
        <v>77</v>
      </c>
      <c r="E21" s="171" t="s">
        <v>1228</v>
      </c>
      <c r="F21" s="7">
        <v>21</v>
      </c>
      <c r="G21" s="40"/>
      <c r="H21" s="8"/>
      <c r="I21" s="12"/>
      <c r="J21" s="13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85</v>
      </c>
      <c r="B22" s="8">
        <f t="shared" si="2"/>
        <v>0</v>
      </c>
      <c r="C22" s="8" t="e">
        <f t="shared" si="1"/>
        <v>#DIV/0!</v>
      </c>
      <c r="D22" s="21" t="s">
        <v>77</v>
      </c>
      <c r="E22" s="41"/>
      <c r="F22" s="42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86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2" t="s">
        <v>87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>
      <c r="A25" s="26" t="s">
        <v>88</v>
      </c>
      <c r="B25" s="8">
        <f t="shared" si="2"/>
        <v>0</v>
      </c>
      <c r="C25" s="8" t="e">
        <f t="shared" si="1"/>
        <v>#DIV/0!</v>
      </c>
      <c r="D25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5" s="28"/>
      <c r="F25" s="26"/>
      <c r="G25" s="44"/>
      <c r="H25" s="24"/>
      <c r="I25" s="29"/>
      <c r="J25" s="29"/>
      <c r="K25" s="29"/>
      <c r="L25" s="2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89</v>
      </c>
      <c r="B26" s="8">
        <f t="shared" si="2"/>
        <v>0</v>
      </c>
      <c r="C26" s="8" t="e">
        <f t="shared" si="1"/>
        <v>#DIV/0!</v>
      </c>
      <c r="D26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6" s="28"/>
      <c r="F26" s="26"/>
      <c r="G26" s="29"/>
      <c r="H26" s="29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3" t="s">
        <v>90</v>
      </c>
      <c r="B27" s="8">
        <f t="shared" si="2"/>
        <v>0</v>
      </c>
      <c r="C27" s="8" t="e">
        <f t="shared" si="1"/>
        <v>#DIV/0!</v>
      </c>
      <c r="D27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7" s="33"/>
      <c r="F27" s="34"/>
      <c r="G27" s="12"/>
      <c r="H27" s="13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3" t="s">
        <v>59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8" s="33"/>
      <c r="F28" s="34"/>
      <c r="G28" s="12"/>
      <c r="H28" s="13"/>
      <c r="I28" s="12"/>
      <c r="J28" s="13"/>
      <c r="K28" s="12"/>
      <c r="L28" s="1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91</v>
      </c>
      <c r="B29" s="8">
        <f t="shared" si="2"/>
        <v>3</v>
      </c>
      <c r="C29" s="8">
        <f t="shared" si="1"/>
        <v>24</v>
      </c>
      <c r="D29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29" s="22" t="s">
        <v>990</v>
      </c>
      <c r="F29" s="24">
        <v>27</v>
      </c>
      <c r="G29" s="30" t="s">
        <v>1944</v>
      </c>
      <c r="H29" s="13">
        <v>23</v>
      </c>
      <c r="I29" s="27" t="s">
        <v>1224</v>
      </c>
      <c r="J29" s="26">
        <v>22</v>
      </c>
      <c r="K29" s="61" t="s">
        <v>1226</v>
      </c>
      <c r="L29" s="45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92</v>
      </c>
      <c r="B30" s="8">
        <f t="shared" si="2"/>
        <v>0</v>
      </c>
      <c r="C30" s="8" t="e">
        <f t="shared" si="1"/>
        <v>#DIV/0!</v>
      </c>
      <c r="D30" s="21" t="s">
        <v>77</v>
      </c>
      <c r="E30" s="28"/>
      <c r="F30" s="26"/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93</v>
      </c>
      <c r="B31" s="8">
        <f t="shared" si="2"/>
        <v>0</v>
      </c>
      <c r="C31" s="8" t="e">
        <f t="shared" si="1"/>
        <v>#DIV/0!</v>
      </c>
      <c r="D31" s="30" t="s">
        <v>77</v>
      </c>
      <c r="E31" s="28"/>
      <c r="F31" s="26"/>
      <c r="G31" s="12"/>
      <c r="H31" s="13"/>
      <c r="I31" s="12"/>
      <c r="J31" s="13"/>
      <c r="K31" s="12"/>
      <c r="L31" s="13"/>
      <c r="M31" s="12"/>
      <c r="N31" s="13"/>
      <c r="O31" s="23"/>
      <c r="P31" s="24"/>
      <c r="Q31" s="12"/>
      <c r="R31" s="13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2" t="s">
        <v>94</v>
      </c>
      <c r="B32" s="8">
        <f t="shared" si="2"/>
        <v>0</v>
      </c>
      <c r="C32" s="8" t="e">
        <f t="shared" si="1"/>
        <v>#DIV/0!</v>
      </c>
      <c r="D32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2" s="12"/>
      <c r="F32" s="13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3" t="s">
        <v>95</v>
      </c>
      <c r="B33" s="8">
        <f t="shared" si="2"/>
        <v>0</v>
      </c>
      <c r="C33" s="8" t="e">
        <f t="shared" si="1"/>
        <v>#DIV/0!</v>
      </c>
      <c r="D33" s="8"/>
      <c r="E33" s="12"/>
      <c r="F33" s="13"/>
      <c r="G33" s="12"/>
      <c r="H33" s="13"/>
      <c r="I33" s="28"/>
      <c r="J33" s="26"/>
      <c r="K33" s="23"/>
      <c r="L33" s="24"/>
      <c r="M33" s="12"/>
      <c r="N33" s="13"/>
      <c r="O33" s="46"/>
      <c r="P33" s="47"/>
      <c r="Q33" s="28"/>
      <c r="R33" s="26"/>
      <c r="S33" s="12"/>
      <c r="T33" s="13"/>
      <c r="U33" s="12"/>
      <c r="V33" s="13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37" t="s">
        <v>98</v>
      </c>
      <c r="B34" s="47">
        <f ca="1">COUNTIF(A34:AD34,"&gt;0")</f>
        <v>5</v>
      </c>
      <c r="C34" s="49">
        <f t="shared" ca="1" si="1"/>
        <v>31.4</v>
      </c>
      <c r="D34" s="50" t="str">
        <f>HYPERLINK("https://www.digitalauthority.me/resources/healthcare-app-development-ultimate-guide/","Healthcare Mobile App development")</f>
        <v>Healthcare Mobile App development</v>
      </c>
      <c r="E34" s="32" t="s">
        <v>1216</v>
      </c>
      <c r="F34" s="31">
        <v>40</v>
      </c>
      <c r="G34" s="32" t="s">
        <v>1220</v>
      </c>
      <c r="H34" s="31">
        <v>47</v>
      </c>
      <c r="I34" s="32" t="s">
        <v>1232</v>
      </c>
      <c r="J34" s="31">
        <v>70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5.75" customHeight="1">
      <c r="A35" s="13" t="s">
        <v>99</v>
      </c>
      <c r="B35" s="8">
        <f t="shared" ref="B35:B58" si="3">COUNTIF(E35:AD35,"&gt;0")</f>
        <v>0</v>
      </c>
      <c r="C35" s="8" t="e">
        <f t="shared" si="1"/>
        <v>#DIV/0!</v>
      </c>
      <c r="D35" s="11" t="str">
        <f>HYPERLINK("https://www.digitalauthority.me/resources/public-relations-healthcare-guide/","Healthcare PR Guide")</f>
        <v>Healthcare PR Guide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>
      <c r="A36" s="3" t="s">
        <v>100</v>
      </c>
      <c r="B36" s="8">
        <f t="shared" si="3"/>
        <v>0</v>
      </c>
      <c r="C36" s="8" t="e">
        <f t="shared" si="1"/>
        <v>#DIV/0!</v>
      </c>
      <c r="D36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6" s="51"/>
      <c r="F36" s="51"/>
      <c r="G36" s="5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26" t="s">
        <v>101</v>
      </c>
      <c r="B37" s="8">
        <f t="shared" si="3"/>
        <v>0</v>
      </c>
      <c r="C37" s="8" t="e">
        <f t="shared" si="1"/>
        <v>#DIV/0!</v>
      </c>
      <c r="D37" s="27" t="str">
        <f>HYPERLINK("https://healthcareweekly.com/healthcare-startup-fails/","Most Common Health Startup Mistakes – and How to Fix Them
")</f>
        <v>Most Common Health Startup Mistakes – and How to Fix Them_x000D_</v>
      </c>
      <c r="E37" s="28"/>
      <c r="F37" s="26"/>
      <c r="G37" s="28"/>
      <c r="H37" s="26"/>
      <c r="I37" s="12"/>
      <c r="J37" s="13"/>
      <c r="K37" s="29"/>
      <c r="L37" s="29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26" t="s">
        <v>102</v>
      </c>
      <c r="B38" s="8">
        <f t="shared" si="3"/>
        <v>1</v>
      </c>
      <c r="C38" s="8">
        <f t="shared" si="1"/>
        <v>23</v>
      </c>
      <c r="D38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38" s="27" t="s">
        <v>1199</v>
      </c>
      <c r="F38" s="26">
        <v>23</v>
      </c>
      <c r="G38" s="44"/>
      <c r="H38" s="24"/>
      <c r="I38" s="28"/>
      <c r="J38" s="26"/>
      <c r="K38" s="52"/>
      <c r="L38" s="53"/>
      <c r="M38" s="28"/>
      <c r="N38" s="26"/>
      <c r="O38" s="12"/>
      <c r="P38" s="13"/>
      <c r="Q38" s="12"/>
      <c r="R38" s="13"/>
      <c r="S38" s="12"/>
      <c r="T38" s="13"/>
      <c r="U38" s="12"/>
      <c r="V38" s="13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103</v>
      </c>
      <c r="B39" s="8">
        <f t="shared" si="3"/>
        <v>0</v>
      </c>
      <c r="C39" s="8" t="e">
        <f t="shared" si="1"/>
        <v>#DIV/0!</v>
      </c>
      <c r="D39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39" s="28"/>
      <c r="F39" s="26"/>
      <c r="G39" s="44"/>
      <c r="H39" s="24"/>
      <c r="I39" s="28"/>
      <c r="J39" s="26"/>
      <c r="K39" s="12"/>
      <c r="L39" s="13"/>
      <c r="M39" s="12"/>
      <c r="N39" s="13"/>
      <c r="O39" s="13"/>
      <c r="P39" s="13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3" t="s">
        <v>108</v>
      </c>
      <c r="B40" s="8">
        <f t="shared" si="3"/>
        <v>0</v>
      </c>
      <c r="C40" s="8" t="e">
        <f t="shared" si="1"/>
        <v>#DIV/0!</v>
      </c>
      <c r="D40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0" s="12"/>
      <c r="F40" s="13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3" t="s">
        <v>109</v>
      </c>
      <c r="B41" s="8">
        <f t="shared" si="3"/>
        <v>0</v>
      </c>
      <c r="C41" s="8" t="e">
        <f t="shared" si="1"/>
        <v>#DIV/0!</v>
      </c>
      <c r="D41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1" s="23"/>
      <c r="F41" s="24"/>
      <c r="G41" s="12"/>
      <c r="H41" s="13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110</v>
      </c>
      <c r="B42" s="8">
        <f t="shared" si="3"/>
        <v>0</v>
      </c>
      <c r="C42" s="8" t="e">
        <f t="shared" si="1"/>
        <v>#DIV/0!</v>
      </c>
      <c r="D42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2" s="13"/>
      <c r="F42" s="13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111</v>
      </c>
      <c r="B43" s="8">
        <f t="shared" si="3"/>
        <v>1</v>
      </c>
      <c r="C43" s="8">
        <f t="shared" si="1"/>
        <v>14</v>
      </c>
      <c r="D43" s="11" t="str">
        <f>HYPERLINK("https://www.digitalauthority.me/resources/it-marketing-guide/","2019 IT marketing Guide")</f>
        <v>2019 IT marketing Guide</v>
      </c>
      <c r="E43" s="61" t="s">
        <v>1205</v>
      </c>
      <c r="F43" s="13">
        <v>14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112</v>
      </c>
      <c r="B44" s="8">
        <f t="shared" si="3"/>
        <v>0</v>
      </c>
      <c r="C44" s="8" t="e">
        <f t="shared" si="1"/>
        <v>#DIV/0!</v>
      </c>
      <c r="D44" s="30" t="str">
        <f t="shared" ref="D44:D45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3" t="s">
        <v>113</v>
      </c>
      <c r="B45" s="8">
        <f t="shared" si="3"/>
        <v>0</v>
      </c>
      <c r="C45" s="8" t="e">
        <f t="shared" si="1"/>
        <v>#DIV/0!</v>
      </c>
      <c r="D45" s="30" t="str">
        <f t="shared" si="4"/>
        <v>5 Key Strategies for Your Financial Product Marketing Initiatives in 2019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115</v>
      </c>
      <c r="B46" s="8">
        <f t="shared" si="3"/>
        <v>0</v>
      </c>
      <c r="C46" s="8" t="e">
        <f t="shared" si="1"/>
        <v>#DIV/0!</v>
      </c>
      <c r="D46" s="21" t="s">
        <v>77</v>
      </c>
      <c r="E46" s="28"/>
      <c r="F46" s="26"/>
      <c r="G46" s="57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3" t="s">
        <v>118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HYPERLINK("https://www.digitalauthority.me/resources/mobile-app-marketing-guide/","Mobile app marketing guide")</f>
        <v>Mobile app marketing guide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12" t="s">
        <v>119</v>
      </c>
      <c r="B48" s="8">
        <f t="shared" si="3"/>
        <v>0</v>
      </c>
      <c r="C48" s="8" t="e">
        <f t="shared" si="1"/>
        <v>#DIV/0!</v>
      </c>
      <c r="D48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48" s="12"/>
      <c r="F48" s="13"/>
      <c r="G48" s="12"/>
      <c r="H48" s="13"/>
      <c r="I48" s="12"/>
      <c r="J48" s="13"/>
      <c r="K48" s="12"/>
      <c r="L48" s="13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26" t="s">
        <v>122</v>
      </c>
      <c r="B49" s="8">
        <f t="shared" si="3"/>
        <v>0</v>
      </c>
      <c r="C49" s="8" t="e">
        <f t="shared" si="1"/>
        <v>#DIV/0!</v>
      </c>
      <c r="D49" s="59" t="str">
        <f t="shared" ref="D49:D5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49" s="12"/>
      <c r="F49" s="13"/>
      <c r="G49" s="28"/>
      <c r="H49" s="26"/>
      <c r="I49" s="28"/>
      <c r="J49" s="26"/>
      <c r="K49" s="29"/>
      <c r="L49" s="29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26" t="s">
        <v>123</v>
      </c>
      <c r="B50" s="8">
        <f t="shared" si="3"/>
        <v>0</v>
      </c>
      <c r="C50" s="8" t="e">
        <f t="shared" si="1"/>
        <v>#DIV/0!</v>
      </c>
      <c r="D50" s="54" t="str">
        <f t="shared" si="5"/>
        <v xml:space="preserve">11 online reputation management techniques for doctors (the definitive guide)
</v>
      </c>
      <c r="E50" s="28"/>
      <c r="F50" s="26"/>
      <c r="G50" s="28"/>
      <c r="H50" s="26"/>
      <c r="I50" s="28"/>
      <c r="J50" s="26"/>
      <c r="K50" s="29"/>
      <c r="L50" s="29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0" t="s">
        <v>128</v>
      </c>
      <c r="B51" s="8">
        <f t="shared" si="3"/>
        <v>0</v>
      </c>
      <c r="C51" s="8" t="e">
        <f t="shared" si="1"/>
        <v>#DIV/0!</v>
      </c>
      <c r="D51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1" s="10"/>
      <c r="F51" s="13"/>
      <c r="G51" s="12"/>
      <c r="H51" s="13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13" t="s">
        <v>129</v>
      </c>
      <c r="B52" s="8">
        <f t="shared" si="3"/>
        <v>4</v>
      </c>
      <c r="C52" s="8">
        <f t="shared" si="1"/>
        <v>28</v>
      </c>
      <c r="D52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2" s="27" t="s">
        <v>1192</v>
      </c>
      <c r="F52" s="26">
        <v>29</v>
      </c>
      <c r="G52" s="30" t="s">
        <v>1194</v>
      </c>
      <c r="H52" s="13">
        <v>30</v>
      </c>
      <c r="I52" s="30" t="s">
        <v>1215</v>
      </c>
      <c r="J52" s="13">
        <v>30</v>
      </c>
      <c r="K52" s="21" t="s">
        <v>1222</v>
      </c>
      <c r="L52" s="13">
        <v>23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130</v>
      </c>
      <c r="B53" s="8">
        <f t="shared" si="3"/>
        <v>1</v>
      </c>
      <c r="C53" s="8">
        <f t="shared" si="1"/>
        <v>40</v>
      </c>
      <c r="D53" s="30" t="str">
        <f>HYPERLINK("https://www.digitalauthority.me/web-analytics-services-chicago/","Web Analytics Services page")</f>
        <v>Web Analytics Services page</v>
      </c>
      <c r="E53" s="30" t="s">
        <v>1216</v>
      </c>
      <c r="F53" s="13">
        <v>40</v>
      </c>
      <c r="G53" s="12"/>
      <c r="H53" s="13"/>
      <c r="I53" s="12"/>
      <c r="J53" s="13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131</v>
      </c>
      <c r="B54" s="8">
        <f t="shared" si="3"/>
        <v>0</v>
      </c>
      <c r="C54" s="8" t="e">
        <f t="shared" si="1"/>
        <v>#DIV/0!</v>
      </c>
      <c r="D54" s="21" t="s">
        <v>132</v>
      </c>
      <c r="E54" s="46"/>
      <c r="F54" s="4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104</v>
      </c>
      <c r="B55" s="8">
        <f t="shared" si="3"/>
        <v>3</v>
      </c>
      <c r="C55" s="8">
        <f t="shared" si="1"/>
        <v>28.333333333333332</v>
      </c>
      <c r="D55" s="21" t="s">
        <v>105</v>
      </c>
      <c r="E55" s="21" t="s">
        <v>1190</v>
      </c>
      <c r="F55" s="13">
        <v>27</v>
      </c>
      <c r="G55" s="21" t="s">
        <v>1201</v>
      </c>
      <c r="H55" s="13">
        <v>31</v>
      </c>
      <c r="I55" s="21" t="s">
        <v>1209</v>
      </c>
      <c r="J55" s="13">
        <v>27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96</v>
      </c>
      <c r="B56" s="8">
        <f t="shared" si="3"/>
        <v>0</v>
      </c>
      <c r="C56" s="8" t="e">
        <f t="shared" si="1"/>
        <v>#DIV/0!</v>
      </c>
      <c r="D56" s="11" t="str">
        <f>HYPERLINK("https://www.digitalauthority.me/resources/healthcare-marketing-plan-guide/","Healthcare Marketing Plan Guide")</f>
        <v>Healthcare Marketing Plan Guide</v>
      </c>
      <c r="E56" s="8"/>
      <c r="F56" s="13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3" t="s">
        <v>126</v>
      </c>
      <c r="B57" s="8">
        <f t="shared" si="3"/>
        <v>0</v>
      </c>
      <c r="C57" s="8" t="e">
        <f t="shared" si="1"/>
        <v>#DIV/0!</v>
      </c>
      <c r="D57" s="11" t="str">
        <f>HYPERLINK("https://www.digitalauthority.me/resources/17-reasons-why-most-companies-fail-at-seo/","17 Reasons Why Companies Fail At SEO")</f>
        <v>17 Reasons Why Companies Fail At SEO</v>
      </c>
      <c r="E57" s="3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3" t="s">
        <v>73</v>
      </c>
      <c r="B58" s="8">
        <f t="shared" si="3"/>
        <v>0</v>
      </c>
      <c r="C58" s="8" t="e">
        <f t="shared" si="1"/>
        <v>#DIV/0!</v>
      </c>
      <c r="D58" s="11" t="str">
        <f>HYPERLINK("https://www.digitalauthority.me/resources/blockchain-in-healthcare/","Blockchain in Healthcare: An Executive’s Guide for 2019")</f>
        <v>Blockchain in Healthcare: An Executive’s Guide for 2019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I4" r:id="rId3"/>
    <hyperlink ref="E8" r:id="rId4"/>
    <hyperlink ref="E9" r:id="rId5"/>
    <hyperlink ref="E11" r:id="rId6"/>
    <hyperlink ref="D13" r:id="rId7"/>
    <hyperlink ref="D14" r:id="rId8"/>
    <hyperlink ref="D15" r:id="rId9"/>
    <hyperlink ref="D16" r:id="rId10"/>
    <hyperlink ref="D19" r:id="rId11"/>
    <hyperlink ref="D20" r:id="rId12"/>
    <hyperlink ref="D21" r:id="rId13"/>
    <hyperlink ref="E21" r:id="rId14"/>
    <hyperlink ref="D22" r:id="rId15"/>
    <hyperlink ref="D23" r:id="rId16"/>
    <hyperlink ref="D24" r:id="rId17"/>
    <hyperlink ref="E29" r:id="rId18"/>
    <hyperlink ref="G29" r:id="rId19"/>
    <hyperlink ref="I29" r:id="rId20"/>
    <hyperlink ref="K29" r:id="rId21"/>
    <hyperlink ref="D30" r:id="rId22"/>
    <hyperlink ref="D31" r:id="rId23"/>
    <hyperlink ref="E34" r:id="rId24"/>
    <hyperlink ref="G34" r:id="rId25"/>
    <hyperlink ref="I34" r:id="rId26"/>
    <hyperlink ref="E38" r:id="rId27"/>
    <hyperlink ref="E43" r:id="rId28"/>
    <hyperlink ref="D46" r:id="rId29"/>
    <hyperlink ref="E52" r:id="rId30"/>
    <hyperlink ref="G52" r:id="rId31"/>
    <hyperlink ref="I52" r:id="rId32"/>
    <hyperlink ref="K52" r:id="rId33"/>
    <hyperlink ref="E53" r:id="rId34"/>
    <hyperlink ref="D54" r:id="rId35"/>
    <hyperlink ref="D55" r:id="rId36"/>
    <hyperlink ref="E55" r:id="rId37"/>
    <hyperlink ref="G55" r:id="rId38"/>
    <hyperlink ref="I55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8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1</v>
      </c>
      <c r="C4" s="8">
        <f t="shared" si="1"/>
        <v>20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1279</v>
      </c>
      <c r="F4" s="13">
        <v>20</v>
      </c>
      <c r="G4" s="19"/>
      <c r="H4" s="13"/>
      <c r="I4" s="12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13">
        <v>0</v>
      </c>
      <c r="C8" s="8" t="e">
        <f t="shared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61" t="s">
        <v>1258</v>
      </c>
      <c r="F8" s="24">
        <v>32</v>
      </c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1</v>
      </c>
      <c r="C9" s="8">
        <f t="shared" si="1"/>
        <v>75</v>
      </c>
      <c r="D9" s="30" t="str">
        <f>HYPERLINK("https://healthcareweekly.com/astaxanthin/","15 health benefits of astaxanthin")</f>
        <v>15 health benefits of astaxanthin</v>
      </c>
      <c r="E9" s="30" t="s">
        <v>1263</v>
      </c>
      <c r="F9" s="13">
        <v>75</v>
      </c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4</v>
      </c>
      <c r="C10" s="8">
        <f t="shared" si="1"/>
        <v>22.75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1244</v>
      </c>
      <c r="F10" s="24">
        <v>27</v>
      </c>
      <c r="G10" s="21" t="s">
        <v>1256</v>
      </c>
      <c r="H10" s="13">
        <v>24</v>
      </c>
      <c r="I10" s="21" t="s">
        <v>1275</v>
      </c>
      <c r="J10" s="13">
        <v>20</v>
      </c>
      <c r="K10" s="21" t="s">
        <v>1277</v>
      </c>
      <c r="L10" s="13">
        <v>20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1</v>
      </c>
      <c r="C22" s="8">
        <f t="shared" si="1"/>
        <v>66</v>
      </c>
      <c r="D22" s="21" t="s">
        <v>77</v>
      </c>
      <c r="E22" s="171" t="s">
        <v>1253</v>
      </c>
      <c r="F22" s="7">
        <v>66</v>
      </c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2</v>
      </c>
      <c r="C26" s="8">
        <f t="shared" si="1"/>
        <v>38.5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134" t="s">
        <v>1945</v>
      </c>
      <c r="F26" s="26">
        <v>26</v>
      </c>
      <c r="G26" s="44" t="s">
        <v>1284</v>
      </c>
      <c r="H26" s="24">
        <v>51</v>
      </c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177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4</v>
      </c>
      <c r="C36" s="49">
        <f t="shared" ca="1" si="1"/>
        <v>26.5</v>
      </c>
      <c r="D36" s="50" t="str">
        <f>HYPERLINK("https://www.digitalauthority.me/resources/healthcare-app-development-ultimate-guide/","Healthcare Mobile App development")</f>
        <v>Healthcare Mobile App development</v>
      </c>
      <c r="E36" s="32" t="s">
        <v>1253</v>
      </c>
      <c r="F36" s="31">
        <v>66</v>
      </c>
      <c r="G36" s="32" t="s">
        <v>1271</v>
      </c>
      <c r="H36" s="31">
        <v>40</v>
      </c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58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1</v>
      </c>
      <c r="C40" s="8">
        <f t="shared" si="1"/>
        <v>27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7" t="s">
        <v>1273</v>
      </c>
      <c r="F40" s="26">
        <v>27</v>
      </c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0</v>
      </c>
      <c r="C42" s="8" t="e">
        <f t="shared" si="1"/>
        <v>#DIV/0!</v>
      </c>
      <c r="D42" s="21" t="s">
        <v>105</v>
      </c>
      <c r="E42" s="13"/>
      <c r="F42" s="13"/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5</v>
      </c>
      <c r="C46" s="8">
        <f t="shared" si="1"/>
        <v>24.4</v>
      </c>
      <c r="D46" s="11" t="str">
        <f>HYPERLINK("https://www.digitalauthority.me/resources/it-marketing-guide/","2019 IT marketing Guide")</f>
        <v>2019 IT marketing Guide</v>
      </c>
      <c r="E46" s="61" t="s">
        <v>1244</v>
      </c>
      <c r="F46" s="13">
        <v>27</v>
      </c>
      <c r="G46" s="21" t="s">
        <v>1256</v>
      </c>
      <c r="H46" s="13">
        <v>24</v>
      </c>
      <c r="I46" s="21" t="s">
        <v>1275</v>
      </c>
      <c r="J46" s="13">
        <v>20</v>
      </c>
      <c r="K46" s="21" t="s">
        <v>1277</v>
      </c>
      <c r="L46" s="13">
        <v>20</v>
      </c>
      <c r="M46" s="134" t="s">
        <v>1945</v>
      </c>
      <c r="N46" s="13">
        <v>31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17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2</v>
      </c>
      <c r="C50" s="8">
        <f t="shared" si="1"/>
        <v>64.5</v>
      </c>
      <c r="D50" s="11" t="str">
        <f>HYPERLINK("https://www.digitalauthority.me/resources/mobile-app-marketing-guide/","Mobile app marketing guide")</f>
        <v>Mobile app marketing guide</v>
      </c>
      <c r="E50" s="21" t="s">
        <v>1247</v>
      </c>
      <c r="F50" s="13">
        <v>71</v>
      </c>
      <c r="G50" s="21" t="s">
        <v>1249</v>
      </c>
      <c r="H50" s="13">
        <v>58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3</v>
      </c>
      <c r="C56" s="8">
        <f t="shared" si="1"/>
        <v>35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61" t="s">
        <v>1267</v>
      </c>
      <c r="F56" s="26">
        <v>28</v>
      </c>
      <c r="G56" s="30" t="s">
        <v>1281</v>
      </c>
      <c r="H56" s="13">
        <v>26</v>
      </c>
      <c r="I56" s="30" t="s">
        <v>1284</v>
      </c>
      <c r="J56" s="13">
        <v>51</v>
      </c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E8" r:id="rId2"/>
    <hyperlink ref="E9" r:id="rId3"/>
    <hyperlink ref="E10" r:id="rId4"/>
    <hyperlink ref="G10" r:id="rId5"/>
    <hyperlink ref="I10" r:id="rId6"/>
    <hyperlink ref="K10" r:id="rId7"/>
    <hyperlink ref="D14" r:id="rId8"/>
    <hyperlink ref="D15" r:id="rId9"/>
    <hyperlink ref="D16" r:id="rId10"/>
    <hyperlink ref="D17" r:id="rId11"/>
    <hyperlink ref="D20" r:id="rId12"/>
    <hyperlink ref="D21" r:id="rId13"/>
    <hyperlink ref="D22" r:id="rId14"/>
    <hyperlink ref="E22" r:id="rId15"/>
    <hyperlink ref="D23" r:id="rId16"/>
    <hyperlink ref="D24" r:id="rId17"/>
    <hyperlink ref="D25" r:id="rId18"/>
    <hyperlink ref="E26" r:id="rId19"/>
    <hyperlink ref="G26" r:id="rId20"/>
    <hyperlink ref="D31" r:id="rId21"/>
    <hyperlink ref="D32" r:id="rId22"/>
    <hyperlink ref="E36" r:id="rId23"/>
    <hyperlink ref="G36" r:id="rId24"/>
    <hyperlink ref="E40" r:id="rId25"/>
    <hyperlink ref="D42" r:id="rId26"/>
    <hyperlink ref="E46" r:id="rId27"/>
    <hyperlink ref="G46" r:id="rId28"/>
    <hyperlink ref="I46" r:id="rId29"/>
    <hyperlink ref="K46" r:id="rId30"/>
    <hyperlink ref="M46" r:id="rId31"/>
    <hyperlink ref="D49" r:id="rId32"/>
    <hyperlink ref="E50" r:id="rId33"/>
    <hyperlink ref="G50" r:id="rId34"/>
    <hyperlink ref="E56" r:id="rId35"/>
    <hyperlink ref="G56" r:id="rId36"/>
    <hyperlink ref="I56" r:id="rId37"/>
    <hyperlink ref="D58" r:id="rId3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59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3</v>
      </c>
      <c r="C4" s="8">
        <f t="shared" si="1"/>
        <v>34.333333333333336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1287</v>
      </c>
      <c r="F4" s="13">
        <v>28</v>
      </c>
      <c r="G4" s="158" t="s">
        <v>1302</v>
      </c>
      <c r="H4" s="13">
        <v>25</v>
      </c>
      <c r="I4" s="61" t="s">
        <v>1314</v>
      </c>
      <c r="J4" s="13">
        <v>50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2</v>
      </c>
      <c r="C9" s="8">
        <f t="shared" si="1"/>
        <v>43</v>
      </c>
      <c r="D9" s="30" t="str">
        <f>HYPERLINK("https://healthcareweekly.com/astaxanthin/","15 health benefits of astaxanthin")</f>
        <v>15 health benefits of astaxanthin</v>
      </c>
      <c r="E9" s="30" t="s">
        <v>1285</v>
      </c>
      <c r="F9" s="13">
        <v>35</v>
      </c>
      <c r="G9" s="30" t="s">
        <v>1308</v>
      </c>
      <c r="H9" s="13">
        <v>51</v>
      </c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1</v>
      </c>
      <c r="C10" s="8">
        <f t="shared" si="1"/>
        <v>28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1306</v>
      </c>
      <c r="F10" s="24">
        <v>28</v>
      </c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4</v>
      </c>
      <c r="C11" s="8">
        <f t="shared" si="1"/>
        <v>34.25</v>
      </c>
      <c r="D11" s="30" t="str">
        <f>HYPERLINK("https://healthcareweekly.com/blockchain-in-healthcare/","7 Applications of Blockchain in Healthcare
")</f>
        <v>7 Applications of Blockchain in Healthcare_x000D_</v>
      </c>
      <c r="E11" s="27" t="s">
        <v>1292</v>
      </c>
      <c r="F11" s="26">
        <v>67</v>
      </c>
      <c r="G11" s="21" t="s">
        <v>1296</v>
      </c>
      <c r="H11" s="13">
        <v>28</v>
      </c>
      <c r="I11" s="21" t="s">
        <v>1300</v>
      </c>
      <c r="J11" s="13">
        <v>24</v>
      </c>
      <c r="K11" s="21" t="s">
        <v>1304</v>
      </c>
      <c r="L11" s="13">
        <v>18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1</v>
      </c>
      <c r="C26" s="8">
        <f t="shared" si="1"/>
        <v>26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7" t="s">
        <v>1298</v>
      </c>
      <c r="F26" s="26">
        <v>26</v>
      </c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0</v>
      </c>
      <c r="C36" s="49" t="str">
        <f t="shared" ca="1" si="1"/>
        <v>#DIV/0!</v>
      </c>
      <c r="D36" s="50" t="str">
        <f>HYPERLINK("https://www.digitalauthority.me/resources/healthcare-app-development-ultimate-guide/","Healthcare Mobile App development")</f>
        <v>Healthcare Mobile App development</v>
      </c>
      <c r="E36" s="31"/>
      <c r="F36" s="31"/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59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0</v>
      </c>
      <c r="C42" s="8" t="e">
        <f t="shared" si="1"/>
        <v>#DIV/0!</v>
      </c>
      <c r="D42" s="21" t="s">
        <v>105</v>
      </c>
      <c r="E42" s="13"/>
      <c r="F42" s="13"/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1</v>
      </c>
      <c r="C46" s="8">
        <f t="shared" si="1"/>
        <v>20</v>
      </c>
      <c r="D46" s="11" t="str">
        <f>HYPERLINK("https://www.digitalauthority.me/resources/it-marketing-guide/","2019 IT marketing Guide")</f>
        <v>2019 IT marketing Guide</v>
      </c>
      <c r="E46" s="61" t="s">
        <v>1321</v>
      </c>
      <c r="F46" s="13">
        <v>20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1</v>
      </c>
      <c r="C56" s="8">
        <f t="shared" si="1"/>
        <v>26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7" t="s">
        <v>1298</v>
      </c>
      <c r="F56" s="26">
        <v>26</v>
      </c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0</v>
      </c>
      <c r="C59" s="8" t="e">
        <f t="shared" si="1"/>
        <v>#DIV/0!</v>
      </c>
      <c r="D59" s="21" t="s">
        <v>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I4" r:id="rId3"/>
    <hyperlink ref="E9" r:id="rId4"/>
    <hyperlink ref="G9" r:id="rId5"/>
    <hyperlink ref="E10" r:id="rId6"/>
    <hyperlink ref="E11" r:id="rId7"/>
    <hyperlink ref="G11" r:id="rId8"/>
    <hyperlink ref="I11" r:id="rId9"/>
    <hyperlink ref="K11" r:id="rId10"/>
    <hyperlink ref="D14" r:id="rId11"/>
    <hyperlink ref="D15" r:id="rId12"/>
    <hyperlink ref="D16" r:id="rId13"/>
    <hyperlink ref="D17" r:id="rId14"/>
    <hyperlink ref="D20" r:id="rId15"/>
    <hyperlink ref="D21" r:id="rId16"/>
    <hyperlink ref="D22" r:id="rId17"/>
    <hyperlink ref="D23" r:id="rId18"/>
    <hyperlink ref="D24" r:id="rId19"/>
    <hyperlink ref="D25" r:id="rId20"/>
    <hyperlink ref="E26" r:id="rId21"/>
    <hyperlink ref="D31" r:id="rId22"/>
    <hyperlink ref="D32" r:id="rId23"/>
    <hyperlink ref="D42" r:id="rId24"/>
    <hyperlink ref="E46" r:id="rId25"/>
    <hyperlink ref="D49" r:id="rId26"/>
    <hyperlink ref="E56" r:id="rId27"/>
    <hyperlink ref="D58" r:id="rId28"/>
    <hyperlink ref="D59" r:id="rId2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8" si="0">COUNTIF(E2:AD2,"&gt;0")</f>
        <v>0</v>
      </c>
      <c r="C2" s="8" t="e">
        <f t="shared" ref="C2:C65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3</v>
      </c>
      <c r="C4" s="8">
        <f t="shared" si="1"/>
        <v>45.333333333333336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2" t="s">
        <v>1331</v>
      </c>
      <c r="F4" s="31">
        <v>49</v>
      </c>
      <c r="G4" s="158" t="s">
        <v>1335</v>
      </c>
      <c r="H4" s="13">
        <v>54</v>
      </c>
      <c r="I4" s="61" t="s">
        <v>1343</v>
      </c>
      <c r="J4" s="13">
        <v>33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64</v>
      </c>
      <c r="B6" s="8">
        <f t="shared" si="0"/>
        <v>1</v>
      </c>
      <c r="C6" s="8">
        <f t="shared" si="1"/>
        <v>19</v>
      </c>
      <c r="D6" s="21" t="s">
        <v>65</v>
      </c>
      <c r="E6" s="21" t="s">
        <v>1349</v>
      </c>
      <c r="F6" s="13">
        <v>19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66</v>
      </c>
      <c r="B7" s="8">
        <f t="shared" si="0"/>
        <v>0</v>
      </c>
      <c r="C7" s="8" t="e">
        <f t="shared" si="1"/>
        <v>#DIV/0!</v>
      </c>
      <c r="D7" s="22" t="str">
        <f>HYPERLINK("https://www.digitalauthority.me/alexa/","Alexa dev page")</f>
        <v>Alexa dev page</v>
      </c>
      <c r="E7" s="23"/>
      <c r="F7" s="24"/>
      <c r="G7" s="25"/>
      <c r="H7" s="13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26" t="s">
        <v>67</v>
      </c>
      <c r="B8" s="8">
        <f t="shared" si="0"/>
        <v>0</v>
      </c>
      <c r="C8" s="8" t="e">
        <f t="shared" si="1"/>
        <v>#DIV/0!</v>
      </c>
      <c r="D8" s="27" t="str">
        <f>HYPERLINK("https://healthcareweekly.com/artificial-intelligence-in-healthcare/","Artificial Intelligence in Healthcare: the future is amazing")</f>
        <v>Artificial Intelligence in Healthcare: the future is amazing</v>
      </c>
      <c r="E8" s="28"/>
      <c r="F8" s="26"/>
      <c r="G8" s="29"/>
      <c r="H8" s="29"/>
      <c r="I8" s="29"/>
      <c r="J8" s="29"/>
      <c r="K8" s="29"/>
      <c r="L8" s="29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3" t="s">
        <v>68</v>
      </c>
      <c r="B9" s="8">
        <f ca="1">COUNTIF(A9:AD9,"&gt;0")</f>
        <v>3</v>
      </c>
      <c r="C9" s="8">
        <f t="shared" ca="1" si="1"/>
        <v>19.666666670000001</v>
      </c>
      <c r="D9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9" s="61" t="s">
        <v>1333</v>
      </c>
      <c r="F9" s="24">
        <v>59</v>
      </c>
      <c r="G9" s="2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69</v>
      </c>
      <c r="B10" s="8">
        <f t="shared" ref="B10:B37" si="2">COUNTIF(E10:AD10,"&gt;0")</f>
        <v>2</v>
      </c>
      <c r="C10" s="8">
        <f t="shared" si="1"/>
        <v>30.5</v>
      </c>
      <c r="D10" s="30" t="str">
        <f>HYPERLINK("https://healthcareweekly.com/astaxanthin/","15 health benefits of astaxanthin")</f>
        <v>15 health benefits of astaxanthin</v>
      </c>
      <c r="E10" s="30" t="s">
        <v>1329</v>
      </c>
      <c r="F10" s="13">
        <v>27</v>
      </c>
      <c r="G10" s="30" t="s">
        <v>1362</v>
      </c>
      <c r="H10" s="13">
        <v>34</v>
      </c>
      <c r="I10" s="12"/>
      <c r="J10" s="13"/>
      <c r="K10" s="12"/>
      <c r="L10" s="13"/>
      <c r="M10" s="12"/>
      <c r="N10" s="13"/>
      <c r="O10" s="12"/>
      <c r="P10" s="13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70</v>
      </c>
      <c r="B11" s="8">
        <f t="shared" si="2"/>
        <v>0</v>
      </c>
      <c r="C11" s="8" t="e">
        <f t="shared" si="1"/>
        <v>#DIV/0!</v>
      </c>
      <c r="D11" s="11" t="str">
        <f>HYPERLINK("https://www.digitalauthority.me/resources/b2b-marketing/","How to Jumpstart Your B2B Marketing Strategy in 2019")</f>
        <v>How to Jumpstart Your B2B Marketing Strategy in 2019</v>
      </c>
      <c r="E11" s="31"/>
      <c r="F11" s="24"/>
      <c r="G11" s="24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72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HYPERLINK("https://www.digitalauthority.me/resources/big-data-in-healthcare/","Big Data in healthcare")</f>
        <v>Big Data in healthcare</v>
      </c>
      <c r="E12" s="3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73</v>
      </c>
      <c r="B13" s="8">
        <f t="shared" si="2"/>
        <v>0</v>
      </c>
      <c r="C13" s="8" t="e">
        <f t="shared" si="1"/>
        <v>#DIV/0!</v>
      </c>
      <c r="D13" s="30" t="str">
        <f>HYPERLINK("https://healthcareweekly.com/blockchain-in-healthcare/","7 Applications of Blockchain in Healthcare
")</f>
        <v>7 Applications of Blockchain in Healthcare_x000D_</v>
      </c>
      <c r="E13" s="28"/>
      <c r="F13" s="26"/>
      <c r="G13" s="13"/>
      <c r="H13" s="13"/>
      <c r="I13" s="13"/>
      <c r="J13" s="13"/>
      <c r="K13" s="13"/>
      <c r="L13" s="1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3" t="s">
        <v>73</v>
      </c>
      <c r="B14" s="8">
        <f t="shared" si="2"/>
        <v>0</v>
      </c>
      <c r="C14" s="8" t="e">
        <f t="shared" si="1"/>
        <v>#DIV/0!</v>
      </c>
      <c r="D14" s="11" t="str">
        <f>HYPERLINK("https://www.digitalauthority.me/resources/blockchain-in-healthcare/","Blockchain in Healthcare: An Executive’s Guide for 2019")</f>
        <v>Blockchain in Healthcare: An Executive’s Guide for 2019</v>
      </c>
      <c r="E14" s="1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75</v>
      </c>
      <c r="B15" s="8">
        <f t="shared" si="2"/>
        <v>0</v>
      </c>
      <c r="C15" s="8" t="e">
        <f t="shared" si="1"/>
        <v>#DIV/0!</v>
      </c>
      <c r="D15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76</v>
      </c>
      <c r="B16" s="8">
        <f t="shared" si="2"/>
        <v>0</v>
      </c>
      <c r="C16" s="8" t="e">
        <f t="shared" si="1"/>
        <v>#DIV/0!</v>
      </c>
      <c r="D16" s="21" t="s">
        <v>77</v>
      </c>
      <c r="E16" s="12"/>
      <c r="F16" s="13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78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79</v>
      </c>
      <c r="B18" s="8">
        <f t="shared" si="2"/>
        <v>0</v>
      </c>
      <c r="C18" s="8" t="e">
        <f t="shared" si="1"/>
        <v>#DIV/0!</v>
      </c>
      <c r="D18" s="21" t="s">
        <v>77</v>
      </c>
      <c r="E18" s="33"/>
      <c r="F18" s="34"/>
      <c r="G18" s="12"/>
      <c r="H18" s="13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26" t="s">
        <v>80</v>
      </c>
      <c r="B19" s="8">
        <f t="shared" si="2"/>
        <v>0</v>
      </c>
      <c r="C19" s="8" t="e">
        <f t="shared" si="1"/>
        <v>#DIV/0!</v>
      </c>
      <c r="D19" s="35" t="s">
        <v>77</v>
      </c>
      <c r="E19" s="12"/>
      <c r="F19" s="13"/>
      <c r="G19" s="28"/>
      <c r="H19" s="26"/>
      <c r="I19" s="28"/>
      <c r="J19" s="26"/>
      <c r="K19" s="28"/>
      <c r="L19" s="26"/>
      <c r="M19" s="12"/>
      <c r="N19" s="13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74</v>
      </c>
      <c r="B20" s="8">
        <f t="shared" si="2"/>
        <v>0</v>
      </c>
      <c r="C20" s="8" t="e">
        <f t="shared" si="1"/>
        <v>#DIV/0!</v>
      </c>
      <c r="D20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0" s="28"/>
      <c r="F20" s="26"/>
      <c r="G20" s="28"/>
      <c r="H20" s="26"/>
      <c r="I20" s="12"/>
      <c r="J20" s="13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13"/>
      <c r="AA20" s="8"/>
      <c r="AB20" s="8"/>
      <c r="AC20" s="8"/>
      <c r="AD20" s="8"/>
    </row>
    <row r="21" spans="1:30" ht="15.75" customHeight="1">
      <c r="A21" s="3" t="s">
        <v>81</v>
      </c>
      <c r="B21" s="8">
        <f t="shared" si="2"/>
        <v>0</v>
      </c>
      <c r="C21" s="8" t="e">
        <f t="shared" si="1"/>
        <v>#DIV/0!</v>
      </c>
      <c r="D21" s="36"/>
      <c r="E21" s="37"/>
      <c r="F21" s="38"/>
      <c r="G21" s="24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3" t="s">
        <v>82</v>
      </c>
      <c r="B22" s="8">
        <f t="shared" si="2"/>
        <v>0</v>
      </c>
      <c r="C22" s="8" t="e">
        <f t="shared" si="1"/>
        <v>#DIV/0!</v>
      </c>
      <c r="D22" s="11" t="s">
        <v>77</v>
      </c>
      <c r="E22" s="3"/>
      <c r="F22" s="3"/>
      <c r="G22" s="16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83</v>
      </c>
      <c r="B23" s="8">
        <f t="shared" si="2"/>
        <v>0</v>
      </c>
      <c r="C23" s="8" t="e">
        <f t="shared" si="1"/>
        <v>#DIV/0!</v>
      </c>
      <c r="D23" s="21" t="s">
        <v>77</v>
      </c>
      <c r="E23" s="12"/>
      <c r="F23" s="13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84</v>
      </c>
      <c r="B24" s="8">
        <f t="shared" si="2"/>
        <v>0</v>
      </c>
      <c r="C24" s="8" t="e">
        <f t="shared" si="1"/>
        <v>#DIV/0!</v>
      </c>
      <c r="D24" s="21" t="s">
        <v>77</v>
      </c>
      <c r="E24" s="39"/>
      <c r="F24" s="7"/>
      <c r="G24" s="40"/>
      <c r="H24" s="8"/>
      <c r="I24" s="12"/>
      <c r="J24" s="13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85</v>
      </c>
      <c r="B25" s="8">
        <f t="shared" si="2"/>
        <v>0</v>
      </c>
      <c r="C25" s="8" t="e">
        <f t="shared" si="1"/>
        <v>#DIV/0!</v>
      </c>
      <c r="D25" s="21" t="s">
        <v>77</v>
      </c>
      <c r="E25" s="41"/>
      <c r="F25" s="42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86</v>
      </c>
      <c r="B26" s="8">
        <f t="shared" si="2"/>
        <v>0</v>
      </c>
      <c r="C26" s="8" t="e">
        <f t="shared" si="1"/>
        <v>#DIV/0!</v>
      </c>
      <c r="D26" s="21" t="s">
        <v>77</v>
      </c>
      <c r="E26" s="12"/>
      <c r="F26" s="13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2" t="s">
        <v>87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26" t="s">
        <v>88</v>
      </c>
      <c r="B28" s="8">
        <f t="shared" si="2"/>
        <v>0</v>
      </c>
      <c r="C28" s="8" t="e">
        <f t="shared" si="1"/>
        <v>#DIV/0!</v>
      </c>
      <c r="D28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8" s="28"/>
      <c r="F28" s="26"/>
      <c r="G28" s="44"/>
      <c r="H28" s="24"/>
      <c r="I28" s="29"/>
      <c r="J28" s="29"/>
      <c r="K28" s="29"/>
      <c r="L28" s="29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89</v>
      </c>
      <c r="B29" s="8">
        <f t="shared" si="2"/>
        <v>0</v>
      </c>
      <c r="C29" s="8" t="e">
        <f t="shared" si="1"/>
        <v>#DIV/0!</v>
      </c>
      <c r="D29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9" s="28"/>
      <c r="F29" s="26"/>
      <c r="G29" s="29"/>
      <c r="H29" s="29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3" t="s">
        <v>90</v>
      </c>
      <c r="B30" s="8">
        <f t="shared" si="2"/>
        <v>0</v>
      </c>
      <c r="C30" s="8" t="e">
        <f t="shared" si="1"/>
        <v>#DIV/0!</v>
      </c>
      <c r="D30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0" s="33"/>
      <c r="F30" s="34"/>
      <c r="G30" s="12"/>
      <c r="H30" s="13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59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1" s="33"/>
      <c r="F31" s="34"/>
      <c r="G31" s="12"/>
      <c r="H31" s="13"/>
      <c r="I31" s="12"/>
      <c r="J31" s="13"/>
      <c r="K31" s="12"/>
      <c r="L31" s="13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>
      <c r="A32" s="26" t="s">
        <v>91</v>
      </c>
      <c r="B32" s="8">
        <f t="shared" si="2"/>
        <v>0</v>
      </c>
      <c r="C32" s="8" t="e">
        <f t="shared" si="1"/>
        <v>#DIV/0!</v>
      </c>
      <c r="D32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2" s="23"/>
      <c r="F32" s="24"/>
      <c r="G32" s="12"/>
      <c r="H32" s="13"/>
      <c r="I32" s="28"/>
      <c r="J32" s="26"/>
      <c r="K32" s="3"/>
      <c r="L32" s="45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3" t="s">
        <v>92</v>
      </c>
      <c r="B33" s="8">
        <f t="shared" si="2"/>
        <v>0</v>
      </c>
      <c r="C33" s="8" t="e">
        <f t="shared" si="1"/>
        <v>#DIV/0!</v>
      </c>
      <c r="D33" s="21" t="s">
        <v>77</v>
      </c>
      <c r="E33" s="28"/>
      <c r="F33" s="26"/>
      <c r="G33" s="12"/>
      <c r="H33" s="13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3" t="s">
        <v>93</v>
      </c>
      <c r="B34" s="8">
        <f t="shared" si="2"/>
        <v>0</v>
      </c>
      <c r="C34" s="8" t="e">
        <f t="shared" si="1"/>
        <v>#DIV/0!</v>
      </c>
      <c r="D34" s="30" t="s">
        <v>77</v>
      </c>
      <c r="E34" s="28"/>
      <c r="F34" s="26"/>
      <c r="G34" s="12"/>
      <c r="H34" s="13"/>
      <c r="I34" s="12"/>
      <c r="J34" s="13"/>
      <c r="K34" s="12"/>
      <c r="L34" s="13"/>
      <c r="M34" s="12"/>
      <c r="N34" s="13"/>
      <c r="O34" s="23"/>
      <c r="P34" s="24"/>
      <c r="Q34" s="12"/>
      <c r="R34" s="13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2" t="s">
        <v>94</v>
      </c>
      <c r="B35" s="8">
        <f t="shared" si="2"/>
        <v>1</v>
      </c>
      <c r="C35" s="8">
        <f t="shared" si="1"/>
        <v>34</v>
      </c>
      <c r="D35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5" s="30" t="s">
        <v>1362</v>
      </c>
      <c r="F35" s="13">
        <v>34</v>
      </c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3" t="s">
        <v>95</v>
      </c>
      <c r="B36" s="8">
        <f t="shared" si="2"/>
        <v>0</v>
      </c>
      <c r="C36" s="8" t="e">
        <f t="shared" si="1"/>
        <v>#DIV/0!</v>
      </c>
      <c r="D36" s="8"/>
      <c r="E36" s="12"/>
      <c r="F36" s="13"/>
      <c r="G36" s="12"/>
      <c r="H36" s="13"/>
      <c r="I36" s="28"/>
      <c r="J36" s="26"/>
      <c r="K36" s="23"/>
      <c r="L36" s="24"/>
      <c r="M36" s="12"/>
      <c r="N36" s="13"/>
      <c r="O36" s="46"/>
      <c r="P36" s="47"/>
      <c r="Q36" s="28"/>
      <c r="R36" s="26"/>
      <c r="S36" s="12"/>
      <c r="T36" s="13"/>
      <c r="U36" s="12"/>
      <c r="V36" s="13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96</v>
      </c>
      <c r="B37" s="8">
        <f t="shared" si="2"/>
        <v>1</v>
      </c>
      <c r="C37" s="8">
        <f t="shared" si="1"/>
        <v>38</v>
      </c>
      <c r="D37" s="11" t="str">
        <f>HYPERLINK("https://www.digitalauthority.me/resources/healthcare-marketing-plan-guide/","Healthcare Marketing Plan Guide")</f>
        <v>Healthcare Marketing Plan Guide</v>
      </c>
      <c r="E37" s="21" t="s">
        <v>1360</v>
      </c>
      <c r="F37" s="13">
        <v>38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37" t="s">
        <v>98</v>
      </c>
      <c r="B38" s="47">
        <f ca="1">COUNTIF(A38:AD38,"&gt;0")</f>
        <v>4</v>
      </c>
      <c r="C38" s="49">
        <f t="shared" ca="1" si="1"/>
        <v>19.75</v>
      </c>
      <c r="D38" s="50" t="str">
        <f>HYPERLINK("https://www.digitalauthority.me/resources/healthcare-app-development-ultimate-guide/","Healthcare Mobile App development")</f>
        <v>Healthcare Mobile App development</v>
      </c>
      <c r="E38" s="32" t="s">
        <v>1331</v>
      </c>
      <c r="F38" s="31">
        <v>49</v>
      </c>
      <c r="G38" s="61" t="s">
        <v>1358</v>
      </c>
      <c r="H38" s="31">
        <v>30</v>
      </c>
      <c r="I38" s="31"/>
      <c r="J38" s="31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5.75" customHeight="1">
      <c r="A39" s="13" t="s">
        <v>99</v>
      </c>
      <c r="B39" s="8">
        <f t="shared" ref="B39:B62" si="3">COUNTIF(E39:AD39,"&gt;0")</f>
        <v>0</v>
      </c>
      <c r="C39" s="8" t="e">
        <f t="shared" si="1"/>
        <v>#DIV/0!</v>
      </c>
      <c r="D39" s="11" t="str">
        <f>HYPERLINK("https://www.digitalauthority.me/resources/public-relations-healthcare-guide/","Healthcare PR Guide")</f>
        <v>Healthcare PR Guide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>
      <c r="A40" s="3" t="s">
        <v>100</v>
      </c>
      <c r="B40" s="8">
        <f t="shared" si="3"/>
        <v>0</v>
      </c>
      <c r="C40" s="8" t="e">
        <f t="shared" si="1"/>
        <v>#DIV/0!</v>
      </c>
      <c r="D40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0" s="51"/>
      <c r="F40" s="51"/>
      <c r="G40" s="5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101</v>
      </c>
      <c r="B41" s="8">
        <f t="shared" si="3"/>
        <v>0</v>
      </c>
      <c r="C41" s="8" t="e">
        <f t="shared" si="1"/>
        <v>#DIV/0!</v>
      </c>
      <c r="D41" s="27" t="str">
        <f>HYPERLINK("https://healthcareweekly.com/healthcare-startup-fails/","Most Common Health Startup Mistakes – and How to Fix Them
")</f>
        <v>Most Common Health Startup Mistakes – and How to Fix Them_x000D_</v>
      </c>
      <c r="E41" s="28"/>
      <c r="F41" s="26"/>
      <c r="G41" s="28"/>
      <c r="H41" s="26"/>
      <c r="I41" s="12"/>
      <c r="J41" s="13"/>
      <c r="K41" s="29"/>
      <c r="L41" s="29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102</v>
      </c>
      <c r="B42" s="8">
        <f t="shared" si="3"/>
        <v>0</v>
      </c>
      <c r="C42" s="8" t="e">
        <f t="shared" si="1"/>
        <v>#DIV/0!</v>
      </c>
      <c r="D42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2" s="28"/>
      <c r="F42" s="26"/>
      <c r="G42" s="44"/>
      <c r="H42" s="24"/>
      <c r="I42" s="28"/>
      <c r="J42" s="26"/>
      <c r="K42" s="52"/>
      <c r="L42" s="53"/>
      <c r="M42" s="28"/>
      <c r="N42" s="26"/>
      <c r="O42" s="12"/>
      <c r="P42" s="13"/>
      <c r="Q42" s="12"/>
      <c r="R42" s="13"/>
      <c r="S42" s="12"/>
      <c r="T42" s="13"/>
      <c r="U42" s="12"/>
      <c r="V42" s="13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103</v>
      </c>
      <c r="B43" s="8">
        <f t="shared" si="3"/>
        <v>1</v>
      </c>
      <c r="C43" s="8">
        <f t="shared" si="1"/>
        <v>38</v>
      </c>
      <c r="D43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3" s="21" t="s">
        <v>1360</v>
      </c>
      <c r="F43" s="13">
        <v>38</v>
      </c>
      <c r="G43" s="44"/>
      <c r="H43" s="24"/>
      <c r="I43" s="28"/>
      <c r="J43" s="26"/>
      <c r="K43" s="12"/>
      <c r="L43" s="13"/>
      <c r="M43" s="12"/>
      <c r="N43" s="13"/>
      <c r="O43" s="13"/>
      <c r="P43" s="13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13" t="s">
        <v>104</v>
      </c>
      <c r="B44" s="8">
        <f t="shared" si="3"/>
        <v>0</v>
      </c>
      <c r="C44" s="8" t="e">
        <f t="shared" si="1"/>
        <v>#DIV/0!</v>
      </c>
      <c r="D44" s="21" t="s">
        <v>105</v>
      </c>
      <c r="E44" s="13"/>
      <c r="F44" s="13"/>
      <c r="G44" s="13"/>
      <c r="H44" s="13"/>
      <c r="I44" s="13"/>
      <c r="J44" s="13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3" t="s">
        <v>108</v>
      </c>
      <c r="B45" s="8">
        <f t="shared" si="3"/>
        <v>0</v>
      </c>
      <c r="C45" s="8" t="e">
        <f t="shared" si="1"/>
        <v>#DIV/0!</v>
      </c>
      <c r="D45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5" s="12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109</v>
      </c>
      <c r="B46" s="8">
        <f t="shared" si="3"/>
        <v>0</v>
      </c>
      <c r="C46" s="8" t="e">
        <f t="shared" si="1"/>
        <v>#DIV/0!</v>
      </c>
      <c r="D46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6" s="23"/>
      <c r="F46" s="24"/>
      <c r="G46" s="12"/>
      <c r="H46" s="13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13" t="s">
        <v>110</v>
      </c>
      <c r="B47" s="8">
        <f t="shared" si="3"/>
        <v>0</v>
      </c>
      <c r="C47" s="8" t="e">
        <f t="shared" si="1"/>
        <v>#DIV/0!</v>
      </c>
      <c r="D47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7" s="13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111</v>
      </c>
      <c r="B48" s="8">
        <f t="shared" si="3"/>
        <v>1</v>
      </c>
      <c r="C48" s="8">
        <f t="shared" si="1"/>
        <v>19</v>
      </c>
      <c r="D48" s="11" t="str">
        <f>HYPERLINK("https://www.digitalauthority.me/resources/it-marketing-guide/","2019 IT marketing Guide")</f>
        <v>2019 IT marketing Guide</v>
      </c>
      <c r="E48" s="61" t="s">
        <v>1350</v>
      </c>
      <c r="F48" s="13">
        <v>19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3" t="s">
        <v>112</v>
      </c>
      <c r="B49" s="8">
        <f t="shared" si="3"/>
        <v>0</v>
      </c>
      <c r="C49" s="8" t="e">
        <f t="shared" si="1"/>
        <v>#DIV/0!</v>
      </c>
      <c r="D49" s="30" t="str">
        <f t="shared" ref="D49:D50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113</v>
      </c>
      <c r="B50" s="8">
        <f t="shared" si="3"/>
        <v>0</v>
      </c>
      <c r="C50" s="8" t="e">
        <f t="shared" si="1"/>
        <v>#DIV/0!</v>
      </c>
      <c r="D50" s="30" t="str">
        <f t="shared" si="4"/>
        <v>5 Key Strategies for Your Financial Product Marketing Initiatives in 2019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3" t="s">
        <v>115</v>
      </c>
      <c r="B51" s="8">
        <f t="shared" si="3"/>
        <v>0</v>
      </c>
      <c r="C51" s="8" t="e">
        <f t="shared" si="1"/>
        <v>#DIV/0!</v>
      </c>
      <c r="D51" s="21" t="s">
        <v>77</v>
      </c>
      <c r="E51" s="28"/>
      <c r="F51" s="26"/>
      <c r="G51" s="57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13" t="s">
        <v>118</v>
      </c>
      <c r="B52" s="8">
        <f t="shared" si="3"/>
        <v>1</v>
      </c>
      <c r="C52" s="8">
        <f t="shared" si="1"/>
        <v>30</v>
      </c>
      <c r="D52" s="11" t="str">
        <f>HYPERLINK("https://www.digitalauthority.me/resources/mobile-app-marketing-guide/","Mobile app marketing guide")</f>
        <v>Mobile app marketing guide</v>
      </c>
      <c r="E52" s="61" t="s">
        <v>1358</v>
      </c>
      <c r="F52" s="31">
        <v>30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2" t="s">
        <v>119</v>
      </c>
      <c r="B53" s="8">
        <f t="shared" si="3"/>
        <v>0</v>
      </c>
      <c r="C53" s="8" t="e">
        <f t="shared" si="1"/>
        <v>#DIV/0!</v>
      </c>
      <c r="D53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3" s="12"/>
      <c r="F53" s="13"/>
      <c r="G53" s="12"/>
      <c r="H53" s="13"/>
      <c r="I53" s="12"/>
      <c r="J53" s="13"/>
      <c r="K53" s="12"/>
      <c r="L53" s="13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26" t="s">
        <v>122</v>
      </c>
      <c r="B54" s="8">
        <f t="shared" si="3"/>
        <v>0</v>
      </c>
      <c r="C54" s="8" t="e">
        <f t="shared" si="1"/>
        <v>#DIV/0!</v>
      </c>
      <c r="D54" s="59" t="str">
        <f t="shared" ref="D54:D55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4" s="12"/>
      <c r="F54" s="13"/>
      <c r="G54" s="28"/>
      <c r="H54" s="26"/>
      <c r="I54" s="28"/>
      <c r="J54" s="26"/>
      <c r="K54" s="29"/>
      <c r="L54" s="29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26" t="s">
        <v>123</v>
      </c>
      <c r="B55" s="8">
        <f t="shared" si="3"/>
        <v>0</v>
      </c>
      <c r="C55" s="8" t="e">
        <f t="shared" si="1"/>
        <v>#DIV/0!</v>
      </c>
      <c r="D55" s="54" t="str">
        <f t="shared" si="5"/>
        <v xml:space="preserve">11 online reputation management techniques for doctors (the definitive guide)
</v>
      </c>
      <c r="E55" s="28"/>
      <c r="F55" s="26"/>
      <c r="G55" s="28"/>
      <c r="H55" s="26"/>
      <c r="I55" s="28"/>
      <c r="J55" s="26"/>
      <c r="K55" s="29"/>
      <c r="L55" s="29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1802</v>
      </c>
      <c r="B56" s="8">
        <f t="shared" si="3"/>
        <v>0</v>
      </c>
      <c r="C56" s="8" t="e">
        <f t="shared" si="1"/>
        <v>#DIV/0!</v>
      </c>
      <c r="D56" s="21" t="s">
        <v>1946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3" t="s">
        <v>126</v>
      </c>
      <c r="B57" s="8">
        <f t="shared" si="3"/>
        <v>1</v>
      </c>
      <c r="C57" s="8">
        <f t="shared" si="1"/>
        <v>19</v>
      </c>
      <c r="D57" s="11" t="str">
        <f>HYPERLINK("https://www.digitalauthority.me/resources/17-reasons-why-most-companies-fail-at-seo/","17 Reasons Why Companies Fail At SEO")</f>
        <v>17 Reasons Why Companies Fail At SEO</v>
      </c>
      <c r="E57" s="61" t="s">
        <v>1350</v>
      </c>
      <c r="F57" s="13">
        <v>19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0" t="s">
        <v>128</v>
      </c>
      <c r="B58" s="8">
        <f t="shared" si="3"/>
        <v>0</v>
      </c>
      <c r="C58" s="8" t="e">
        <f t="shared" si="1"/>
        <v>#DIV/0!</v>
      </c>
      <c r="D58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8" s="10"/>
      <c r="F58" s="13"/>
      <c r="G58" s="12"/>
      <c r="H58" s="13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129</v>
      </c>
      <c r="B59" s="8">
        <f t="shared" si="3"/>
        <v>1</v>
      </c>
      <c r="C59" s="8">
        <f t="shared" si="1"/>
        <v>64</v>
      </c>
      <c r="D59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9" s="61" t="s">
        <v>1346</v>
      </c>
      <c r="F59" s="26">
        <v>64</v>
      </c>
      <c r="G59" s="12"/>
      <c r="H59" s="13"/>
      <c r="I59" s="12"/>
      <c r="J59" s="13"/>
      <c r="K59" s="13"/>
      <c r="L59" s="1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130</v>
      </c>
      <c r="B60" s="8">
        <f t="shared" si="3"/>
        <v>0</v>
      </c>
      <c r="C60" s="8" t="e">
        <f t="shared" si="1"/>
        <v>#DIV/0!</v>
      </c>
      <c r="D60" s="30" t="str">
        <f>HYPERLINK("https://www.digitalauthority.me/web-analytics-services-chicago/","Web Analytics Services page")</f>
        <v>Web Analytics Services page</v>
      </c>
      <c r="E60" s="12"/>
      <c r="F60" s="13"/>
      <c r="G60" s="12"/>
      <c r="H60" s="13"/>
      <c r="I60" s="12"/>
      <c r="J60" s="13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131</v>
      </c>
      <c r="B61" s="8">
        <f t="shared" si="3"/>
        <v>0</v>
      </c>
      <c r="C61" s="8" t="e">
        <f t="shared" si="1"/>
        <v>#DIV/0!</v>
      </c>
      <c r="D61" s="21" t="s">
        <v>132</v>
      </c>
      <c r="E61" s="46"/>
      <c r="F61" s="4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>
        <f t="shared" si="3"/>
        <v>0</v>
      </c>
      <c r="C62" s="8" t="e">
        <f t="shared" si="1"/>
        <v>#DIV/0!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 t="e">
        <f t="shared" si="1"/>
        <v>#DIV/0!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 t="e">
        <f t="shared" si="1"/>
        <v>#DIV/0!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 t="e">
        <f t="shared" si="1"/>
        <v>#DIV/0!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I4" r:id="rId3"/>
    <hyperlink ref="D6" r:id="rId4"/>
    <hyperlink ref="E6" r:id="rId5"/>
    <hyperlink ref="E9" r:id="rId6"/>
    <hyperlink ref="E10" r:id="rId7"/>
    <hyperlink ref="G10" r:id="rId8"/>
    <hyperlink ref="D16" r:id="rId9"/>
    <hyperlink ref="D17" r:id="rId10"/>
    <hyperlink ref="D18" r:id="rId11"/>
    <hyperlink ref="D19" r:id="rId12"/>
    <hyperlink ref="D22" r:id="rId13"/>
    <hyperlink ref="D23" r:id="rId14"/>
    <hyperlink ref="D24" r:id="rId15"/>
    <hyperlink ref="D25" r:id="rId16"/>
    <hyperlink ref="D26" r:id="rId17"/>
    <hyperlink ref="D27" r:id="rId18"/>
    <hyperlink ref="D33" r:id="rId19"/>
    <hyperlink ref="D34" r:id="rId20"/>
    <hyperlink ref="E35" r:id="rId21"/>
    <hyperlink ref="E37" r:id="rId22"/>
    <hyperlink ref="E38" r:id="rId23"/>
    <hyperlink ref="G38" r:id="rId24"/>
    <hyperlink ref="E43" r:id="rId25"/>
    <hyperlink ref="D44" r:id="rId26"/>
    <hyperlink ref="E48" r:id="rId27"/>
    <hyperlink ref="D51" r:id="rId28"/>
    <hyperlink ref="E52" r:id="rId29"/>
    <hyperlink ref="D56" r:id="rId30"/>
    <hyperlink ref="E57" r:id="rId31"/>
    <hyperlink ref="E59" r:id="rId32"/>
    <hyperlink ref="D61" r:id="rId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165" t="s">
        <v>5</v>
      </c>
      <c r="F1" s="1" t="s">
        <v>6</v>
      </c>
      <c r="G1" s="165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1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3</v>
      </c>
      <c r="C4" s="8">
        <f t="shared" si="1"/>
        <v>66.666666666666671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1373</v>
      </c>
      <c r="F4" s="13">
        <v>73</v>
      </c>
      <c r="G4" s="158" t="s">
        <v>1381</v>
      </c>
      <c r="H4" s="13">
        <v>72</v>
      </c>
      <c r="I4" s="61" t="s">
        <v>1403</v>
      </c>
      <c r="J4" s="13">
        <v>55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1</v>
      </c>
      <c r="C9" s="8">
        <f t="shared" si="1"/>
        <v>30</v>
      </c>
      <c r="D9" s="30" t="str">
        <f>HYPERLINK("https://healthcareweekly.com/astaxanthin/","15 health benefits of astaxanthin")</f>
        <v>15 health benefits of astaxanthin</v>
      </c>
      <c r="E9" s="30" t="s">
        <v>1367</v>
      </c>
      <c r="F9" s="13">
        <v>30</v>
      </c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0</v>
      </c>
      <c r="C10" s="8" t="e">
        <f t="shared" si="1"/>
        <v>#DIV/0!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1"/>
      <c r="F10" s="24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1</v>
      </c>
      <c r="C18" s="8">
        <f t="shared" si="1"/>
        <v>44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7" t="s">
        <v>1395</v>
      </c>
      <c r="F18" s="26">
        <v>44</v>
      </c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1</v>
      </c>
      <c r="C20" s="8">
        <f t="shared" si="1"/>
        <v>55</v>
      </c>
      <c r="D20" s="11" t="s">
        <v>77</v>
      </c>
      <c r="E20" s="61" t="s">
        <v>1403</v>
      </c>
      <c r="F20" s="3">
        <v>55</v>
      </c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3</v>
      </c>
      <c r="C36" s="49">
        <f t="shared" ca="1" si="1"/>
        <v>7.3333333329999997</v>
      </c>
      <c r="D36" s="50" t="str">
        <f>HYPERLINK("https://www.digitalauthority.me/resources/healthcare-app-development-ultimate-guide/","Healthcare Mobile App development")</f>
        <v>Healthcare Mobile App development</v>
      </c>
      <c r="E36" s="32" t="s">
        <v>1398</v>
      </c>
      <c r="F36" s="31">
        <v>22</v>
      </c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1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1</v>
      </c>
      <c r="C41" s="8">
        <f t="shared" si="1"/>
        <v>73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7" t="s">
        <v>1373</v>
      </c>
      <c r="F41" s="26">
        <v>73</v>
      </c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1</v>
      </c>
      <c r="C42" s="8">
        <f t="shared" si="1"/>
        <v>22</v>
      </c>
      <c r="D42" s="21" t="s">
        <v>105</v>
      </c>
      <c r="E42" s="21" t="s">
        <v>1398</v>
      </c>
      <c r="F42" s="13">
        <v>22</v>
      </c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3</v>
      </c>
      <c r="C46" s="8">
        <f t="shared" si="1"/>
        <v>41.333333333333336</v>
      </c>
      <c r="D46" s="11" t="str">
        <f>HYPERLINK("https://www.digitalauthority.me/resources/it-marketing-guide/","2019 IT marketing Guide")</f>
        <v>2019 IT marketing Guide</v>
      </c>
      <c r="E46" s="50" t="s">
        <v>1339</v>
      </c>
      <c r="F46" s="56">
        <v>65</v>
      </c>
      <c r="G46" s="61" t="s">
        <v>1371</v>
      </c>
      <c r="H46" s="13">
        <v>42</v>
      </c>
      <c r="I46" s="21" t="s">
        <v>1406</v>
      </c>
      <c r="J46" s="13">
        <v>17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1</v>
      </c>
      <c r="C52" s="8">
        <f t="shared" si="1"/>
        <v>76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30" t="s">
        <v>1383</v>
      </c>
      <c r="F52" s="13">
        <v>76</v>
      </c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0</v>
      </c>
      <c r="C56" s="8" t="e">
        <f t="shared" si="1"/>
        <v>#DIV/0!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8"/>
      <c r="F56" s="26"/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0</v>
      </c>
      <c r="C59" s="8" t="e">
        <f t="shared" si="1"/>
        <v>#DIV/0!</v>
      </c>
      <c r="D59" s="21" t="s">
        <v>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2</v>
      </c>
      <c r="C61" s="8">
        <f t="shared" si="1"/>
        <v>76.5</v>
      </c>
      <c r="D61" s="11" t="str">
        <f>HYPERLINK("https://www.digitalauthority.me/resources/marketing-terms-guide/","Marketing terms ")</f>
        <v xml:space="preserve">Marketing terms </v>
      </c>
      <c r="E61" s="21" t="s">
        <v>1389</v>
      </c>
      <c r="F61" s="13">
        <v>90</v>
      </c>
      <c r="G61" s="21" t="s">
        <v>1386</v>
      </c>
      <c r="H61" s="13">
        <v>63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I4" r:id="rId3"/>
    <hyperlink ref="E9" r:id="rId4"/>
    <hyperlink ref="D14" r:id="rId5"/>
    <hyperlink ref="D15" r:id="rId6"/>
    <hyperlink ref="D16" r:id="rId7"/>
    <hyperlink ref="D17" r:id="rId8"/>
    <hyperlink ref="E18" r:id="rId9"/>
    <hyperlink ref="D20" r:id="rId10"/>
    <hyperlink ref="E20" r:id="rId11"/>
    <hyperlink ref="D21" r:id="rId12"/>
    <hyperlink ref="D22" r:id="rId13"/>
    <hyperlink ref="D23" r:id="rId14"/>
    <hyperlink ref="D24" r:id="rId15"/>
    <hyperlink ref="D25" r:id="rId16"/>
    <hyperlink ref="D31" r:id="rId17"/>
    <hyperlink ref="D32" r:id="rId18"/>
    <hyperlink ref="E36" r:id="rId19"/>
    <hyperlink ref="E41" r:id="rId20"/>
    <hyperlink ref="D42" r:id="rId21"/>
    <hyperlink ref="E42" r:id="rId22"/>
    <hyperlink ref="E46" r:id="rId23"/>
    <hyperlink ref="G46" r:id="rId24"/>
    <hyperlink ref="I46" r:id="rId25"/>
    <hyperlink ref="D49" r:id="rId26"/>
    <hyperlink ref="E52" r:id="rId27"/>
    <hyperlink ref="D58" r:id="rId28"/>
    <hyperlink ref="D59" r:id="rId29"/>
    <hyperlink ref="E61" r:id="rId30"/>
    <hyperlink ref="G61" r:id="rId3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3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1</v>
      </c>
      <c r="C9" s="8">
        <f t="shared" si="1"/>
        <v>64</v>
      </c>
      <c r="D9" s="30" t="str">
        <f>HYPERLINK("https://healthcareweekly.com/astaxanthin/","15 health benefits of astaxanthin")</f>
        <v>15 health benefits of astaxanthin</v>
      </c>
      <c r="E9" s="30" t="s">
        <v>1469</v>
      </c>
      <c r="F9" s="13">
        <v>64</v>
      </c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7</v>
      </c>
      <c r="C10" s="8">
        <f t="shared" si="1"/>
        <v>53.571428571428569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1471</v>
      </c>
      <c r="F10" s="24">
        <v>38</v>
      </c>
      <c r="G10" s="160" t="s">
        <v>1947</v>
      </c>
      <c r="H10" s="13">
        <v>40</v>
      </c>
      <c r="I10" s="21" t="s">
        <v>1454</v>
      </c>
      <c r="J10" s="13">
        <v>71</v>
      </c>
      <c r="K10" s="21" t="s">
        <v>1456</v>
      </c>
      <c r="L10" s="13">
        <v>45</v>
      </c>
      <c r="M10" s="21" t="s">
        <v>1459</v>
      </c>
      <c r="N10" s="13">
        <v>51</v>
      </c>
      <c r="O10" s="21" t="s">
        <v>1457</v>
      </c>
      <c r="P10" s="13">
        <v>55</v>
      </c>
      <c r="Q10" s="21" t="s">
        <v>1461</v>
      </c>
      <c r="R10" s="13">
        <v>75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1</v>
      </c>
      <c r="C36" s="49">
        <f t="shared" ca="1" si="1"/>
        <v>0</v>
      </c>
      <c r="D36" s="50" t="str">
        <f>HYPERLINK("https://www.digitalauthority.me/resources/healthcare-app-development-ultimate-guide/","Healthcare Mobile App development")</f>
        <v>Healthcare Mobile App development</v>
      </c>
      <c r="E36" s="31"/>
      <c r="F36" s="31"/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3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1</v>
      </c>
      <c r="C40" s="8">
        <f t="shared" si="1"/>
        <v>88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7" t="s">
        <v>1447</v>
      </c>
      <c r="F40" s="26">
        <v>88</v>
      </c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2</v>
      </c>
      <c r="C42" s="8">
        <f t="shared" si="1"/>
        <v>68</v>
      </c>
      <c r="D42" s="21" t="s">
        <v>105</v>
      </c>
      <c r="E42" s="21" t="s">
        <v>1438</v>
      </c>
      <c r="F42" s="13">
        <v>71</v>
      </c>
      <c r="G42" s="21" t="s">
        <v>1441</v>
      </c>
      <c r="H42" s="13">
        <v>65</v>
      </c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1</v>
      </c>
      <c r="C46" s="8">
        <f t="shared" si="1"/>
        <v>75</v>
      </c>
      <c r="D46" s="11" t="str">
        <f>HYPERLINK("https://www.digitalauthority.me/resources/it-marketing-guide/","2019 IT marketing Guide")</f>
        <v>2019 IT marketing Guide</v>
      </c>
      <c r="E46" s="21" t="s">
        <v>1461</v>
      </c>
      <c r="F46" s="13">
        <v>75</v>
      </c>
      <c r="G46" s="3"/>
      <c r="H46" s="13"/>
      <c r="I46" s="13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1</v>
      </c>
      <c r="C56" s="8">
        <f t="shared" si="1"/>
        <v>54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7" t="s">
        <v>1467</v>
      </c>
      <c r="F56" s="26">
        <v>54</v>
      </c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0</v>
      </c>
      <c r="C59" s="8" t="e">
        <f t="shared" si="1"/>
        <v>#DIV/0!</v>
      </c>
      <c r="D59" s="21" t="s">
        <v>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0</v>
      </c>
      <c r="C61" s="8" t="e">
        <f t="shared" si="1"/>
        <v>#DIV/0!</v>
      </c>
      <c r="D61" s="11" t="str">
        <f>HYPERLINK("https://www.digitalauthority.me/resources/marketing-terms-guide/","Marketing terms ")</f>
        <v xml:space="preserve">Marketing terms </v>
      </c>
      <c r="E61" s="13"/>
      <c r="F61" s="13"/>
      <c r="G61" s="13"/>
      <c r="H61" s="13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13" t="s">
        <v>116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HYPERLINK("https://www.digitalauthority.me/resources/mobile-app-development-guide/","ultimate guide to app development")</f>
        <v>ultimate guide to app development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9" r:id="rId1"/>
    <hyperlink ref="E10" r:id="rId2"/>
    <hyperlink ref="G10" r:id="rId3"/>
    <hyperlink ref="I10" r:id="rId4"/>
    <hyperlink ref="K10" r:id="rId5"/>
    <hyperlink ref="M10" r:id="rId6"/>
    <hyperlink ref="O10" r:id="rId7"/>
    <hyperlink ref="Q10" r:id="rId8"/>
    <hyperlink ref="D14" r:id="rId9"/>
    <hyperlink ref="D15" r:id="rId10"/>
    <hyperlink ref="D16" r:id="rId11"/>
    <hyperlink ref="D17" r:id="rId12"/>
    <hyperlink ref="D20" r:id="rId13"/>
    <hyperlink ref="D21" r:id="rId14"/>
    <hyperlink ref="D22" r:id="rId15"/>
    <hyperlink ref="D23" r:id="rId16"/>
    <hyperlink ref="D24" r:id="rId17"/>
    <hyperlink ref="D25" r:id="rId18"/>
    <hyperlink ref="D31" r:id="rId19"/>
    <hyperlink ref="D32" r:id="rId20"/>
    <hyperlink ref="E40" r:id="rId21"/>
    <hyperlink ref="D42" r:id="rId22"/>
    <hyperlink ref="E42" r:id="rId23"/>
    <hyperlink ref="G42" r:id="rId24"/>
    <hyperlink ref="E46" r:id="rId25"/>
    <hyperlink ref="D49" r:id="rId26"/>
    <hyperlink ref="E56" r:id="rId27"/>
    <hyperlink ref="D58" r:id="rId28"/>
    <hyperlink ref="D59" r:id="rId2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3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1</v>
      </c>
      <c r="C4" s="8">
        <f t="shared" si="1"/>
        <v>31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1476</v>
      </c>
      <c r="F4" s="13">
        <v>31</v>
      </c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0</v>
      </c>
      <c r="C9" s="8" t="e">
        <f t="shared" si="1"/>
        <v>#DIV/0!</v>
      </c>
      <c r="D9" s="30" t="str">
        <f>HYPERLINK("https://healthcareweekly.com/astaxanthin/","15 health benefits of astaxanthin")</f>
        <v>15 health benefits of astaxanthin</v>
      </c>
      <c r="E9" s="12"/>
      <c r="F9" s="13"/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1</v>
      </c>
      <c r="C10" s="8">
        <f t="shared" si="1"/>
        <v>70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1506</v>
      </c>
      <c r="F10" s="24">
        <v>70</v>
      </c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1</v>
      </c>
      <c r="C30" s="8">
        <f t="shared" si="1"/>
        <v>71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2" t="s">
        <v>1482</v>
      </c>
      <c r="F30" s="24">
        <v>71</v>
      </c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3</v>
      </c>
      <c r="C36" s="49">
        <f t="shared" ca="1" si="1"/>
        <v>23.666666670000001</v>
      </c>
      <c r="D36" s="50" t="str">
        <f>HYPERLINK("https://www.digitalauthority.me/resources/healthcare-app-development-ultimate-guide/","Healthcare Mobile App development")</f>
        <v>Healthcare Mobile App development</v>
      </c>
      <c r="E36" s="32" t="s">
        <v>1483</v>
      </c>
      <c r="F36" s="31">
        <v>71</v>
      </c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3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0</v>
      </c>
      <c r="C42" s="8" t="e">
        <f t="shared" si="1"/>
        <v>#DIV/0!</v>
      </c>
      <c r="D42" s="21" t="s">
        <v>105</v>
      </c>
      <c r="E42" s="13"/>
      <c r="F42" s="13"/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0</v>
      </c>
      <c r="C46" s="8" t="e">
        <f t="shared" si="1"/>
        <v>#DIV/0!</v>
      </c>
      <c r="D46" s="11" t="str">
        <f>HYPERLINK("https://www.digitalauthority.me/resources/it-marketing-guide/","2019 IT marketing Guide")</f>
        <v>2019 IT marketing Guide</v>
      </c>
      <c r="E46" s="50"/>
      <c r="F46" s="56"/>
      <c r="G46" s="3"/>
      <c r="H46" s="13"/>
      <c r="I46" s="13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1</v>
      </c>
      <c r="C50" s="8">
        <f t="shared" si="1"/>
        <v>66</v>
      </c>
      <c r="D50" s="11" t="str">
        <f>HYPERLINK("https://www.digitalauthority.me/resources/mobile-app-marketing-guide/","Mobile app marketing guide")</f>
        <v>Mobile app marketing guide</v>
      </c>
      <c r="E50" s="21" t="s">
        <v>1477</v>
      </c>
      <c r="F50" s="13">
        <v>66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0</v>
      </c>
      <c r="C56" s="8" t="e">
        <f t="shared" si="1"/>
        <v>#DIV/0!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8"/>
      <c r="F56" s="26"/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1</v>
      </c>
      <c r="C59" s="8">
        <f t="shared" si="1"/>
        <v>71</v>
      </c>
      <c r="D59" s="21" t="s">
        <v>65</v>
      </c>
      <c r="E59" s="13" t="s">
        <v>1948</v>
      </c>
      <c r="F59" s="13">
        <v>71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0</v>
      </c>
      <c r="C61" s="8" t="e">
        <f t="shared" si="1"/>
        <v>#DIV/0!</v>
      </c>
      <c r="D61" s="11" t="str">
        <f>HYPERLINK("https://www.digitalauthority.me/resources/marketing-terms-guide/","Marketing terms ")</f>
        <v xml:space="preserve">Marketing terms </v>
      </c>
      <c r="E61" s="13"/>
      <c r="F61" s="13"/>
      <c r="G61" s="13"/>
      <c r="H61" s="13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13" t="s">
        <v>116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HYPERLINK("https://www.digitalauthority.me/resources/mobile-app-development-guide/","ultimate guide to app development")</f>
        <v>ultimate guide to app development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E10" r:id="rId2"/>
    <hyperlink ref="D14" r:id="rId3"/>
    <hyperlink ref="D15" r:id="rId4"/>
    <hyperlink ref="D16" r:id="rId5"/>
    <hyperlink ref="D17" r:id="rId6"/>
    <hyperlink ref="D20" r:id="rId7"/>
    <hyperlink ref="D21" r:id="rId8"/>
    <hyperlink ref="D22" r:id="rId9"/>
    <hyperlink ref="D23" r:id="rId10"/>
    <hyperlink ref="D24" r:id="rId11"/>
    <hyperlink ref="D25" r:id="rId12"/>
    <hyperlink ref="E30" r:id="rId13"/>
    <hyperlink ref="D31" r:id="rId14"/>
    <hyperlink ref="D32" r:id="rId15"/>
    <hyperlink ref="E36" r:id="rId16"/>
    <hyperlink ref="D42" r:id="rId17"/>
    <hyperlink ref="D49" r:id="rId18"/>
    <hyperlink ref="E50" r:id="rId19"/>
    <hyperlink ref="D58" r:id="rId20"/>
    <hyperlink ref="D59" r:id="rId2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3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0</v>
      </c>
      <c r="C9" s="8" t="e">
        <f t="shared" si="1"/>
        <v>#DIV/0!</v>
      </c>
      <c r="D9" s="30" t="str">
        <f>HYPERLINK("https://healthcareweekly.com/astaxanthin/","15 health benefits of astaxanthin")</f>
        <v>15 health benefits of astaxanthin</v>
      </c>
      <c r="E9" s="12"/>
      <c r="F9" s="13"/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1</v>
      </c>
      <c r="C10" s="8">
        <f t="shared" si="1"/>
        <v>30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1517</v>
      </c>
      <c r="F10" s="24">
        <v>30</v>
      </c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1</v>
      </c>
      <c r="C16" s="8">
        <f t="shared" si="1"/>
        <v>40</v>
      </c>
      <c r="D16" s="21" t="s">
        <v>77</v>
      </c>
      <c r="E16" s="33" t="s">
        <v>1520</v>
      </c>
      <c r="F16" s="34">
        <v>40</v>
      </c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3</v>
      </c>
      <c r="C36" s="49">
        <f t="shared" ca="1" si="1"/>
        <v>8.3333333330000006</v>
      </c>
      <c r="D36" s="50" t="str">
        <f>HYPERLINK("https://www.digitalauthority.me/resources/healthcare-app-development-ultimate-guide/","Healthcare Mobile App development")</f>
        <v>Healthcare Mobile App development</v>
      </c>
      <c r="E36" s="32" t="s">
        <v>1523</v>
      </c>
      <c r="F36" s="31">
        <v>25</v>
      </c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3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0</v>
      </c>
      <c r="C42" s="8" t="e">
        <f t="shared" si="1"/>
        <v>#DIV/0!</v>
      </c>
      <c r="D42" s="21" t="s">
        <v>105</v>
      </c>
      <c r="E42" s="13"/>
      <c r="F42" s="13"/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0</v>
      </c>
      <c r="C46" s="8" t="e">
        <f t="shared" si="1"/>
        <v>#DIV/0!</v>
      </c>
      <c r="D46" s="11" t="str">
        <f>HYPERLINK("https://www.digitalauthority.me/resources/it-marketing-guide/","2019 IT marketing Guide")</f>
        <v>2019 IT marketing Guide</v>
      </c>
      <c r="E46" s="50"/>
      <c r="F46" s="56"/>
      <c r="G46" s="3"/>
      <c r="H46" s="13"/>
      <c r="I46" s="13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0</v>
      </c>
      <c r="C56" s="8" t="e">
        <f t="shared" si="1"/>
        <v>#DIV/0!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8"/>
      <c r="F56" s="26"/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1</v>
      </c>
      <c r="C59" s="8">
        <f t="shared" si="1"/>
        <v>51</v>
      </c>
      <c r="D59" s="21" t="s">
        <v>65</v>
      </c>
      <c r="E59" s="21" t="s">
        <v>1500</v>
      </c>
      <c r="F59" s="13">
        <v>51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0</v>
      </c>
      <c r="C61" s="8" t="e">
        <f t="shared" si="1"/>
        <v>#DIV/0!</v>
      </c>
      <c r="D61" s="11" t="str">
        <f>HYPERLINK("https://www.digitalauthority.me/resources/marketing-terms-guide/","Marketing terms ")</f>
        <v xml:space="preserve">Marketing terms </v>
      </c>
      <c r="E61" s="13"/>
      <c r="F61" s="13"/>
      <c r="G61" s="13"/>
      <c r="H61" s="13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13" t="s">
        <v>116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HYPERLINK("https://www.digitalauthority.me/resources/mobile-app-development-guide/","ultimate guide to app development")</f>
        <v>ultimate guide to app development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10" r:id="rId1"/>
    <hyperlink ref="D14" r:id="rId2"/>
    <hyperlink ref="D15" r:id="rId3"/>
    <hyperlink ref="D16" r:id="rId4"/>
    <hyperlink ref="E16" r:id="rId5"/>
    <hyperlink ref="D17" r:id="rId6"/>
    <hyperlink ref="D20" r:id="rId7"/>
    <hyperlink ref="D21" r:id="rId8"/>
    <hyperlink ref="D22" r:id="rId9"/>
    <hyperlink ref="D23" r:id="rId10"/>
    <hyperlink ref="D24" r:id="rId11"/>
    <hyperlink ref="D25" r:id="rId12"/>
    <hyperlink ref="D31" r:id="rId13"/>
    <hyperlink ref="D32" r:id="rId14"/>
    <hyperlink ref="E36" r:id="rId15"/>
    <hyperlink ref="D42" r:id="rId16"/>
    <hyperlink ref="D49" r:id="rId17"/>
    <hyperlink ref="D58" r:id="rId18"/>
    <hyperlink ref="D59" r:id="rId19"/>
    <hyperlink ref="E59" r:id="rId2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4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0</v>
      </c>
      <c r="C4" s="8" t="e">
        <f t="shared" si="1"/>
        <v>#DIV/0!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12"/>
      <c r="F4" s="13"/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1</v>
      </c>
      <c r="C6" s="8">
        <f t="shared" si="1"/>
        <v>68</v>
      </c>
      <c r="D6" s="22" t="str">
        <f>HYPERLINK("https://www.digitalauthority.me/alexa/","Alexa dev page")</f>
        <v>Alexa dev page</v>
      </c>
      <c r="E6" s="22" t="s">
        <v>1524</v>
      </c>
      <c r="F6" s="24">
        <v>68</v>
      </c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0</v>
      </c>
      <c r="C9" s="8" t="e">
        <f t="shared" si="1"/>
        <v>#DIV/0!</v>
      </c>
      <c r="D9" s="30" t="str">
        <f>HYPERLINK("https://healthcareweekly.com/astaxanthin/","15 health benefits of astaxanthin")</f>
        <v>15 health benefits of astaxanthin</v>
      </c>
      <c r="E9" s="12"/>
      <c r="F9" s="13"/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4</v>
      </c>
      <c r="C10" s="8">
        <f t="shared" si="1"/>
        <v>58.75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1529</v>
      </c>
      <c r="F10" s="24">
        <v>75</v>
      </c>
      <c r="G10" s="160" t="s">
        <v>1533</v>
      </c>
      <c r="H10" s="13">
        <v>26</v>
      </c>
      <c r="I10" s="21" t="s">
        <v>1547</v>
      </c>
      <c r="J10" s="13">
        <v>86</v>
      </c>
      <c r="K10" s="21" t="s">
        <v>1553</v>
      </c>
      <c r="L10" s="13">
        <v>48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1</v>
      </c>
      <c r="C35" s="8">
        <f t="shared" si="1"/>
        <v>37</v>
      </c>
      <c r="D35" s="11" t="str">
        <f>HYPERLINK("https://www.digitalauthority.me/resources/healthcare-marketing-plan-guide/","Healthcare Marketing Plan Guide")</f>
        <v>Healthcare Marketing Plan Guide</v>
      </c>
      <c r="E35" s="21" t="s">
        <v>1559</v>
      </c>
      <c r="F35" s="13">
        <v>37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3</v>
      </c>
      <c r="C36" s="49">
        <f t="shared" ca="1" si="1"/>
        <v>25</v>
      </c>
      <c r="D36" s="50" t="str">
        <f>HYPERLINK("https://www.digitalauthority.me/resources/healthcare-app-development-ultimate-guide/","Healthcare Mobile App development")</f>
        <v>Healthcare Mobile App development</v>
      </c>
      <c r="E36" s="32" t="s">
        <v>1543</v>
      </c>
      <c r="F36" s="31">
        <v>75</v>
      </c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4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79" t="s">
        <v>100</v>
      </c>
      <c r="B38" s="180">
        <f t="shared" si="3"/>
        <v>1</v>
      </c>
      <c r="C38" s="180">
        <f t="shared" si="1"/>
        <v>31</v>
      </c>
      <c r="D38" s="18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182" t="s">
        <v>1549</v>
      </c>
      <c r="F38" s="182">
        <v>31</v>
      </c>
      <c r="G38" s="182"/>
      <c r="H38" s="180"/>
      <c r="I38" s="180"/>
      <c r="J38" s="180"/>
      <c r="K38" s="180"/>
      <c r="L38" s="180"/>
      <c r="M38" s="180"/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  <c r="AD38" s="180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1</v>
      </c>
      <c r="C42" s="8">
        <f t="shared" si="1"/>
        <v>75</v>
      </c>
      <c r="D42" s="21" t="s">
        <v>105</v>
      </c>
      <c r="E42" s="21" t="s">
        <v>1528</v>
      </c>
      <c r="F42" s="13">
        <v>75</v>
      </c>
      <c r="G42" s="13"/>
      <c r="H42" s="13"/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1</v>
      </c>
      <c r="C46" s="8">
        <f t="shared" si="1"/>
        <v>61</v>
      </c>
      <c r="D46" s="11" t="str">
        <f>HYPERLINK("https://www.digitalauthority.me/resources/it-marketing-guide/","2019 IT marketing Guide")</f>
        <v>2019 IT marketing Guide</v>
      </c>
      <c r="E46" s="128" t="s">
        <v>1539</v>
      </c>
      <c r="F46" s="24">
        <v>61</v>
      </c>
      <c r="G46" s="3"/>
      <c r="H46" s="13"/>
      <c r="I46" s="13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2</v>
      </c>
      <c r="C56" s="8">
        <f t="shared" si="1"/>
        <v>43.5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7" t="s">
        <v>1534</v>
      </c>
      <c r="F56" s="26">
        <v>26</v>
      </c>
      <c r="G56" s="30" t="s">
        <v>1536</v>
      </c>
      <c r="H56" s="13">
        <v>61</v>
      </c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1</v>
      </c>
      <c r="C57" s="8">
        <f t="shared" si="1"/>
        <v>27</v>
      </c>
      <c r="D57" s="30" t="str">
        <f>HYPERLINK("https://www.digitalauthority.me/web-analytics-services-chicago/","Web Analytics Services page")</f>
        <v>Web Analytics Services page</v>
      </c>
      <c r="E57" s="30" t="s">
        <v>1558</v>
      </c>
      <c r="F57" s="13">
        <v>27</v>
      </c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0</v>
      </c>
      <c r="C59" s="8" t="e">
        <f t="shared" si="1"/>
        <v>#DIV/0!</v>
      </c>
      <c r="D59" s="21" t="s">
        <v>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0</v>
      </c>
      <c r="C61" s="8" t="e">
        <f t="shared" si="1"/>
        <v>#DIV/0!</v>
      </c>
      <c r="D61" s="11" t="str">
        <f>HYPERLINK("https://www.digitalauthority.me/resources/marketing-terms-guide/","Marketing terms ")</f>
        <v xml:space="preserve">Marketing terms </v>
      </c>
      <c r="E61" s="13"/>
      <c r="F61" s="13"/>
      <c r="G61" s="13"/>
      <c r="H61" s="13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13" t="s">
        <v>116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HYPERLINK("https://www.digitalauthority.me/resources/mobile-app-development-guide/","ultimate guide to app development")</f>
        <v>ultimate guide to app development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3" t="s">
        <v>62</v>
      </c>
      <c r="B64" s="8">
        <f t="shared" si="3"/>
        <v>1</v>
      </c>
      <c r="C64" s="8">
        <f t="shared" si="1"/>
        <v>66</v>
      </c>
      <c r="D64" s="8"/>
      <c r="E64" s="21" t="s">
        <v>1524</v>
      </c>
      <c r="F64" s="13">
        <v>66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6" r:id="rId1"/>
    <hyperlink ref="E10" r:id="rId2"/>
    <hyperlink ref="G10" r:id="rId3"/>
    <hyperlink ref="I10" r:id="rId4"/>
    <hyperlink ref="K10" r:id="rId5"/>
    <hyperlink ref="D14" r:id="rId6"/>
    <hyperlink ref="D15" r:id="rId7"/>
    <hyperlink ref="D16" r:id="rId8"/>
    <hyperlink ref="D17" r:id="rId9"/>
    <hyperlink ref="D20" r:id="rId10"/>
    <hyperlink ref="D21" r:id="rId11"/>
    <hyperlink ref="D22" r:id="rId12"/>
    <hyperlink ref="D23" r:id="rId13"/>
    <hyperlink ref="D24" r:id="rId14"/>
    <hyperlink ref="D25" r:id="rId15"/>
    <hyperlink ref="D31" r:id="rId16"/>
    <hyperlink ref="D32" r:id="rId17"/>
    <hyperlink ref="E35" r:id="rId18"/>
    <hyperlink ref="E36" r:id="rId19"/>
    <hyperlink ref="E38" r:id="rId20"/>
    <hyperlink ref="D42" r:id="rId21"/>
    <hyperlink ref="E42" r:id="rId22"/>
    <hyperlink ref="E46" r:id="rId23"/>
    <hyperlink ref="D49" r:id="rId24"/>
    <hyperlink ref="E56" r:id="rId25"/>
    <hyperlink ref="G56" r:id="rId26"/>
    <hyperlink ref="E57" r:id="rId27"/>
    <hyperlink ref="D58" r:id="rId28"/>
    <hyperlink ref="D59" r:id="rId29"/>
    <hyperlink ref="E64" r:id="rId30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7" si="0">COUNTIF(E2:AD2,"&gt;0")</f>
        <v>0</v>
      </c>
      <c r="C2" s="8" t="e">
        <f t="shared" ref="C2:C64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1</v>
      </c>
      <c r="C4" s="8">
        <f t="shared" si="1"/>
        <v>42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1612</v>
      </c>
      <c r="F4" s="13">
        <v>42</v>
      </c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66</v>
      </c>
      <c r="B6" s="8">
        <f t="shared" si="0"/>
        <v>0</v>
      </c>
      <c r="C6" s="8" t="e">
        <f t="shared" si="1"/>
        <v>#DIV/0!</v>
      </c>
      <c r="D6" s="22" t="str">
        <f>HYPERLINK("https://www.digitalauthority.me/alexa/","Alexa dev page")</f>
        <v>Alexa dev page</v>
      </c>
      <c r="E6" s="23"/>
      <c r="F6" s="24"/>
      <c r="G6" s="25"/>
      <c r="H6" s="13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26" t="s">
        <v>67</v>
      </c>
      <c r="B7" s="8">
        <f t="shared" si="0"/>
        <v>0</v>
      </c>
      <c r="C7" s="8" t="e">
        <f t="shared" si="1"/>
        <v>#DIV/0!</v>
      </c>
      <c r="D7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7" s="28"/>
      <c r="F7" s="26"/>
      <c r="G7" s="29"/>
      <c r="H7" s="29"/>
      <c r="I7" s="29"/>
      <c r="J7" s="29"/>
      <c r="K7" s="29"/>
      <c r="L7" s="2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3" t="s">
        <v>68</v>
      </c>
      <c r="B8" s="8">
        <f ca="1">COUNTIF(A8:AD8,"&gt;0")</f>
        <v>0</v>
      </c>
      <c r="C8" s="8" t="str">
        <f t="shared" ca="1" si="1"/>
        <v>#DIV/0!</v>
      </c>
      <c r="D8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8" s="3"/>
      <c r="F8" s="24"/>
      <c r="G8" s="2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13" t="s">
        <v>69</v>
      </c>
      <c r="B9" s="8">
        <f t="shared" ref="B9:B35" si="2">COUNTIF(E9:AD9,"&gt;0")</f>
        <v>1</v>
      </c>
      <c r="C9" s="8">
        <f t="shared" si="1"/>
        <v>50</v>
      </c>
      <c r="D9" s="30" t="str">
        <f>HYPERLINK("https://healthcareweekly.com/astaxanthin/","15 health benefits of astaxanthin")</f>
        <v>15 health benefits of astaxanthin</v>
      </c>
      <c r="E9" s="30" t="s">
        <v>1568</v>
      </c>
      <c r="F9" s="13">
        <v>50</v>
      </c>
      <c r="G9" s="12"/>
      <c r="H9" s="13"/>
      <c r="I9" s="12"/>
      <c r="J9" s="13"/>
      <c r="K9" s="12"/>
      <c r="L9" s="13"/>
      <c r="M9" s="12"/>
      <c r="N9" s="13"/>
      <c r="O9" s="12"/>
      <c r="P9" s="13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13" t="s">
        <v>70</v>
      </c>
      <c r="B10" s="8">
        <f t="shared" si="2"/>
        <v>2</v>
      </c>
      <c r="C10" s="8">
        <f t="shared" si="1"/>
        <v>59.5</v>
      </c>
      <c r="D10" s="11" t="str">
        <f>HYPERLINK("https://www.digitalauthority.me/resources/b2b-marketing/","How to Jumpstart Your B2B Marketing Strategy in 2019")</f>
        <v>How to Jumpstart Your B2B Marketing Strategy in 2019</v>
      </c>
      <c r="E10" s="32" t="s">
        <v>1570</v>
      </c>
      <c r="F10" s="24">
        <v>56</v>
      </c>
      <c r="G10" s="160" t="s">
        <v>1607</v>
      </c>
      <c r="H10" s="13">
        <v>63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73</v>
      </c>
      <c r="B11" s="8">
        <f t="shared" si="2"/>
        <v>0</v>
      </c>
      <c r="C11" s="8" t="e">
        <f t="shared" si="1"/>
        <v>#DIV/0!</v>
      </c>
      <c r="D11" s="30" t="str">
        <f>HYPERLINK("https://healthcareweekly.com/blockchain-in-healthcare/","7 Applications of Blockchain in Healthcare
")</f>
        <v>7 Applications of Blockchain in Healthcare_x000D_</v>
      </c>
      <c r="E11" s="28"/>
      <c r="F11" s="26"/>
      <c r="G11" s="13"/>
      <c r="H11" s="13"/>
      <c r="I11" s="13"/>
      <c r="J11" s="13"/>
      <c r="K11" s="13"/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3" t="s">
        <v>73</v>
      </c>
      <c r="B12" s="8">
        <f t="shared" si="2"/>
        <v>0</v>
      </c>
      <c r="C12" s="8" t="e">
        <f t="shared" si="1"/>
        <v>#DIV/0!</v>
      </c>
      <c r="D12" s="11" t="str">
        <f>HYPERLINK("https://www.digitalauthority.me/resources/blockchain-in-healthcare/","Blockchain in Healthcare: An Executive’s Guide for 2019")</f>
        <v>Blockchain in Healthcare: An Executive’s Guide for 2019</v>
      </c>
      <c r="E12" s="1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75</v>
      </c>
      <c r="B13" s="8">
        <f t="shared" si="2"/>
        <v>0</v>
      </c>
      <c r="C13" s="8" t="e">
        <f t="shared" si="1"/>
        <v>#DIV/0!</v>
      </c>
      <c r="D13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76</v>
      </c>
      <c r="B14" s="8">
        <f t="shared" si="2"/>
        <v>0</v>
      </c>
      <c r="C14" s="8" t="e">
        <f t="shared" si="1"/>
        <v>#DIV/0!</v>
      </c>
      <c r="D14" s="21" t="s">
        <v>77</v>
      </c>
      <c r="E14" s="12"/>
      <c r="F14" s="1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13" t="s">
        <v>78</v>
      </c>
      <c r="B15" s="8">
        <f t="shared" si="2"/>
        <v>0</v>
      </c>
      <c r="C15" s="8" t="e">
        <f t="shared" si="1"/>
        <v>#DIV/0!</v>
      </c>
      <c r="D15" s="21" t="s">
        <v>77</v>
      </c>
      <c r="E15" s="12"/>
      <c r="F15" s="1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79</v>
      </c>
      <c r="B16" s="8">
        <f t="shared" si="2"/>
        <v>0</v>
      </c>
      <c r="C16" s="8" t="e">
        <f t="shared" si="1"/>
        <v>#DIV/0!</v>
      </c>
      <c r="D16" s="21" t="s">
        <v>77</v>
      </c>
      <c r="E16" s="33"/>
      <c r="F16" s="34"/>
      <c r="G16" s="12"/>
      <c r="H16" s="13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26" t="s">
        <v>80</v>
      </c>
      <c r="B17" s="8">
        <f t="shared" si="2"/>
        <v>0</v>
      </c>
      <c r="C17" s="8" t="e">
        <f t="shared" si="1"/>
        <v>#DIV/0!</v>
      </c>
      <c r="D17" s="35" t="s">
        <v>77</v>
      </c>
      <c r="E17" s="12"/>
      <c r="F17" s="13"/>
      <c r="G17" s="28"/>
      <c r="H17" s="26"/>
      <c r="I17" s="28"/>
      <c r="J17" s="26"/>
      <c r="K17" s="28"/>
      <c r="L17" s="26"/>
      <c r="M17" s="12"/>
      <c r="N17" s="13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26" t="s">
        <v>74</v>
      </c>
      <c r="B18" s="8">
        <f t="shared" si="2"/>
        <v>0</v>
      </c>
      <c r="C18" s="8" t="e">
        <f t="shared" si="1"/>
        <v>#DIV/0!</v>
      </c>
      <c r="D18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18" s="28"/>
      <c r="F18" s="26"/>
      <c r="G18" s="28"/>
      <c r="H18" s="26"/>
      <c r="I18" s="12"/>
      <c r="J18" s="13"/>
      <c r="K18" s="28"/>
      <c r="L18" s="26"/>
      <c r="M18" s="12"/>
      <c r="N18" s="13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3"/>
      <c r="AA18" s="8"/>
      <c r="AB18" s="8"/>
      <c r="AC18" s="8"/>
      <c r="AD18" s="8"/>
    </row>
    <row r="19" spans="1:30" ht="15.75" customHeight="1">
      <c r="A19" s="3" t="s">
        <v>81</v>
      </c>
      <c r="B19" s="8">
        <f t="shared" si="2"/>
        <v>0</v>
      </c>
      <c r="C19" s="8" t="e">
        <f t="shared" si="1"/>
        <v>#DIV/0!</v>
      </c>
      <c r="D19" s="36"/>
      <c r="E19" s="37"/>
      <c r="F19" s="38"/>
      <c r="G19" s="24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3" t="s">
        <v>82</v>
      </c>
      <c r="B20" s="8">
        <f t="shared" si="2"/>
        <v>0</v>
      </c>
      <c r="C20" s="8" t="e">
        <f t="shared" si="1"/>
        <v>#DIV/0!</v>
      </c>
      <c r="D20" s="11" t="s">
        <v>77</v>
      </c>
      <c r="E20" s="3"/>
      <c r="F20" s="3"/>
      <c r="G20" s="16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13" t="s">
        <v>83</v>
      </c>
      <c r="B21" s="8">
        <f t="shared" si="2"/>
        <v>0</v>
      </c>
      <c r="C21" s="8" t="e">
        <f t="shared" si="1"/>
        <v>#DIV/0!</v>
      </c>
      <c r="D21" s="21" t="s">
        <v>77</v>
      </c>
      <c r="E21" s="12"/>
      <c r="F21" s="13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>
      <c r="A22" s="13" t="s">
        <v>84</v>
      </c>
      <c r="B22" s="8">
        <f t="shared" si="2"/>
        <v>0</v>
      </c>
      <c r="C22" s="8" t="e">
        <f t="shared" si="1"/>
        <v>#DIV/0!</v>
      </c>
      <c r="D22" s="21" t="s">
        <v>77</v>
      </c>
      <c r="E22" s="39"/>
      <c r="F22" s="7"/>
      <c r="G22" s="40"/>
      <c r="H22" s="8"/>
      <c r="I22" s="12"/>
      <c r="J22" s="13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13" t="s">
        <v>85</v>
      </c>
      <c r="B23" s="8">
        <f t="shared" si="2"/>
        <v>0</v>
      </c>
      <c r="C23" s="8" t="e">
        <f t="shared" si="1"/>
        <v>#DIV/0!</v>
      </c>
      <c r="D23" s="21" t="s">
        <v>77</v>
      </c>
      <c r="E23" s="41"/>
      <c r="F23" s="42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86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2" t="s">
        <v>87</v>
      </c>
      <c r="B25" s="8">
        <f t="shared" si="2"/>
        <v>0</v>
      </c>
      <c r="C25" s="8" t="e">
        <f t="shared" si="1"/>
        <v>#DIV/0!</v>
      </c>
      <c r="D25" s="21" t="s">
        <v>77</v>
      </c>
      <c r="E25" s="12"/>
      <c r="F25" s="13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26" t="s">
        <v>88</v>
      </c>
      <c r="B26" s="8">
        <f t="shared" si="2"/>
        <v>0</v>
      </c>
      <c r="C26" s="8" t="e">
        <f t="shared" si="1"/>
        <v>#DIV/0!</v>
      </c>
      <c r="D26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6" s="28"/>
      <c r="F26" s="26"/>
      <c r="G26" s="44"/>
      <c r="H26" s="24"/>
      <c r="I26" s="29"/>
      <c r="J26" s="29"/>
      <c r="K26" s="29"/>
      <c r="L26" s="2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89</v>
      </c>
      <c r="B27" s="8">
        <f t="shared" si="2"/>
        <v>0</v>
      </c>
      <c r="C27" s="8" t="e">
        <f t="shared" si="1"/>
        <v>#DIV/0!</v>
      </c>
      <c r="D27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27" s="28"/>
      <c r="F27" s="26"/>
      <c r="G27" s="29"/>
      <c r="H27" s="29"/>
      <c r="I27" s="29"/>
      <c r="J27" s="29"/>
      <c r="K27" s="29"/>
      <c r="L27" s="2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3" t="s">
        <v>90</v>
      </c>
      <c r="B28" s="8">
        <f t="shared" si="2"/>
        <v>0</v>
      </c>
      <c r="C28" s="8" t="e">
        <f t="shared" si="1"/>
        <v>#DIV/0!</v>
      </c>
      <c r="D28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28" s="33"/>
      <c r="F28" s="34"/>
      <c r="G28" s="12"/>
      <c r="H28" s="13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>
      <c r="A29" s="13" t="s">
        <v>59</v>
      </c>
      <c r="B29" s="8">
        <f t="shared" si="2"/>
        <v>0</v>
      </c>
      <c r="C29" s="8" t="e">
        <f t="shared" si="1"/>
        <v>#DIV/0!</v>
      </c>
      <c r="D29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29" s="33"/>
      <c r="F29" s="34"/>
      <c r="G29" s="12"/>
      <c r="H29" s="13"/>
      <c r="I29" s="12"/>
      <c r="J29" s="13"/>
      <c r="K29" s="12"/>
      <c r="L29" s="1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26" t="s">
        <v>91</v>
      </c>
      <c r="B30" s="8">
        <f t="shared" si="2"/>
        <v>0</v>
      </c>
      <c r="C30" s="8" t="e">
        <f t="shared" si="1"/>
        <v>#DIV/0!</v>
      </c>
      <c r="D30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0" s="23"/>
      <c r="F30" s="24"/>
      <c r="G30" s="12"/>
      <c r="H30" s="13"/>
      <c r="I30" s="28"/>
      <c r="J30" s="26"/>
      <c r="K30" s="3"/>
      <c r="L30" s="45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13" t="s">
        <v>92</v>
      </c>
      <c r="B31" s="8">
        <f t="shared" si="2"/>
        <v>0</v>
      </c>
      <c r="C31" s="8" t="e">
        <f t="shared" si="1"/>
        <v>#DIV/0!</v>
      </c>
      <c r="D31" s="21" t="s">
        <v>77</v>
      </c>
      <c r="E31" s="28"/>
      <c r="F31" s="26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3" t="s">
        <v>93</v>
      </c>
      <c r="B32" s="8">
        <f t="shared" si="2"/>
        <v>0</v>
      </c>
      <c r="C32" s="8" t="e">
        <f t="shared" si="1"/>
        <v>#DIV/0!</v>
      </c>
      <c r="D32" s="30" t="s">
        <v>77</v>
      </c>
      <c r="E32" s="28"/>
      <c r="F32" s="26"/>
      <c r="G32" s="12"/>
      <c r="H32" s="13"/>
      <c r="I32" s="12"/>
      <c r="J32" s="13"/>
      <c r="K32" s="12"/>
      <c r="L32" s="13"/>
      <c r="M32" s="12"/>
      <c r="N32" s="13"/>
      <c r="O32" s="23"/>
      <c r="P32" s="24"/>
      <c r="Q32" s="12"/>
      <c r="R32" s="13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>
      <c r="A33" s="12" t="s">
        <v>94</v>
      </c>
      <c r="B33" s="8">
        <f t="shared" si="2"/>
        <v>0</v>
      </c>
      <c r="C33" s="8" t="e">
        <f t="shared" si="1"/>
        <v>#DIV/0!</v>
      </c>
      <c r="D33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3" s="12"/>
      <c r="F33" s="13"/>
      <c r="G33" s="12"/>
      <c r="H33" s="13"/>
      <c r="I33" s="12"/>
      <c r="J33" s="13"/>
      <c r="K33" s="12"/>
      <c r="L33" s="13"/>
      <c r="M33" s="12"/>
      <c r="N33" s="13"/>
      <c r="O33" s="23"/>
      <c r="P33" s="24"/>
      <c r="Q33" s="12"/>
      <c r="R33" s="13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95</v>
      </c>
      <c r="B34" s="8">
        <f t="shared" si="2"/>
        <v>0</v>
      </c>
      <c r="C34" s="8" t="e">
        <f t="shared" si="1"/>
        <v>#DIV/0!</v>
      </c>
      <c r="D34" s="8"/>
      <c r="E34" s="12"/>
      <c r="F34" s="13"/>
      <c r="G34" s="12"/>
      <c r="H34" s="13"/>
      <c r="I34" s="28"/>
      <c r="J34" s="26"/>
      <c r="K34" s="23"/>
      <c r="L34" s="24"/>
      <c r="M34" s="12"/>
      <c r="N34" s="13"/>
      <c r="O34" s="46"/>
      <c r="P34" s="47"/>
      <c r="Q34" s="28"/>
      <c r="R34" s="26"/>
      <c r="S34" s="12"/>
      <c r="T34" s="13"/>
      <c r="U34" s="12"/>
      <c r="V34" s="13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13" t="s">
        <v>96</v>
      </c>
      <c r="B35" s="8">
        <f t="shared" si="2"/>
        <v>0</v>
      </c>
      <c r="C35" s="8" t="e">
        <f t="shared" si="1"/>
        <v>#DIV/0!</v>
      </c>
      <c r="D35" s="11" t="str">
        <f>HYPERLINK("https://www.digitalauthority.me/resources/healthcare-marketing-plan-guide/","Healthcare Marketing Plan Guide")</f>
        <v>Healthcare Marketing Plan Guide</v>
      </c>
      <c r="E35" s="8"/>
      <c r="F35" s="13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37" t="s">
        <v>98</v>
      </c>
      <c r="B36" s="47">
        <f ca="1">COUNTIF(A36:AD36,"&gt;0")</f>
        <v>0</v>
      </c>
      <c r="C36" s="49" t="str">
        <f t="shared" ca="1" si="1"/>
        <v>#DIV/0!</v>
      </c>
      <c r="D36" s="50" t="str">
        <f>HYPERLINK("https://www.digitalauthority.me/resources/healthcare-app-development-ultimate-guide/","Healthcare Mobile App development")</f>
        <v>Healthcare Mobile App development</v>
      </c>
      <c r="E36" s="31"/>
      <c r="F36" s="31"/>
      <c r="G36" s="31"/>
      <c r="H36" s="31"/>
      <c r="I36" s="31"/>
      <c r="J36" s="31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5.75" customHeight="1">
      <c r="A37" s="13" t="s">
        <v>99</v>
      </c>
      <c r="B37" s="8">
        <f t="shared" ref="B37:B64" si="3">COUNTIF(E37:AD37,"&gt;0")</f>
        <v>0</v>
      </c>
      <c r="C37" s="8" t="e">
        <f t="shared" si="1"/>
        <v>#DIV/0!</v>
      </c>
      <c r="D37" s="11" t="str">
        <f>HYPERLINK("https://www.digitalauthority.me/resources/public-relations-healthcare-guide/","Healthcare PR Guide")</f>
        <v>Healthcare PR Guide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3" t="s">
        <v>100</v>
      </c>
      <c r="B38" s="8">
        <f t="shared" si="3"/>
        <v>0</v>
      </c>
      <c r="C38" s="8" t="e">
        <f t="shared" si="1"/>
        <v>#DIV/0!</v>
      </c>
      <c r="D38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38" s="51"/>
      <c r="F38" s="51"/>
      <c r="G38" s="5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26" t="s">
        <v>101</v>
      </c>
      <c r="B39" s="8">
        <f t="shared" si="3"/>
        <v>0</v>
      </c>
      <c r="C39" s="8" t="e">
        <f t="shared" si="1"/>
        <v>#DIV/0!</v>
      </c>
      <c r="D39" s="27" t="str">
        <f>HYPERLINK("https://healthcareweekly.com/healthcare-startup-fails/","Most Common Health Startup Mistakes – and How to Fix Them
")</f>
        <v>Most Common Health Startup Mistakes – and How to Fix Them_x000D_</v>
      </c>
      <c r="E39" s="28"/>
      <c r="F39" s="26"/>
      <c r="G39" s="28"/>
      <c r="H39" s="26"/>
      <c r="I39" s="12"/>
      <c r="J39" s="13"/>
      <c r="K39" s="29"/>
      <c r="L39" s="29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>
      <c r="A40" s="26" t="s">
        <v>102</v>
      </c>
      <c r="B40" s="8">
        <f t="shared" si="3"/>
        <v>0</v>
      </c>
      <c r="C40" s="8" t="e">
        <f t="shared" si="1"/>
        <v>#DIV/0!</v>
      </c>
      <c r="D40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0" s="28"/>
      <c r="F40" s="26"/>
      <c r="G40" s="44"/>
      <c r="H40" s="24"/>
      <c r="I40" s="28"/>
      <c r="J40" s="26"/>
      <c r="K40" s="52"/>
      <c r="L40" s="53"/>
      <c r="M40" s="28"/>
      <c r="N40" s="26"/>
      <c r="O40" s="12"/>
      <c r="P40" s="13"/>
      <c r="Q40" s="12"/>
      <c r="R40" s="13"/>
      <c r="S40" s="12"/>
      <c r="T40" s="13"/>
      <c r="U40" s="12"/>
      <c r="V40" s="13"/>
      <c r="W40" s="8"/>
      <c r="X40" s="8"/>
      <c r="Y40" s="8"/>
      <c r="Z40" s="8"/>
      <c r="AA40" s="8"/>
      <c r="AB40" s="8"/>
      <c r="AC40" s="8"/>
      <c r="AD40" s="8"/>
    </row>
    <row r="41" spans="1:30" ht="15.75" customHeight="1">
      <c r="A41" s="26" t="s">
        <v>103</v>
      </c>
      <c r="B41" s="8">
        <f t="shared" si="3"/>
        <v>0</v>
      </c>
      <c r="C41" s="8" t="e">
        <f t="shared" si="1"/>
        <v>#DIV/0!</v>
      </c>
      <c r="D41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1" s="28"/>
      <c r="F41" s="26"/>
      <c r="G41" s="44"/>
      <c r="H41" s="24"/>
      <c r="I41" s="28"/>
      <c r="J41" s="26"/>
      <c r="K41" s="12"/>
      <c r="L41" s="13"/>
      <c r="M41" s="12"/>
      <c r="N41" s="13"/>
      <c r="O41" s="13"/>
      <c r="P41" s="13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13" t="s">
        <v>104</v>
      </c>
      <c r="B42" s="8">
        <f t="shared" si="3"/>
        <v>2</v>
      </c>
      <c r="C42" s="8">
        <f t="shared" si="1"/>
        <v>35</v>
      </c>
      <c r="D42" s="21" t="s">
        <v>105</v>
      </c>
      <c r="E42" s="21" t="s">
        <v>1564</v>
      </c>
      <c r="F42" s="13">
        <v>23</v>
      </c>
      <c r="G42" s="21" t="s">
        <v>1629</v>
      </c>
      <c r="H42" s="13">
        <v>47</v>
      </c>
      <c r="I42" s="13"/>
      <c r="J42" s="1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3" t="s">
        <v>108</v>
      </c>
      <c r="B43" s="8">
        <f t="shared" si="3"/>
        <v>0</v>
      </c>
      <c r="C43" s="8" t="e">
        <f t="shared" si="1"/>
        <v>#DIV/0!</v>
      </c>
      <c r="D43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3" s="12"/>
      <c r="F43" s="13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3" t="s">
        <v>109</v>
      </c>
      <c r="B44" s="8">
        <f t="shared" si="3"/>
        <v>0</v>
      </c>
      <c r="C44" s="8" t="e">
        <f t="shared" si="1"/>
        <v>#DIV/0!</v>
      </c>
      <c r="D44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4" s="23"/>
      <c r="F44" s="24"/>
      <c r="G44" s="12"/>
      <c r="H44" s="13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110</v>
      </c>
      <c r="B45" s="8">
        <f t="shared" si="3"/>
        <v>0</v>
      </c>
      <c r="C45" s="8" t="e">
        <f t="shared" si="1"/>
        <v>#DIV/0!</v>
      </c>
      <c r="D45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5" s="13"/>
      <c r="F45" s="13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3" t="s">
        <v>111</v>
      </c>
      <c r="B46" s="8">
        <f t="shared" si="3"/>
        <v>0</v>
      </c>
      <c r="C46" s="8" t="e">
        <f t="shared" si="1"/>
        <v>#DIV/0!</v>
      </c>
      <c r="D46" s="11" t="str">
        <f>HYPERLINK("https://www.digitalauthority.me/resources/it-marketing-guide/","2019 IT marketing Guide")</f>
        <v>2019 IT marketing Guide</v>
      </c>
      <c r="E46" s="50"/>
      <c r="F46" s="56"/>
      <c r="G46" s="3"/>
      <c r="H46" s="13"/>
      <c r="I46" s="13"/>
      <c r="J46" s="1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112</v>
      </c>
      <c r="B47" s="8">
        <f t="shared" si="3"/>
        <v>0</v>
      </c>
      <c r="C47" s="8" t="e">
        <f t="shared" si="1"/>
        <v>#DIV/0!</v>
      </c>
      <c r="D47" s="30" t="str">
        <f t="shared" ref="D47:D48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113</v>
      </c>
      <c r="B48" s="8">
        <f t="shared" si="3"/>
        <v>0</v>
      </c>
      <c r="C48" s="8" t="e">
        <f t="shared" si="1"/>
        <v>#DIV/0!</v>
      </c>
      <c r="D48" s="30" t="str">
        <f t="shared" si="4"/>
        <v>5 Key Strategies for Your Financial Product Marketing Initiatives in 2019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115</v>
      </c>
      <c r="B49" s="8">
        <f t="shared" si="3"/>
        <v>0</v>
      </c>
      <c r="C49" s="8" t="e">
        <f t="shared" si="1"/>
        <v>#DIV/0!</v>
      </c>
      <c r="D49" s="21" t="s">
        <v>77</v>
      </c>
      <c r="E49" s="28"/>
      <c r="F49" s="26"/>
      <c r="G49" s="57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13" t="s">
        <v>118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HYPERLINK("https://www.digitalauthority.me/resources/mobile-app-marketing-guide/","Mobile app marketing guide")</f>
        <v>Mobile app marketing guide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12" t="s">
        <v>119</v>
      </c>
      <c r="B51" s="8">
        <f t="shared" si="3"/>
        <v>0</v>
      </c>
      <c r="C51" s="8" t="e">
        <f t="shared" si="1"/>
        <v>#DIV/0!</v>
      </c>
      <c r="D51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1" s="12"/>
      <c r="F51" s="13"/>
      <c r="G51" s="12"/>
      <c r="H51" s="13"/>
      <c r="I51" s="12"/>
      <c r="J51" s="13"/>
      <c r="K51" s="12"/>
      <c r="L51" s="1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26" t="s">
        <v>122</v>
      </c>
      <c r="B52" s="8">
        <f t="shared" si="3"/>
        <v>0</v>
      </c>
      <c r="C52" s="8" t="e">
        <f t="shared" si="1"/>
        <v>#DIV/0!</v>
      </c>
      <c r="D52" s="59" t="str">
        <f t="shared" ref="D52:D53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2" s="12"/>
      <c r="F52" s="13"/>
      <c r="G52" s="28"/>
      <c r="H52" s="26"/>
      <c r="I52" s="28"/>
      <c r="J52" s="26"/>
      <c r="K52" s="29"/>
      <c r="L52" s="2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26" t="s">
        <v>123</v>
      </c>
      <c r="B53" s="8">
        <f t="shared" si="3"/>
        <v>0</v>
      </c>
      <c r="C53" s="8" t="e">
        <f t="shared" si="1"/>
        <v>#DIV/0!</v>
      </c>
      <c r="D53" s="54" t="str">
        <f t="shared" si="5"/>
        <v xml:space="preserve">11 online reputation management techniques for doctors (the definitive guide)
</v>
      </c>
      <c r="E53" s="28"/>
      <c r="F53" s="26"/>
      <c r="G53" s="28"/>
      <c r="H53" s="26"/>
      <c r="I53" s="28"/>
      <c r="J53" s="26"/>
      <c r="K53" s="29"/>
      <c r="L53" s="2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3" t="s">
        <v>126</v>
      </c>
      <c r="B54" s="8">
        <f t="shared" si="3"/>
        <v>0</v>
      </c>
      <c r="C54" s="8" t="e">
        <f t="shared" si="1"/>
        <v>#DIV/0!</v>
      </c>
      <c r="D54" s="11" t="str">
        <f>HYPERLINK("https://www.digitalauthority.me/resources/17-reasons-why-most-companies-fail-at-seo/","17 Reasons Why Companies Fail At SEO")</f>
        <v>17 Reasons Why Companies Fail At SEO</v>
      </c>
      <c r="E54" s="3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0" t="s">
        <v>128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55" s="10"/>
      <c r="F55" s="13"/>
      <c r="G55" s="12"/>
      <c r="H55" s="13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129</v>
      </c>
      <c r="B56" s="8">
        <f t="shared" si="3"/>
        <v>1</v>
      </c>
      <c r="C56" s="8">
        <f t="shared" si="1"/>
        <v>57</v>
      </c>
      <c r="D56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56" s="27" t="s">
        <v>1593</v>
      </c>
      <c r="F56" s="26">
        <v>57</v>
      </c>
      <c r="G56" s="12"/>
      <c r="H56" s="13"/>
      <c r="I56" s="12"/>
      <c r="J56" s="13"/>
      <c r="K56" s="13"/>
      <c r="L56" s="1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3" t="s">
        <v>130</v>
      </c>
      <c r="B57" s="8">
        <f t="shared" si="3"/>
        <v>0</v>
      </c>
      <c r="C57" s="8" t="e">
        <f t="shared" si="1"/>
        <v>#DIV/0!</v>
      </c>
      <c r="D57" s="30" t="str">
        <f>HYPERLINK("https://www.digitalauthority.me/web-analytics-services-chicago/","Web Analytics Services page")</f>
        <v>Web Analytics Services page</v>
      </c>
      <c r="E57" s="12"/>
      <c r="F57" s="13"/>
      <c r="G57" s="12"/>
      <c r="H57" s="13"/>
      <c r="I57" s="12"/>
      <c r="J57" s="1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131</v>
      </c>
      <c r="B58" s="8">
        <f t="shared" si="3"/>
        <v>0</v>
      </c>
      <c r="C58" s="8" t="e">
        <f t="shared" si="1"/>
        <v>#DIV/0!</v>
      </c>
      <c r="D58" s="21" t="s">
        <v>132</v>
      </c>
      <c r="E58" s="46"/>
      <c r="F58" s="4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13" t="s">
        <v>64</v>
      </c>
      <c r="B59" s="8">
        <f t="shared" si="3"/>
        <v>1</v>
      </c>
      <c r="C59" s="8">
        <f t="shared" si="1"/>
        <v>70</v>
      </c>
      <c r="D59" s="21" t="s">
        <v>65</v>
      </c>
      <c r="E59" s="21" t="s">
        <v>1587</v>
      </c>
      <c r="F59" s="13">
        <v>70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13" t="s">
        <v>72</v>
      </c>
      <c r="B60" s="8">
        <f t="shared" si="3"/>
        <v>0</v>
      </c>
      <c r="C60" s="8" t="e">
        <f t="shared" si="1"/>
        <v>#DIV/0!</v>
      </c>
      <c r="D60" s="11" t="str">
        <f>HYPERLINK("https://www.digitalauthority.me/resources/big-data-in-healthcare/","Big Data in healthcare")</f>
        <v>Big Data in healthcare</v>
      </c>
      <c r="E60" s="3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114</v>
      </c>
      <c r="B61" s="8">
        <f t="shared" si="3"/>
        <v>0</v>
      </c>
      <c r="C61" s="8" t="e">
        <f t="shared" si="1"/>
        <v>#DIV/0!</v>
      </c>
      <c r="D61" s="11" t="str">
        <f>HYPERLINK("https://www.digitalauthority.me/resources/marketing-terms-guide/","Marketing terms ")</f>
        <v xml:space="preserve">Marketing terms </v>
      </c>
      <c r="E61" s="13"/>
      <c r="F61" s="13"/>
      <c r="G61" s="13"/>
      <c r="H61" s="13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13" t="s">
        <v>116</v>
      </c>
      <c r="B62" s="8">
        <f t="shared" si="3"/>
        <v>1</v>
      </c>
      <c r="C62" s="8">
        <f t="shared" si="1"/>
        <v>33</v>
      </c>
      <c r="D62" s="11" t="str">
        <f>HYPERLINK("https://www.digitalauthority.me/resources/mobile-app-development-guide/","ultimate guide to app development")</f>
        <v>ultimate guide to app development</v>
      </c>
      <c r="E62" s="21" t="s">
        <v>1625</v>
      </c>
      <c r="F62" s="13">
        <v>33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3" t="s">
        <v>62</v>
      </c>
      <c r="B64" s="8">
        <f t="shared" si="3"/>
        <v>0</v>
      </c>
      <c r="C64" s="8" t="e">
        <f t="shared" si="1"/>
        <v>#DIV/0!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E9" r:id="rId2"/>
    <hyperlink ref="E10" r:id="rId3"/>
    <hyperlink ref="G10" r:id="rId4"/>
    <hyperlink ref="D14" r:id="rId5"/>
    <hyperlink ref="D15" r:id="rId6"/>
    <hyperlink ref="D16" r:id="rId7"/>
    <hyperlink ref="D17" r:id="rId8"/>
    <hyperlink ref="D20" r:id="rId9"/>
    <hyperlink ref="D21" r:id="rId10"/>
    <hyperlink ref="D22" r:id="rId11"/>
    <hyperlink ref="D23" r:id="rId12"/>
    <hyperlink ref="D24" r:id="rId13"/>
    <hyperlink ref="D25" r:id="rId14"/>
    <hyperlink ref="D31" r:id="rId15"/>
    <hyperlink ref="D32" r:id="rId16"/>
    <hyperlink ref="D42" r:id="rId17"/>
    <hyperlink ref="E42" r:id="rId18"/>
    <hyperlink ref="G42" r:id="rId19"/>
    <hyperlink ref="D49" r:id="rId20"/>
    <hyperlink ref="E56" r:id="rId21"/>
    <hyperlink ref="D58" r:id="rId22"/>
    <hyperlink ref="D59" r:id="rId23"/>
    <hyperlink ref="E59" r:id="rId24"/>
    <hyperlink ref="E62" r:id="rId2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30.33203125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165" t="s">
        <v>8</v>
      </c>
      <c r="J1" s="1" t="s">
        <v>6</v>
      </c>
      <c r="K1" s="165" t="s">
        <v>9</v>
      </c>
      <c r="L1" s="1" t="s">
        <v>6</v>
      </c>
      <c r="M1" s="165" t="s">
        <v>10</v>
      </c>
      <c r="N1" s="1" t="s">
        <v>6</v>
      </c>
      <c r="O1" s="165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9" si="0">COUNTIF(E2:AD2,"&gt;0")</f>
        <v>0</v>
      </c>
      <c r="C2" s="8" t="e">
        <f t="shared" ref="C2:C72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2</v>
      </c>
      <c r="C4" s="8">
        <f t="shared" si="1"/>
        <v>52.5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1648</v>
      </c>
      <c r="F4" s="13">
        <v>55</v>
      </c>
      <c r="G4" s="158" t="s">
        <v>1685</v>
      </c>
      <c r="H4" s="13">
        <v>50</v>
      </c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62</v>
      </c>
      <c r="B6" s="8">
        <f t="shared" si="0"/>
        <v>0</v>
      </c>
      <c r="C6" s="8" t="e">
        <f t="shared" si="1"/>
        <v>#DIV/0!</v>
      </c>
      <c r="D6" s="21" t="s">
        <v>63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64</v>
      </c>
      <c r="B7" s="8">
        <f t="shared" si="0"/>
        <v>1</v>
      </c>
      <c r="C7" s="8">
        <f t="shared" si="1"/>
        <v>32</v>
      </c>
      <c r="D7" s="21" t="s">
        <v>65</v>
      </c>
      <c r="E7" s="21" t="s">
        <v>1710</v>
      </c>
      <c r="F7" s="13">
        <v>32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66</v>
      </c>
      <c r="B8" s="8">
        <f t="shared" si="0"/>
        <v>0</v>
      </c>
      <c r="C8" s="8" t="e">
        <f t="shared" si="1"/>
        <v>#DIV/0!</v>
      </c>
      <c r="D8" s="22" t="str">
        <f>HYPERLINK("https://www.digitalauthority.me/alexa/","Alexa dev page")</f>
        <v>Alexa dev page</v>
      </c>
      <c r="E8" s="23"/>
      <c r="F8" s="24"/>
      <c r="G8" s="25"/>
      <c r="H8" s="13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67</v>
      </c>
      <c r="B9" s="8">
        <f t="shared" si="0"/>
        <v>0</v>
      </c>
      <c r="C9" s="8" t="e">
        <f t="shared" si="1"/>
        <v>#DIV/0!</v>
      </c>
      <c r="D9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9" s="28"/>
      <c r="F9" s="26"/>
      <c r="G9" s="29"/>
      <c r="H9" s="29"/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3" t="s">
        <v>68</v>
      </c>
      <c r="B10" s="8">
        <f ca="1">COUNTIF(A10:AD10,"&gt;0")</f>
        <v>0</v>
      </c>
      <c r="C10" s="8" t="str">
        <f t="shared" ca="1" si="1"/>
        <v>#DIV/0!</v>
      </c>
      <c r="D10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10" s="3"/>
      <c r="F10" s="24"/>
      <c r="G10" s="2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69</v>
      </c>
      <c r="B11" s="8">
        <f t="shared" ref="B11:B38" si="2">COUNTIF(E11:AD11,"&gt;0")</f>
        <v>2</v>
      </c>
      <c r="C11" s="8">
        <f t="shared" si="1"/>
        <v>53.5</v>
      </c>
      <c r="D11" s="30" t="str">
        <f>HYPERLINK("https://healthcareweekly.com/astaxanthin/","15 health benefits of astaxanthin")</f>
        <v>15 health benefits of astaxanthin</v>
      </c>
      <c r="E11" s="30" t="s">
        <v>1642</v>
      </c>
      <c r="F11" s="13">
        <v>57</v>
      </c>
      <c r="G11" s="30" t="s">
        <v>1684</v>
      </c>
      <c r="H11" s="13">
        <v>50</v>
      </c>
      <c r="I11" s="12"/>
      <c r="J11" s="13"/>
      <c r="K11" s="12"/>
      <c r="L11" s="13"/>
      <c r="M11" s="12"/>
      <c r="N11" s="13"/>
      <c r="O11" s="12"/>
      <c r="P11" s="13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70</v>
      </c>
      <c r="B12" s="8">
        <f t="shared" si="2"/>
        <v>5</v>
      </c>
      <c r="C12" s="8">
        <f t="shared" si="1"/>
        <v>46.8</v>
      </c>
      <c r="D12" s="11" t="str">
        <f>HYPERLINK("https://www.digitalauthority.me/resources/b2b-marketing/","How to Jumpstart Your B2B Marketing Strategy in 2019")</f>
        <v>How to Jumpstart Your B2B Marketing Strategy in 2019</v>
      </c>
      <c r="E12" s="32" t="s">
        <v>1668</v>
      </c>
      <c r="F12" s="24">
        <v>68</v>
      </c>
      <c r="G12" s="160" t="s">
        <v>1703</v>
      </c>
      <c r="H12" s="13">
        <v>53</v>
      </c>
      <c r="I12" s="21" t="s">
        <v>1717</v>
      </c>
      <c r="J12" s="13">
        <v>48</v>
      </c>
      <c r="K12" s="21" t="s">
        <v>1721</v>
      </c>
      <c r="L12" s="13">
        <v>31</v>
      </c>
      <c r="M12" s="21" t="s">
        <v>1724</v>
      </c>
      <c r="N12" s="13">
        <v>34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72</v>
      </c>
      <c r="B13" s="8">
        <f t="shared" si="2"/>
        <v>1</v>
      </c>
      <c r="C13" s="8">
        <f t="shared" si="1"/>
        <v>27</v>
      </c>
      <c r="D13" s="11" t="str">
        <f>HYPERLINK("https://www.digitalauthority.me/resources/big-data-in-healthcare/","Big Data in healthcare")</f>
        <v>Big Data in healthcare</v>
      </c>
      <c r="E13" s="61" t="s">
        <v>1644</v>
      </c>
      <c r="F13" s="13">
        <v>27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73</v>
      </c>
      <c r="B14" s="8">
        <f t="shared" si="2"/>
        <v>0</v>
      </c>
      <c r="C14" s="8" t="e">
        <f t="shared" si="1"/>
        <v>#DIV/0!</v>
      </c>
      <c r="D14" s="30" t="str">
        <f>HYPERLINK("https://healthcareweekly.com/blockchain-in-healthcare/","7 Applications of Blockchain in Healthcare
")</f>
        <v>7 Applications of Blockchain in Healthcare_x000D_</v>
      </c>
      <c r="E14" s="28"/>
      <c r="F14" s="26"/>
      <c r="G14" s="13"/>
      <c r="H14" s="13"/>
      <c r="I14" s="13"/>
      <c r="J14" s="13"/>
      <c r="K14" s="13"/>
      <c r="L14" s="1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73</v>
      </c>
      <c r="B15" s="8">
        <f t="shared" si="2"/>
        <v>0</v>
      </c>
      <c r="C15" s="8" t="e">
        <f t="shared" si="1"/>
        <v>#DIV/0!</v>
      </c>
      <c r="D15" s="11" t="str">
        <f>HYPERLINK("https://www.digitalauthority.me/resources/blockchain-in-healthcare/","Blockchain in Healthcare: An Executive’s Guide for 2019")</f>
        <v>Blockchain in Healthcare: An Executive’s Guide for 2019</v>
      </c>
      <c r="E15" s="1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75</v>
      </c>
      <c r="B16" s="8">
        <f t="shared" si="2"/>
        <v>0</v>
      </c>
      <c r="C16" s="8" t="e">
        <f t="shared" si="1"/>
        <v>#DIV/0!</v>
      </c>
      <c r="D1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76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78</v>
      </c>
      <c r="B18" s="8">
        <f t="shared" si="2"/>
        <v>0</v>
      </c>
      <c r="C18" s="8" t="e">
        <f t="shared" si="1"/>
        <v>#DIV/0!</v>
      </c>
      <c r="D18" s="21" t="s">
        <v>77</v>
      </c>
      <c r="E18" s="12"/>
      <c r="F18" s="13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79</v>
      </c>
      <c r="B19" s="8">
        <f t="shared" si="2"/>
        <v>0</v>
      </c>
      <c r="C19" s="8" t="e">
        <f t="shared" si="1"/>
        <v>#DIV/0!</v>
      </c>
      <c r="D19" s="21" t="s">
        <v>77</v>
      </c>
      <c r="E19" s="33"/>
      <c r="F19" s="34"/>
      <c r="G19" s="12"/>
      <c r="H19" s="13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80</v>
      </c>
      <c r="B20" s="8">
        <f t="shared" si="2"/>
        <v>0</v>
      </c>
      <c r="C20" s="8" t="e">
        <f t="shared" si="1"/>
        <v>#DIV/0!</v>
      </c>
      <c r="D20" s="35" t="s">
        <v>77</v>
      </c>
      <c r="E20" s="12"/>
      <c r="F20" s="13"/>
      <c r="G20" s="28"/>
      <c r="H20" s="26"/>
      <c r="I20" s="28"/>
      <c r="J20" s="26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74</v>
      </c>
      <c r="B21" s="8">
        <f t="shared" si="2"/>
        <v>0</v>
      </c>
      <c r="C21" s="8" t="e">
        <f t="shared" si="1"/>
        <v>#DIV/0!</v>
      </c>
      <c r="D2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1" s="28"/>
      <c r="F21" s="26"/>
      <c r="G21" s="28"/>
      <c r="H21" s="26"/>
      <c r="I21" s="12"/>
      <c r="J21" s="13"/>
      <c r="K21" s="28"/>
      <c r="L21" s="26"/>
      <c r="M21" s="12"/>
      <c r="N21" s="13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13"/>
      <c r="AA21" s="8"/>
      <c r="AB21" s="8"/>
      <c r="AC21" s="8"/>
      <c r="AD21" s="8"/>
    </row>
    <row r="22" spans="1:30" ht="15.75" customHeight="1">
      <c r="A22" s="3" t="s">
        <v>81</v>
      </c>
      <c r="B22" s="8">
        <f t="shared" si="2"/>
        <v>0</v>
      </c>
      <c r="C22" s="8" t="e">
        <f t="shared" si="1"/>
        <v>#DIV/0!</v>
      </c>
      <c r="D22" s="36"/>
      <c r="E22" s="37"/>
      <c r="F22" s="38"/>
      <c r="G22" s="2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82</v>
      </c>
      <c r="B23" s="8">
        <f t="shared" si="2"/>
        <v>0</v>
      </c>
      <c r="C23" s="8" t="e">
        <f t="shared" si="1"/>
        <v>#DIV/0!</v>
      </c>
      <c r="D23" s="11" t="s">
        <v>77</v>
      </c>
      <c r="E23" s="3"/>
      <c r="F23" s="3"/>
      <c r="G23" s="16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83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84</v>
      </c>
      <c r="B25" s="8">
        <f t="shared" si="2"/>
        <v>0</v>
      </c>
      <c r="C25" s="8" t="e">
        <f t="shared" si="1"/>
        <v>#DIV/0!</v>
      </c>
      <c r="D25" s="21" t="s">
        <v>77</v>
      </c>
      <c r="E25" s="39"/>
      <c r="F25" s="7"/>
      <c r="G25" s="40"/>
      <c r="H25" s="8"/>
      <c r="I25" s="12"/>
      <c r="J25" s="1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85</v>
      </c>
      <c r="B26" s="8">
        <f t="shared" si="2"/>
        <v>0</v>
      </c>
      <c r="C26" s="8" t="e">
        <f t="shared" si="1"/>
        <v>#DIV/0!</v>
      </c>
      <c r="D26" s="21" t="s">
        <v>77</v>
      </c>
      <c r="E26" s="41"/>
      <c r="F26" s="42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86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2" t="s">
        <v>87</v>
      </c>
      <c r="B28" s="8">
        <f t="shared" si="2"/>
        <v>0</v>
      </c>
      <c r="C28" s="8" t="e">
        <f t="shared" si="1"/>
        <v>#DIV/0!</v>
      </c>
      <c r="D28" s="21" t="s">
        <v>77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88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9" s="28"/>
      <c r="F29" s="26"/>
      <c r="G29" s="44"/>
      <c r="H29" s="24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89</v>
      </c>
      <c r="B30" s="8">
        <f t="shared" si="2"/>
        <v>0</v>
      </c>
      <c r="C30" s="8" t="e">
        <f t="shared" si="1"/>
        <v>#DIV/0!</v>
      </c>
      <c r="D3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30" s="28"/>
      <c r="F30" s="26"/>
      <c r="G30" s="29"/>
      <c r="H30" s="29"/>
      <c r="I30" s="29"/>
      <c r="J30" s="29"/>
      <c r="K30" s="29"/>
      <c r="L30" s="2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90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1" s="33"/>
      <c r="F31" s="34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59</v>
      </c>
      <c r="B32" s="8">
        <f t="shared" si="2"/>
        <v>0</v>
      </c>
      <c r="C32" s="8" t="e">
        <f t="shared" si="1"/>
        <v>#DIV/0!</v>
      </c>
      <c r="D3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2" s="33"/>
      <c r="F32" s="34"/>
      <c r="G32" s="12"/>
      <c r="H32" s="13"/>
      <c r="I32" s="12"/>
      <c r="J32" s="13"/>
      <c r="K32" s="12"/>
      <c r="L32" s="1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26" t="s">
        <v>91</v>
      </c>
      <c r="B33" s="8">
        <f t="shared" si="2"/>
        <v>0</v>
      </c>
      <c r="C33" s="8" t="e">
        <f t="shared" si="1"/>
        <v>#DIV/0!</v>
      </c>
      <c r="D3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3" s="23"/>
      <c r="F33" s="24"/>
      <c r="G33" s="12"/>
      <c r="H33" s="13"/>
      <c r="I33" s="28"/>
      <c r="J33" s="26"/>
      <c r="K33" s="3"/>
      <c r="L33" s="45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92</v>
      </c>
      <c r="B34" s="8">
        <f t="shared" si="2"/>
        <v>0</v>
      </c>
      <c r="C34" s="8" t="e">
        <f t="shared" si="1"/>
        <v>#DIV/0!</v>
      </c>
      <c r="D34" s="21" t="s">
        <v>77</v>
      </c>
      <c r="E34" s="28"/>
      <c r="F34" s="26"/>
      <c r="G34" s="12"/>
      <c r="H34" s="13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93</v>
      </c>
      <c r="B35" s="8">
        <f t="shared" si="2"/>
        <v>0</v>
      </c>
      <c r="C35" s="8" t="e">
        <f t="shared" si="1"/>
        <v>#DIV/0!</v>
      </c>
      <c r="D35" s="30" t="s">
        <v>77</v>
      </c>
      <c r="E35" s="28"/>
      <c r="F35" s="26"/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2" t="s">
        <v>94</v>
      </c>
      <c r="B36" s="8">
        <f t="shared" si="2"/>
        <v>0</v>
      </c>
      <c r="C36" s="8" t="e">
        <f t="shared" si="1"/>
        <v>#DIV/0!</v>
      </c>
      <c r="D3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6" s="12"/>
      <c r="F36" s="13"/>
      <c r="G36" s="12"/>
      <c r="H36" s="13"/>
      <c r="I36" s="12"/>
      <c r="J36" s="13"/>
      <c r="K36" s="12"/>
      <c r="L36" s="13"/>
      <c r="M36" s="12"/>
      <c r="N36" s="13"/>
      <c r="O36" s="23"/>
      <c r="P36" s="24"/>
      <c r="Q36" s="12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95</v>
      </c>
      <c r="B37" s="8">
        <f t="shared" si="2"/>
        <v>0</v>
      </c>
      <c r="C37" s="8" t="e">
        <f t="shared" si="1"/>
        <v>#DIV/0!</v>
      </c>
      <c r="D37" s="8"/>
      <c r="E37" s="12"/>
      <c r="F37" s="13"/>
      <c r="G37" s="12"/>
      <c r="H37" s="13"/>
      <c r="I37" s="28"/>
      <c r="J37" s="26"/>
      <c r="K37" s="23"/>
      <c r="L37" s="24"/>
      <c r="M37" s="12"/>
      <c r="N37" s="13"/>
      <c r="O37" s="46"/>
      <c r="P37" s="47"/>
      <c r="Q37" s="28"/>
      <c r="R37" s="26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3" t="s">
        <v>96</v>
      </c>
      <c r="B38" s="8">
        <f t="shared" si="2"/>
        <v>0</v>
      </c>
      <c r="C38" s="8" t="e">
        <f t="shared" si="1"/>
        <v>#DIV/0!</v>
      </c>
      <c r="D38" s="11" t="str">
        <f>HYPERLINK("https://www.digitalauthority.me/resources/healthcare-marketing-plan-guide/","Healthcare Marketing Plan Guide")</f>
        <v>Healthcare Marketing Plan Guide</v>
      </c>
      <c r="E38" s="8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7" t="s">
        <v>98</v>
      </c>
      <c r="B39" s="47">
        <f ca="1">COUNTIF(A39:AD39,"&gt;0")</f>
        <v>0</v>
      </c>
      <c r="C39" s="49" t="str">
        <f t="shared" ca="1" si="1"/>
        <v>#DIV/0!</v>
      </c>
      <c r="D39" s="50" t="str">
        <f>HYPERLINK("https://www.digitalauthority.me/resources/healthcare-app-development-ultimate-guide/","Healthcare Mobile App development")</f>
        <v>Healthcare Mobile App development</v>
      </c>
      <c r="E39" s="31"/>
      <c r="F39" s="31"/>
      <c r="G39" s="31"/>
      <c r="H39" s="31"/>
      <c r="I39" s="31"/>
      <c r="J39" s="31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5.75" customHeight="1">
      <c r="A40" s="13" t="s">
        <v>99</v>
      </c>
      <c r="B40" s="8">
        <f t="shared" ref="B40:B70" si="3">COUNTIF(E40:AD40,"&gt;0")</f>
        <v>0</v>
      </c>
      <c r="C40" s="8" t="e">
        <f t="shared" si="1"/>
        <v>#DIV/0!</v>
      </c>
      <c r="D40" s="11" t="str">
        <f>HYPERLINK("https://www.digitalauthority.me/resources/public-relations-healthcare-guide/","Healthcare PR Guide")</f>
        <v>Healthcare PR Guide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>
      <c r="A41" s="3" t="s">
        <v>100</v>
      </c>
      <c r="B41" s="8">
        <f t="shared" si="3"/>
        <v>0</v>
      </c>
      <c r="C41" s="8" t="e">
        <f t="shared" si="1"/>
        <v>#DIV/0!</v>
      </c>
      <c r="D41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1" s="51"/>
      <c r="F41" s="51"/>
      <c r="G41" s="5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101</v>
      </c>
      <c r="B42" s="8">
        <f t="shared" si="3"/>
        <v>0</v>
      </c>
      <c r="C42" s="8" t="e">
        <f t="shared" si="1"/>
        <v>#DIV/0!</v>
      </c>
      <c r="D42" s="27" t="str">
        <f>HYPERLINK("https://healthcareweekly.com/healthcare-startup-fails/","Most Common Health Startup Mistakes – and How to Fix Them
")</f>
        <v>Most Common Health Startup Mistakes – and How to Fix Them_x000D_</v>
      </c>
      <c r="E42" s="28"/>
      <c r="F42" s="26"/>
      <c r="G42" s="28"/>
      <c r="H42" s="26"/>
      <c r="I42" s="12"/>
      <c r="J42" s="13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102</v>
      </c>
      <c r="B43" s="8">
        <f t="shared" si="3"/>
        <v>0</v>
      </c>
      <c r="C43" s="8" t="e">
        <f t="shared" si="1"/>
        <v>#DIV/0!</v>
      </c>
      <c r="D43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3" s="28"/>
      <c r="F43" s="26"/>
      <c r="G43" s="44"/>
      <c r="H43" s="24"/>
      <c r="I43" s="28"/>
      <c r="J43" s="26"/>
      <c r="K43" s="52"/>
      <c r="L43" s="53"/>
      <c r="M43" s="28"/>
      <c r="N43" s="26"/>
      <c r="O43" s="12"/>
      <c r="P43" s="13"/>
      <c r="Q43" s="12"/>
      <c r="R43" s="13"/>
      <c r="S43" s="12"/>
      <c r="T43" s="13"/>
      <c r="U43" s="12"/>
      <c r="V43" s="13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26" t="s">
        <v>103</v>
      </c>
      <c r="B44" s="8">
        <f t="shared" si="3"/>
        <v>0</v>
      </c>
      <c r="C44" s="8" t="e">
        <f t="shared" si="1"/>
        <v>#DIV/0!</v>
      </c>
      <c r="D44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4" s="28"/>
      <c r="F44" s="26"/>
      <c r="G44" s="44"/>
      <c r="H44" s="24"/>
      <c r="I44" s="28"/>
      <c r="J44" s="26"/>
      <c r="K44" s="12"/>
      <c r="L44" s="13"/>
      <c r="M44" s="12"/>
      <c r="N44" s="13"/>
      <c r="O44" s="13"/>
      <c r="P44" s="13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104</v>
      </c>
      <c r="B45" s="8">
        <f t="shared" si="3"/>
        <v>0</v>
      </c>
      <c r="C45" s="8" t="e">
        <f t="shared" si="1"/>
        <v>#DIV/0!</v>
      </c>
      <c r="D45" s="21" t="s">
        <v>105</v>
      </c>
      <c r="E45" s="13"/>
      <c r="F45" s="13"/>
      <c r="G45" s="13"/>
      <c r="H45" s="13"/>
      <c r="I45" s="13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106</v>
      </c>
      <c r="B46" s="8">
        <f t="shared" si="3"/>
        <v>1</v>
      </c>
      <c r="C46" s="8">
        <f t="shared" si="1"/>
        <v>40</v>
      </c>
      <c r="D46" s="21" t="s">
        <v>107</v>
      </c>
      <c r="E46" s="21" t="s">
        <v>1621</v>
      </c>
      <c r="F46" s="13">
        <v>40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108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12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109</v>
      </c>
      <c r="B48" s="8">
        <f t="shared" si="3"/>
        <v>0</v>
      </c>
      <c r="C48" s="8" t="e">
        <f t="shared" si="1"/>
        <v>#DIV/0!</v>
      </c>
      <c r="D48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8" s="23"/>
      <c r="F48" s="24"/>
      <c r="G48" s="12"/>
      <c r="H48" s="13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110</v>
      </c>
      <c r="B49" s="8">
        <f t="shared" si="3"/>
        <v>0</v>
      </c>
      <c r="C49" s="8" t="e">
        <f t="shared" si="1"/>
        <v>#DIV/0!</v>
      </c>
      <c r="D49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111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HYPERLINK("https://www.digitalauthority.me/resources/it-marketing-guide/","2019 IT marketing Guide")</f>
        <v>2019 IT marketing Guide</v>
      </c>
      <c r="E50" s="50"/>
      <c r="F50" s="56"/>
      <c r="G50" s="3"/>
      <c r="H50" s="13"/>
      <c r="I50" s="13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3" t="s">
        <v>112</v>
      </c>
      <c r="B51" s="8">
        <f t="shared" si="3"/>
        <v>0</v>
      </c>
      <c r="C51" s="8" t="e">
        <f t="shared" si="1"/>
        <v>#DIV/0!</v>
      </c>
      <c r="D51" s="30" t="str">
        <f t="shared" ref="D51:D5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3" t="s">
        <v>113</v>
      </c>
      <c r="B52" s="8">
        <f t="shared" si="3"/>
        <v>0</v>
      </c>
      <c r="C52" s="8" t="e">
        <f t="shared" si="1"/>
        <v>#DIV/0!</v>
      </c>
      <c r="D52" s="30" t="str">
        <f t="shared" si="4"/>
        <v>5 Key Strategies for Your Financial Product Marketing Initiatives in 2019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114</v>
      </c>
      <c r="B53" s="8">
        <f t="shared" si="3"/>
        <v>0</v>
      </c>
      <c r="C53" s="8" t="e">
        <f t="shared" si="1"/>
        <v>#DIV/0!</v>
      </c>
      <c r="D53" s="11" t="str">
        <f>HYPERLINK("https://www.digitalauthority.me/resources/marketing-terms-guide/","Marketing terms ")</f>
        <v xml:space="preserve">Marketing terms </v>
      </c>
      <c r="E53" s="13"/>
      <c r="F53" s="13"/>
      <c r="G53" s="13"/>
      <c r="H53" s="13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115</v>
      </c>
      <c r="B54" s="8">
        <f t="shared" si="3"/>
        <v>0</v>
      </c>
      <c r="C54" s="8" t="e">
        <f t="shared" si="1"/>
        <v>#DIV/0!</v>
      </c>
      <c r="D54" s="21" t="s">
        <v>77</v>
      </c>
      <c r="E54" s="28"/>
      <c r="F54" s="26"/>
      <c r="G54" s="5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116</v>
      </c>
      <c r="B55" s="8">
        <f t="shared" si="3"/>
        <v>0</v>
      </c>
      <c r="C55" s="8" t="e">
        <f t="shared" si="1"/>
        <v>#DIV/0!</v>
      </c>
      <c r="D55" s="11" t="str">
        <f>HYPERLINK("https://www.digitalauthority.me/resources/mobile-app-development-guide/","ultimate guide to app development")</f>
        <v>ultimate guide to app development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118</v>
      </c>
      <c r="B56" s="8">
        <f t="shared" si="3"/>
        <v>1</v>
      </c>
      <c r="C56" s="8">
        <f t="shared" si="1"/>
        <v>60</v>
      </c>
      <c r="D56" s="11" t="str">
        <f>HYPERLINK("https://www.digitalauthority.me/resources/mobile-app-marketing-guide/","Mobile app marketing guide")</f>
        <v>Mobile app marketing guide</v>
      </c>
      <c r="E56" s="21" t="s">
        <v>1716</v>
      </c>
      <c r="F56" s="13">
        <v>60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2" t="s">
        <v>119</v>
      </c>
      <c r="B57" s="8">
        <f t="shared" si="3"/>
        <v>0</v>
      </c>
      <c r="C57" s="8" t="e">
        <f t="shared" si="1"/>
        <v>#DIV/0!</v>
      </c>
      <c r="D5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7" s="12"/>
      <c r="F57" s="13"/>
      <c r="G57" s="12"/>
      <c r="H57" s="13"/>
      <c r="I57" s="12"/>
      <c r="J57" s="13"/>
      <c r="K57" s="12"/>
      <c r="L57" s="1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120</v>
      </c>
      <c r="B58" s="8">
        <f t="shared" si="3"/>
        <v>8</v>
      </c>
      <c r="C58" s="8">
        <f t="shared" si="1"/>
        <v>50.25</v>
      </c>
      <c r="D58" s="21" t="s">
        <v>121</v>
      </c>
      <c r="E58" s="21" t="s">
        <v>1509</v>
      </c>
      <c r="F58" s="13">
        <v>33</v>
      </c>
      <c r="G58" s="21" t="s">
        <v>1642</v>
      </c>
      <c r="H58" s="13">
        <v>57</v>
      </c>
      <c r="I58" s="21" t="s">
        <v>1650</v>
      </c>
      <c r="J58" s="13">
        <v>55</v>
      </c>
      <c r="K58" s="21" t="s">
        <v>1651</v>
      </c>
      <c r="L58" s="13">
        <v>55</v>
      </c>
      <c r="M58" s="21" t="s">
        <v>1656</v>
      </c>
      <c r="N58" s="13">
        <v>43</v>
      </c>
      <c r="O58" s="21" t="s">
        <v>1659</v>
      </c>
      <c r="P58" s="13">
        <v>44</v>
      </c>
      <c r="Q58" s="21" t="s">
        <v>1698</v>
      </c>
      <c r="R58" s="13">
        <v>63</v>
      </c>
      <c r="S58" s="21" t="s">
        <v>1700</v>
      </c>
      <c r="T58" s="13">
        <v>52</v>
      </c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26" t="s">
        <v>122</v>
      </c>
      <c r="B59" s="8">
        <f t="shared" si="3"/>
        <v>0</v>
      </c>
      <c r="C59" s="8" t="e">
        <f t="shared" si="1"/>
        <v>#DIV/0!</v>
      </c>
      <c r="D59" s="59" t="str">
        <f t="shared" ref="D59:D6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9" s="12"/>
      <c r="F59" s="13"/>
      <c r="G59" s="28"/>
      <c r="H59" s="26"/>
      <c r="I59" s="28"/>
      <c r="J59" s="26"/>
      <c r="K59" s="29"/>
      <c r="L59" s="2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26" t="s">
        <v>123</v>
      </c>
      <c r="B60" s="8">
        <f t="shared" si="3"/>
        <v>0</v>
      </c>
      <c r="C60" s="8" t="e">
        <f t="shared" si="1"/>
        <v>#DIV/0!</v>
      </c>
      <c r="D60" s="54" t="str">
        <f t="shared" si="5"/>
        <v xml:space="preserve">11 online reputation management techniques for doctors (the definitive guide)
</v>
      </c>
      <c r="E60" s="28"/>
      <c r="F60" s="26"/>
      <c r="G60" s="28"/>
      <c r="H60" s="26"/>
      <c r="I60" s="28"/>
      <c r="J60" s="26"/>
      <c r="K60" s="29"/>
      <c r="L60" s="2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124</v>
      </c>
      <c r="B61" s="8">
        <f t="shared" si="3"/>
        <v>0</v>
      </c>
      <c r="C61" s="8" t="e">
        <f t="shared" si="1"/>
        <v>#DIV/0!</v>
      </c>
      <c r="D61" s="60" t="s">
        <v>125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3" t="s">
        <v>126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HYPERLINK("https://www.digitalauthority.me/resources/17-reasons-why-most-companies-fail-at-seo/","17 Reasons Why Companies Fail At SEO")</f>
        <v>17 Reasons Why Companies Fail At SEO</v>
      </c>
      <c r="E62" s="3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0" t="s">
        <v>128</v>
      </c>
      <c r="B64" s="8">
        <f t="shared" si="3"/>
        <v>0</v>
      </c>
      <c r="C64" s="8" t="e">
        <f t="shared" si="1"/>
        <v>#DIV/0!</v>
      </c>
      <c r="D6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64" s="10"/>
      <c r="F64" s="13"/>
      <c r="G64" s="12"/>
      <c r="H64" s="1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13" t="s">
        <v>129</v>
      </c>
      <c r="B65" s="8">
        <f t="shared" si="3"/>
        <v>0</v>
      </c>
      <c r="C65" s="8" t="e">
        <f t="shared" si="1"/>
        <v>#DIV/0!</v>
      </c>
      <c r="D6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65" s="28"/>
      <c r="F65" s="26"/>
      <c r="G65" s="12"/>
      <c r="H65" s="13"/>
      <c r="I65" s="12"/>
      <c r="J65" s="13"/>
      <c r="K65" s="13"/>
      <c r="L65" s="1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13" t="s">
        <v>130</v>
      </c>
      <c r="B66" s="8">
        <f t="shared" si="3"/>
        <v>0</v>
      </c>
      <c r="C66" s="8" t="e">
        <f t="shared" si="1"/>
        <v>#DIV/0!</v>
      </c>
      <c r="D66" s="30" t="str">
        <f>HYPERLINK("https://www.digitalauthority.me/web-analytics-services-chicago/","Web Analytics Services page")</f>
        <v>Web Analytics Services page</v>
      </c>
      <c r="E66" s="12"/>
      <c r="F66" s="13"/>
      <c r="G66" s="12"/>
      <c r="H66" s="13"/>
      <c r="I66" s="12"/>
      <c r="J66" s="1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13" t="s">
        <v>131</v>
      </c>
      <c r="B67" s="8">
        <f t="shared" si="3"/>
        <v>0</v>
      </c>
      <c r="C67" s="8" t="e">
        <f t="shared" si="1"/>
        <v>#DIV/0!</v>
      </c>
      <c r="D67" s="21" t="s">
        <v>132</v>
      </c>
      <c r="E67" s="46"/>
      <c r="F67" s="4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>
        <f t="shared" si="3"/>
        <v>0</v>
      </c>
      <c r="C68" s="8" t="e">
        <f t="shared" si="1"/>
        <v>#DIV/0!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>
        <f t="shared" si="3"/>
        <v>0</v>
      </c>
      <c r="C69" s="8" t="e">
        <f t="shared" si="1"/>
        <v>#DIV/0!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>
        <f t="shared" si="3"/>
        <v>0</v>
      </c>
      <c r="C70" s="8" t="e">
        <f t="shared" si="1"/>
        <v>#DIV/0!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 t="e">
        <f t="shared" si="1"/>
        <v>#DIV/0!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 t="e">
        <f t="shared" si="1"/>
        <v>#DIV/0!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G4" r:id="rId2"/>
    <hyperlink ref="D6" r:id="rId3"/>
    <hyperlink ref="D7" r:id="rId4"/>
    <hyperlink ref="E7" r:id="rId5"/>
    <hyperlink ref="E11" r:id="rId6"/>
    <hyperlink ref="G11" r:id="rId7"/>
    <hyperlink ref="E12" r:id="rId8"/>
    <hyperlink ref="G12" r:id="rId9"/>
    <hyperlink ref="I12" r:id="rId10"/>
    <hyperlink ref="K12" r:id="rId11"/>
    <hyperlink ref="M12" r:id="rId12"/>
    <hyperlink ref="E13" r:id="rId13"/>
    <hyperlink ref="D17" r:id="rId14"/>
    <hyperlink ref="D18" r:id="rId15"/>
    <hyperlink ref="D19" r:id="rId16"/>
    <hyperlink ref="D20" r:id="rId17"/>
    <hyperlink ref="D23" r:id="rId18"/>
    <hyperlink ref="D24" r:id="rId19"/>
    <hyperlink ref="D25" r:id="rId20"/>
    <hyperlink ref="D26" r:id="rId21"/>
    <hyperlink ref="D27" r:id="rId22"/>
    <hyperlink ref="D28" r:id="rId23"/>
    <hyperlink ref="D34" r:id="rId24"/>
    <hyperlink ref="D35" r:id="rId25"/>
    <hyperlink ref="D45" r:id="rId26"/>
    <hyperlink ref="D46" r:id="rId27"/>
    <hyperlink ref="E46" r:id="rId28"/>
    <hyperlink ref="D54" r:id="rId29"/>
    <hyperlink ref="E56" r:id="rId30"/>
    <hyperlink ref="D58" r:id="rId31"/>
    <hyperlink ref="E58" r:id="rId32"/>
    <hyperlink ref="G58" r:id="rId33"/>
    <hyperlink ref="I58" r:id="rId34"/>
    <hyperlink ref="K58" r:id="rId35"/>
    <hyperlink ref="M58" r:id="rId36"/>
    <hyperlink ref="O58" r:id="rId37"/>
    <hyperlink ref="Q58" r:id="rId38"/>
    <hyperlink ref="S58" r:id="rId39"/>
    <hyperlink ref="D61" r:id="rId40"/>
    <hyperlink ref="D67" r:id="rId4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" max="1" width="16.83203125" customWidth="1"/>
    <col min="2" max="2" width="10.6640625" customWidth="1"/>
    <col min="3" max="3" width="10.83203125" customWidth="1"/>
    <col min="4" max="4" width="66.6640625" customWidth="1"/>
    <col min="5" max="5" width="43" customWidth="1"/>
    <col min="6" max="6" width="4.83203125" customWidth="1"/>
    <col min="7" max="7" width="21" customWidth="1"/>
    <col min="8" max="8" width="5.5" customWidth="1"/>
    <col min="9" max="9" width="20.5" customWidth="1"/>
    <col min="10" max="10" width="5" customWidth="1"/>
    <col min="11" max="11" width="29.83203125" customWidth="1"/>
    <col min="12" max="12" width="4.1640625" customWidth="1"/>
    <col min="13" max="13" width="30.83203125" customWidth="1"/>
    <col min="14" max="14" width="4.33203125" customWidth="1"/>
    <col min="15" max="15" width="31" customWidth="1"/>
    <col min="16" max="16" width="4.33203125" customWidth="1"/>
    <col min="17" max="17" width="23" customWidth="1"/>
    <col min="18" max="18" width="4.33203125" customWidth="1"/>
    <col min="19" max="19" width="22.6640625" customWidth="1"/>
    <col min="20" max="20" width="4.83203125" customWidth="1"/>
    <col min="21" max="21" width="24.5" customWidth="1"/>
    <col min="22" max="22" width="4.5" customWidth="1"/>
    <col min="23" max="23" width="24.1640625" customWidth="1"/>
    <col min="24" max="24" width="5.33203125" customWidth="1"/>
  </cols>
  <sheetData>
    <row r="1" spans="1:30" ht="15.75" customHeight="1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2" t="s">
        <v>7</v>
      </c>
      <c r="H1" s="1" t="s">
        <v>6</v>
      </c>
      <c r="I1" s="2" t="s">
        <v>8</v>
      </c>
      <c r="J1" s="1" t="s">
        <v>6</v>
      </c>
      <c r="K1" s="2" t="s">
        <v>9</v>
      </c>
      <c r="L1" s="1" t="s">
        <v>6</v>
      </c>
      <c r="M1" s="2" t="s">
        <v>10</v>
      </c>
      <c r="N1" s="1" t="s">
        <v>6</v>
      </c>
      <c r="O1" s="2" t="s">
        <v>11</v>
      </c>
      <c r="P1" s="1" t="s">
        <v>6</v>
      </c>
      <c r="Q1" s="1" t="s">
        <v>12</v>
      </c>
      <c r="R1" s="1" t="s">
        <v>6</v>
      </c>
      <c r="S1" s="1" t="s">
        <v>13</v>
      </c>
      <c r="T1" s="1" t="s">
        <v>6</v>
      </c>
      <c r="U1" s="1" t="s">
        <v>14</v>
      </c>
      <c r="V1" s="1" t="s">
        <v>6</v>
      </c>
      <c r="W1" s="1" t="s">
        <v>15</v>
      </c>
      <c r="X1" s="1" t="s">
        <v>6</v>
      </c>
      <c r="Y1" s="1" t="s">
        <v>16</v>
      </c>
      <c r="Z1" s="1" t="s">
        <v>6</v>
      </c>
      <c r="AA1" s="4"/>
      <c r="AB1" s="1"/>
      <c r="AC1" s="1"/>
      <c r="AD1" s="4"/>
    </row>
    <row r="2" spans="1:30" ht="15.75" customHeight="1">
      <c r="A2" s="3" t="s">
        <v>22</v>
      </c>
      <c r="B2" s="8">
        <f t="shared" ref="B2:B9" si="0">COUNTIF(E2:AD2,"&gt;0")</f>
        <v>0</v>
      </c>
      <c r="C2" s="8" t="e">
        <f t="shared" ref="C2:C72" si="1">SUM(F2:AD2)/B2</f>
        <v>#DIV/0!</v>
      </c>
      <c r="D2" s="11" t="str">
        <f>HYPERLINK("https://healthcareweekly.com/abbvie-mavyret/","AbbVie’s Mavyret: 100% cure of hepatitis C with compensated cirrhosis
")</f>
        <v>AbbVie’s Mavyret: 100% cure of hepatitis C with compensated cirrhosis_x000D_</v>
      </c>
      <c r="E2" s="12"/>
      <c r="F2" s="13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>
      <c r="A3" s="3" t="s">
        <v>58</v>
      </c>
      <c r="B3" s="8">
        <f t="shared" si="0"/>
        <v>0</v>
      </c>
      <c r="C3" s="8" t="e">
        <f t="shared" si="1"/>
        <v>#DIV/0!</v>
      </c>
      <c r="D3" s="11" t="str">
        <f>HYPERLINK("https://healthcareweekly.com/abbvie-mission-therapeutics/","Mission Therapeutics and AbbVie team up to develop DUB inhibitors to treat Alzheimer’s and Parkinson’s Diseases
")</f>
        <v>Mission Therapeutics and AbbVie team up to develop DUB inhibitors to treat Alzheimer’s and Parkinson’s Diseases_x000D_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>
      <c r="A4" s="13" t="s">
        <v>60</v>
      </c>
      <c r="B4" s="8">
        <f t="shared" si="0"/>
        <v>1</v>
      </c>
      <c r="C4" s="8">
        <f t="shared" si="1"/>
        <v>32</v>
      </c>
      <c r="D4" s="11" t="str">
        <f>HYPERLINK("https://www.digitalauthority.me/resources/ada-compliance-website/","The ultimate guide to website ADA compliance: all you need to know")</f>
        <v>The ultimate guide to website ADA compliance: all you need to know</v>
      </c>
      <c r="E4" s="30" t="s">
        <v>1761</v>
      </c>
      <c r="F4" s="13">
        <v>32</v>
      </c>
      <c r="G4" s="19"/>
      <c r="H4" s="13"/>
      <c r="I4" s="3"/>
      <c r="J4" s="13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>
      <c r="A5" s="13" t="s">
        <v>61</v>
      </c>
      <c r="B5" s="8">
        <f t="shared" si="0"/>
        <v>0</v>
      </c>
      <c r="C5" s="8" t="e">
        <f t="shared" si="1"/>
        <v>#DIV/0!</v>
      </c>
      <c r="D5" s="20" t="str">
        <f>HYPERLINK("https://www.digitalauthority.me/insights/ai-supply-chain-strategy-24-04-2018","AI in Supply Chain: 6 Reasons Executives Should Invest in AI in 2018")</f>
        <v>AI in Supply Chain: 6 Reasons Executives Should Invest in AI in 2018</v>
      </c>
      <c r="E5" s="12"/>
      <c r="F5" s="13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>
      <c r="A6" s="13" t="s">
        <v>62</v>
      </c>
      <c r="B6" s="8">
        <f t="shared" si="0"/>
        <v>0</v>
      </c>
      <c r="C6" s="8" t="e">
        <f t="shared" si="1"/>
        <v>#DIV/0!</v>
      </c>
      <c r="D6" s="21" t="s">
        <v>63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>
      <c r="A7" s="13" t="s">
        <v>64</v>
      </c>
      <c r="B7" s="8">
        <f t="shared" si="0"/>
        <v>0</v>
      </c>
      <c r="C7" s="8" t="e">
        <f t="shared" si="1"/>
        <v>#DIV/0!</v>
      </c>
      <c r="D7" s="21" t="s">
        <v>65</v>
      </c>
      <c r="E7" s="13"/>
      <c r="F7" s="13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>
      <c r="A8" s="13" t="s">
        <v>66</v>
      </c>
      <c r="B8" s="8">
        <f t="shared" si="0"/>
        <v>0</v>
      </c>
      <c r="C8" s="8" t="e">
        <f t="shared" si="1"/>
        <v>#DIV/0!</v>
      </c>
      <c r="D8" s="22" t="str">
        <f>HYPERLINK("https://www.digitalauthority.me/alexa/","Alexa dev page")</f>
        <v>Alexa dev page</v>
      </c>
      <c r="E8" s="23"/>
      <c r="F8" s="24"/>
      <c r="G8" s="25"/>
      <c r="H8" s="13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>
      <c r="A9" s="26" t="s">
        <v>67</v>
      </c>
      <c r="B9" s="8">
        <f t="shared" si="0"/>
        <v>0</v>
      </c>
      <c r="C9" s="8" t="e">
        <f t="shared" si="1"/>
        <v>#DIV/0!</v>
      </c>
      <c r="D9" s="27" t="str">
        <f>HYPERLINK("https://healthcareweekly.com/4-barriers-to-adopting-artificial-intelligence-in-healthcare/","4 Barriers to Adopting Artificial Intelligence in Healthcare and How to Overcome Them
")</f>
        <v>4 Barriers to Adopting Artificial Intelligence in Healthcare and How to Overcome Them_x000D_</v>
      </c>
      <c r="E9" s="28"/>
      <c r="F9" s="26"/>
      <c r="G9" s="29"/>
      <c r="H9" s="29"/>
      <c r="I9" s="29"/>
      <c r="J9" s="29"/>
      <c r="K9" s="29"/>
      <c r="L9" s="29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>
      <c r="A10" s="3" t="s">
        <v>68</v>
      </c>
      <c r="B10" s="8">
        <f ca="1">COUNTIF(A10:AD10,"&gt;0")</f>
        <v>4</v>
      </c>
      <c r="C10" s="8">
        <f t="shared" ca="1" si="1"/>
        <v>31.75</v>
      </c>
      <c r="D10" s="11" t="str">
        <f>HYPERLINK("https://www.digitalauthority.me/resources/artificial-intelligence-pharma/","Artificial Intelligence &amp; the Pharma Industry: Where we are &amp; where we’re headed")</f>
        <v>Artificial Intelligence &amp; the Pharma Industry: Where we are &amp; where we’re headed</v>
      </c>
      <c r="E10" s="61" t="s">
        <v>1742</v>
      </c>
      <c r="F10" s="24">
        <v>77</v>
      </c>
      <c r="G10" s="160" t="s">
        <v>1793</v>
      </c>
      <c r="H10" s="13">
        <v>50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>
      <c r="A11" s="13" t="s">
        <v>69</v>
      </c>
      <c r="B11" s="8">
        <f t="shared" ref="B11:B38" si="2">COUNTIF(E11:AD11,"&gt;0")</f>
        <v>0</v>
      </c>
      <c r="C11" s="8" t="e">
        <f t="shared" si="1"/>
        <v>#DIV/0!</v>
      </c>
      <c r="D11" s="30" t="str">
        <f>HYPERLINK("https://healthcareweekly.com/astaxanthin/","15 health benefits of astaxanthin")</f>
        <v>15 health benefits of astaxanthin</v>
      </c>
      <c r="E11" s="30" t="s">
        <v>1747</v>
      </c>
      <c r="F11" s="13"/>
      <c r="G11" s="12"/>
      <c r="H11" s="13"/>
      <c r="I11" s="12"/>
      <c r="J11" s="13"/>
      <c r="K11" s="12"/>
      <c r="L11" s="13"/>
      <c r="M11" s="12"/>
      <c r="N11" s="13"/>
      <c r="O11" s="12"/>
      <c r="P11" s="13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>
      <c r="A12" s="13" t="s">
        <v>70</v>
      </c>
      <c r="B12" s="8">
        <f t="shared" si="2"/>
        <v>3</v>
      </c>
      <c r="C12" s="8">
        <f t="shared" si="1"/>
        <v>52.666666666666664</v>
      </c>
      <c r="D12" s="11" t="str">
        <f>HYPERLINK("https://www.digitalauthority.me/resources/b2b-marketing/","How to Jumpstart Your B2B Marketing Strategy in 2019")</f>
        <v>How to Jumpstart Your B2B Marketing Strategy in 2019</v>
      </c>
      <c r="E12" s="32" t="s">
        <v>1770</v>
      </c>
      <c r="F12" s="24">
        <v>54</v>
      </c>
      <c r="G12" s="160" t="s">
        <v>1772</v>
      </c>
      <c r="H12" s="13">
        <v>57</v>
      </c>
      <c r="I12" s="21" t="s">
        <v>1778</v>
      </c>
      <c r="J12" s="13">
        <v>47</v>
      </c>
      <c r="K12" s="13"/>
      <c r="L12" s="13"/>
      <c r="M12" s="13"/>
      <c r="N12" s="13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>
      <c r="A13" s="13" t="s">
        <v>72</v>
      </c>
      <c r="B13" s="8">
        <f t="shared" si="2"/>
        <v>1</v>
      </c>
      <c r="C13" s="8">
        <f t="shared" si="1"/>
        <v>32</v>
      </c>
      <c r="D13" s="11" t="str">
        <f>HYPERLINK("https://www.digitalauthority.me/resources/big-data-in-healthcare/","Big Data in healthcare")</f>
        <v>Big Data in healthcare</v>
      </c>
      <c r="E13" s="61" t="s">
        <v>1765</v>
      </c>
      <c r="F13" s="13">
        <v>32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>
      <c r="A14" s="13" t="s">
        <v>73</v>
      </c>
      <c r="B14" s="8">
        <f t="shared" si="2"/>
        <v>1</v>
      </c>
      <c r="C14" s="8">
        <f t="shared" si="1"/>
        <v>50</v>
      </c>
      <c r="D14" s="30" t="str">
        <f>HYPERLINK("https://healthcareweekly.com/blockchain-in-healthcare/","7 Applications of Blockchain in Healthcare
")</f>
        <v>7 Applications of Blockchain in Healthcare_x000D_</v>
      </c>
      <c r="E14" s="27" t="s">
        <v>1793</v>
      </c>
      <c r="F14" s="26">
        <v>50</v>
      </c>
      <c r="G14" s="13"/>
      <c r="H14" s="13"/>
      <c r="I14" s="13"/>
      <c r="J14" s="13"/>
      <c r="K14" s="13"/>
      <c r="L14" s="1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>
      <c r="A15" s="3" t="s">
        <v>73</v>
      </c>
      <c r="B15" s="8">
        <f t="shared" si="2"/>
        <v>1</v>
      </c>
      <c r="C15" s="8">
        <f t="shared" si="1"/>
        <v>50</v>
      </c>
      <c r="D15" s="11" t="str">
        <f>HYPERLINK("https://www.digitalauthority.me/resources/blockchain-in-healthcare/","Blockchain in Healthcare: An Executive’s Guide for 2019")</f>
        <v>Blockchain in Healthcare: An Executive’s Guide for 2019</v>
      </c>
      <c r="E15" s="61" t="s">
        <v>1793</v>
      </c>
      <c r="F15" s="13">
        <v>50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>
      <c r="A16" s="13" t="s">
        <v>75</v>
      </c>
      <c r="B16" s="8">
        <f t="shared" si="2"/>
        <v>0</v>
      </c>
      <c r="C16" s="8" t="e">
        <f t="shared" si="1"/>
        <v>#DIV/0!</v>
      </c>
      <c r="D16" s="11" t="str">
        <f>HYPERLINK("https://healthcareweekly.com/blue-cross-blue-shield-of-illinois-2018/","Blue Cross Blue Shield Gives Steep Discounts for Fitbit Products to its 60 Million Members
")</f>
        <v>Blue Cross Blue Shield Gives Steep Discounts for Fitbit Products to its 60 Million Members_x000D_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>
      <c r="A17" s="13" t="s">
        <v>76</v>
      </c>
      <c r="B17" s="8">
        <f t="shared" si="2"/>
        <v>0</v>
      </c>
      <c r="C17" s="8" t="e">
        <f t="shared" si="1"/>
        <v>#DIV/0!</v>
      </c>
      <c r="D17" s="21" t="s">
        <v>77</v>
      </c>
      <c r="E17" s="12"/>
      <c r="F17" s="1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>
      <c r="A18" s="13" t="s">
        <v>78</v>
      </c>
      <c r="B18" s="8">
        <f t="shared" si="2"/>
        <v>0</v>
      </c>
      <c r="C18" s="8" t="e">
        <f t="shared" si="1"/>
        <v>#DIV/0!</v>
      </c>
      <c r="D18" s="21" t="s">
        <v>77</v>
      </c>
      <c r="E18" s="12"/>
      <c r="F18" s="13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>
      <c r="A19" s="13" t="s">
        <v>79</v>
      </c>
      <c r="B19" s="8">
        <f t="shared" si="2"/>
        <v>0</v>
      </c>
      <c r="C19" s="8" t="e">
        <f t="shared" si="1"/>
        <v>#DIV/0!</v>
      </c>
      <c r="D19" s="21" t="s">
        <v>77</v>
      </c>
      <c r="E19" s="33"/>
      <c r="F19" s="34"/>
      <c r="G19" s="12"/>
      <c r="H19" s="13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>
      <c r="A20" s="26" t="s">
        <v>80</v>
      </c>
      <c r="B20" s="8">
        <f t="shared" si="2"/>
        <v>0</v>
      </c>
      <c r="C20" s="8" t="e">
        <f t="shared" si="1"/>
        <v>#DIV/0!</v>
      </c>
      <c r="D20" s="35" t="s">
        <v>77</v>
      </c>
      <c r="E20" s="12"/>
      <c r="F20" s="13"/>
      <c r="G20" s="28"/>
      <c r="H20" s="26"/>
      <c r="I20" s="28"/>
      <c r="J20" s="26"/>
      <c r="K20" s="28"/>
      <c r="L20" s="26"/>
      <c r="M20" s="12"/>
      <c r="N20" s="13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>
      <c r="A21" s="26" t="s">
        <v>74</v>
      </c>
      <c r="B21" s="8">
        <f t="shared" si="2"/>
        <v>0</v>
      </c>
      <c r="C21" s="8" t="e">
        <f t="shared" si="1"/>
        <v>#DIV/0!</v>
      </c>
      <c r="D21" s="27" t="str">
        <f>HYPERLINK("https://www.digitalauthority.me/insights/chicago-marketing-companies-14-11-2018","Part 1: 95 key questions to ask when choosing your next Chicago marketing partner
")</f>
        <v>Part 1: 95 key questions to ask when choosing your next Chicago marketing partner_x000D_</v>
      </c>
      <c r="E21" s="28"/>
      <c r="F21" s="26"/>
      <c r="G21" s="28"/>
      <c r="H21" s="26"/>
      <c r="I21" s="12"/>
      <c r="J21" s="13"/>
      <c r="K21" s="28"/>
      <c r="L21" s="26"/>
      <c r="M21" s="12"/>
      <c r="N21" s="13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13"/>
      <c r="AA21" s="8"/>
      <c r="AB21" s="8"/>
      <c r="AC21" s="8"/>
      <c r="AD21" s="8"/>
    </row>
    <row r="22" spans="1:30" ht="15.75" customHeight="1">
      <c r="A22" s="3" t="s">
        <v>81</v>
      </c>
      <c r="B22" s="8">
        <f t="shared" si="2"/>
        <v>0</v>
      </c>
      <c r="C22" s="8" t="e">
        <f t="shared" si="1"/>
        <v>#DIV/0!</v>
      </c>
      <c r="D22" s="36"/>
      <c r="E22" s="37"/>
      <c r="F22" s="38"/>
      <c r="G22" s="2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>
      <c r="A23" s="3" t="s">
        <v>82</v>
      </c>
      <c r="B23" s="8">
        <f t="shared" si="2"/>
        <v>0</v>
      </c>
      <c r="C23" s="8" t="e">
        <f t="shared" si="1"/>
        <v>#DIV/0!</v>
      </c>
      <c r="D23" s="11" t="s">
        <v>77</v>
      </c>
      <c r="E23" s="3"/>
      <c r="F23" s="3"/>
      <c r="G23" s="16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>
      <c r="A24" s="13" t="s">
        <v>83</v>
      </c>
      <c r="B24" s="8">
        <f t="shared" si="2"/>
        <v>0</v>
      </c>
      <c r="C24" s="8" t="e">
        <f t="shared" si="1"/>
        <v>#DIV/0!</v>
      </c>
      <c r="D24" s="21" t="s">
        <v>77</v>
      </c>
      <c r="E24" s="12"/>
      <c r="F24" s="13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>
      <c r="A25" s="13" t="s">
        <v>84</v>
      </c>
      <c r="B25" s="8">
        <f t="shared" si="2"/>
        <v>0</v>
      </c>
      <c r="C25" s="8" t="e">
        <f t="shared" si="1"/>
        <v>#DIV/0!</v>
      </c>
      <c r="D25" s="21" t="s">
        <v>77</v>
      </c>
      <c r="E25" s="39"/>
      <c r="F25" s="7"/>
      <c r="G25" s="40"/>
      <c r="H25" s="8"/>
      <c r="I25" s="12"/>
      <c r="J25" s="1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>
      <c r="A26" s="13" t="s">
        <v>85</v>
      </c>
      <c r="B26" s="8">
        <f t="shared" si="2"/>
        <v>0</v>
      </c>
      <c r="C26" s="8" t="e">
        <f t="shared" si="1"/>
        <v>#DIV/0!</v>
      </c>
      <c r="D26" s="21" t="s">
        <v>77</v>
      </c>
      <c r="E26" s="41"/>
      <c r="F26" s="42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>
      <c r="A27" s="13" t="s">
        <v>86</v>
      </c>
      <c r="B27" s="8">
        <f t="shared" si="2"/>
        <v>0</v>
      </c>
      <c r="C27" s="8" t="e">
        <f t="shared" si="1"/>
        <v>#DIV/0!</v>
      </c>
      <c r="D27" s="21" t="s">
        <v>77</v>
      </c>
      <c r="E27" s="12"/>
      <c r="F27" s="13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>
      <c r="A28" s="12" t="s">
        <v>87</v>
      </c>
      <c r="B28" s="8">
        <f t="shared" si="2"/>
        <v>0</v>
      </c>
      <c r="C28" s="8" t="e">
        <f t="shared" si="1"/>
        <v>#DIV/0!</v>
      </c>
      <c r="D28" s="21" t="s">
        <v>77</v>
      </c>
      <c r="E28" s="12"/>
      <c r="F28" s="13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26" t="s">
        <v>88</v>
      </c>
      <c r="B29" s="8">
        <f t="shared" si="2"/>
        <v>0</v>
      </c>
      <c r="C29" s="8" t="e">
        <f t="shared" si="1"/>
        <v>#DIV/0!</v>
      </c>
      <c r="D29" s="43" t="str">
        <f>HYPERLINK("https://www.digitalauthority.me/insights/5-secrets-digital-transformation-healthcare-07-11-2017","5 Secrets To the Digital Transformation In Healthcare ")</f>
        <v xml:space="preserve">5 Secrets To the Digital Transformation In Healthcare </v>
      </c>
      <c r="E29" s="28"/>
      <c r="F29" s="26"/>
      <c r="G29" s="44"/>
      <c r="H29" s="24"/>
      <c r="I29" s="29"/>
      <c r="J29" s="29"/>
      <c r="K29" s="29"/>
      <c r="L29" s="29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>
      <c r="A30" s="13" t="s">
        <v>89</v>
      </c>
      <c r="B30" s="8">
        <f t="shared" si="2"/>
        <v>0</v>
      </c>
      <c r="C30" s="8" t="e">
        <f t="shared" si="1"/>
        <v>#DIV/0!</v>
      </c>
      <c r="D30" s="30" t="str">
        <f>HYPERLINK("https://healthcareweekly.com/reputation-management-for-doctors/","Physicians in the digital age: what every doctor should know about reputation management in 2019
")</f>
        <v>Physicians in the digital age: what every doctor should know about reputation management in 2019_x000D_</v>
      </c>
      <c r="E30" s="28"/>
      <c r="F30" s="26"/>
      <c r="G30" s="29"/>
      <c r="H30" s="29"/>
      <c r="I30" s="29"/>
      <c r="J30" s="29"/>
      <c r="K30" s="29"/>
      <c r="L30" s="2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>
      <c r="A31" s="3" t="s">
        <v>90</v>
      </c>
      <c r="B31" s="8">
        <f t="shared" si="2"/>
        <v>0</v>
      </c>
      <c r="C31" s="8" t="e">
        <f t="shared" si="1"/>
        <v>#DIV/0!</v>
      </c>
      <c r="D31" s="11" t="str">
        <f>HYPERLINK("https://www.digitalauthority.me/insights/financial-services-marketing-2019-24-11-2018","9 Financial services marketing techniques you must try in 2019 
")</f>
        <v>9 Financial services marketing techniques you must try in 2019 _x000D_</v>
      </c>
      <c r="E31" s="33"/>
      <c r="F31" s="34"/>
      <c r="G31" s="12"/>
      <c r="H31" s="13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>
      <c r="A32" s="13" t="s">
        <v>59</v>
      </c>
      <c r="B32" s="8">
        <f t="shared" si="2"/>
        <v>0</v>
      </c>
      <c r="C32" s="8" t="e">
        <f t="shared" si="1"/>
        <v>#DIV/0!</v>
      </c>
      <c r="D32" s="11" t="str">
        <f>HYPERLINK("https://www.digitalauthority.me/insights/fintech-marketing-strategies-18-11-2018","9 fintech marketing strategies you should experiment with in 2019
")</f>
        <v>9 fintech marketing strategies you should experiment with in 2019_x000D_</v>
      </c>
      <c r="E32" s="33"/>
      <c r="F32" s="34"/>
      <c r="G32" s="12"/>
      <c r="H32" s="13"/>
      <c r="I32" s="12"/>
      <c r="J32" s="13"/>
      <c r="K32" s="12"/>
      <c r="L32" s="1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26" t="s">
        <v>91</v>
      </c>
      <c r="B33" s="8">
        <f t="shared" si="2"/>
        <v>0</v>
      </c>
      <c r="C33" s="8" t="e">
        <f t="shared" si="1"/>
        <v>#DIV/0!</v>
      </c>
      <c r="D33" s="43" t="str">
        <f>HYPERLINK("https://www.digitalauthority.me/insights/2018-cardiovascular-health-technologies-doctors-02-11-2018","7 cardiovascular health technologies doctors should know about in 2018)")</f>
        <v>7 cardiovascular health technologies doctors should know about in 2018)</v>
      </c>
      <c r="E33" s="23"/>
      <c r="F33" s="24"/>
      <c r="G33" s="12"/>
      <c r="H33" s="13"/>
      <c r="I33" s="28"/>
      <c r="J33" s="26"/>
      <c r="K33" s="3"/>
      <c r="L33" s="45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>
      <c r="A34" s="13" t="s">
        <v>92</v>
      </c>
      <c r="B34" s="8">
        <f t="shared" si="2"/>
        <v>0</v>
      </c>
      <c r="C34" s="8" t="e">
        <f t="shared" si="1"/>
        <v>#DIV/0!</v>
      </c>
      <c r="D34" s="21" t="s">
        <v>77</v>
      </c>
      <c r="E34" s="28"/>
      <c r="F34" s="26"/>
      <c r="G34" s="12"/>
      <c r="H34" s="13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>
      <c r="A35" s="3" t="s">
        <v>93</v>
      </c>
      <c r="B35" s="8">
        <f t="shared" si="2"/>
        <v>0</v>
      </c>
      <c r="C35" s="8" t="e">
        <f t="shared" si="1"/>
        <v>#DIV/0!</v>
      </c>
      <c r="D35" s="30" t="s">
        <v>77</v>
      </c>
      <c r="E35" s="28"/>
      <c r="F35" s="26"/>
      <c r="G35" s="12"/>
      <c r="H35" s="13"/>
      <c r="I35" s="12"/>
      <c r="J35" s="13"/>
      <c r="K35" s="12"/>
      <c r="L35" s="13"/>
      <c r="M35" s="12"/>
      <c r="N35" s="13"/>
      <c r="O35" s="23"/>
      <c r="P35" s="24"/>
      <c r="Q35" s="12"/>
      <c r="R35" s="13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>
      <c r="A36" s="12" t="s">
        <v>94</v>
      </c>
      <c r="B36" s="8">
        <f t="shared" si="2"/>
        <v>0</v>
      </c>
      <c r="C36" s="8" t="e">
        <f t="shared" si="1"/>
        <v>#DIV/0!</v>
      </c>
      <c r="D36" s="30" t="str">
        <f>HYPERLINK("https://www.digitalauthority.me/insights/healthcare-marketing-01-12-2018","9 Healthcare marketing trends for 2019 every marketer should know about
")</f>
        <v>9 Healthcare marketing trends for 2019 every marketer should know about_x000D_</v>
      </c>
      <c r="E36" s="12"/>
      <c r="F36" s="13"/>
      <c r="G36" s="12"/>
      <c r="H36" s="13"/>
      <c r="I36" s="12"/>
      <c r="J36" s="13"/>
      <c r="K36" s="12"/>
      <c r="L36" s="13"/>
      <c r="M36" s="12"/>
      <c r="N36" s="13"/>
      <c r="O36" s="23"/>
      <c r="P36" s="24"/>
      <c r="Q36" s="12"/>
      <c r="R36" s="13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>
      <c r="A37" s="13" t="s">
        <v>95</v>
      </c>
      <c r="B37" s="8">
        <f t="shared" si="2"/>
        <v>0</v>
      </c>
      <c r="C37" s="8" t="e">
        <f t="shared" si="1"/>
        <v>#DIV/0!</v>
      </c>
      <c r="D37" s="8"/>
      <c r="E37" s="12"/>
      <c r="F37" s="13"/>
      <c r="G37" s="12"/>
      <c r="H37" s="13"/>
      <c r="I37" s="28"/>
      <c r="J37" s="26"/>
      <c r="K37" s="23"/>
      <c r="L37" s="24"/>
      <c r="M37" s="12"/>
      <c r="N37" s="13"/>
      <c r="O37" s="46"/>
      <c r="P37" s="47"/>
      <c r="Q37" s="28"/>
      <c r="R37" s="26"/>
      <c r="S37" s="12"/>
      <c r="T37" s="13"/>
      <c r="U37" s="12"/>
      <c r="V37" s="13"/>
      <c r="W37" s="8"/>
      <c r="X37" s="8"/>
      <c r="Y37" s="8"/>
      <c r="Z37" s="8"/>
      <c r="AA37" s="8"/>
      <c r="AB37" s="8"/>
      <c r="AC37" s="8"/>
      <c r="AD37" s="8"/>
    </row>
    <row r="38" spans="1:30" ht="15.75" customHeight="1">
      <c r="A38" s="13" t="s">
        <v>96</v>
      </c>
      <c r="B38" s="8">
        <f t="shared" si="2"/>
        <v>0</v>
      </c>
      <c r="C38" s="8" t="e">
        <f t="shared" si="1"/>
        <v>#DIV/0!</v>
      </c>
      <c r="D38" s="11" t="str">
        <f>HYPERLINK("https://www.digitalauthority.me/resources/healthcare-marketing-plan-guide/","Healthcare Marketing Plan Guide")</f>
        <v>Healthcare Marketing Plan Guide</v>
      </c>
      <c r="E38" s="8"/>
      <c r="F38" s="13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>
      <c r="A39" s="37" t="s">
        <v>98</v>
      </c>
      <c r="B39" s="47">
        <f ca="1">COUNTIF(A39:AD39,"&gt;0")</f>
        <v>0</v>
      </c>
      <c r="C39" s="49" t="str">
        <f t="shared" ca="1" si="1"/>
        <v>#DIV/0!</v>
      </c>
      <c r="D39" s="50" t="str">
        <f>HYPERLINK("https://www.digitalauthority.me/resources/healthcare-app-development-ultimate-guide/","Healthcare Mobile App development")</f>
        <v>Healthcare Mobile App development</v>
      </c>
      <c r="E39" s="31"/>
      <c r="F39" s="31"/>
      <c r="G39" s="31"/>
      <c r="H39" s="31"/>
      <c r="I39" s="31"/>
      <c r="J39" s="31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5.75" customHeight="1">
      <c r="A40" s="13" t="s">
        <v>99</v>
      </c>
      <c r="B40" s="8">
        <f t="shared" ref="B40:B70" si="3">COUNTIF(E40:AD40,"&gt;0")</f>
        <v>0</v>
      </c>
      <c r="C40" s="8" t="e">
        <f t="shared" si="1"/>
        <v>#DIV/0!</v>
      </c>
      <c r="D40" s="11" t="str">
        <f>HYPERLINK("https://www.digitalauthority.me/resources/public-relations-healthcare-guide/","Healthcare PR Guide")</f>
        <v>Healthcare PR Guide</v>
      </c>
      <c r="E40" s="21" t="s">
        <v>1767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>
      <c r="A41" s="3" t="s">
        <v>100</v>
      </c>
      <c r="B41" s="8">
        <f t="shared" si="3"/>
        <v>0</v>
      </c>
      <c r="C41" s="8" t="e">
        <f t="shared" si="1"/>
        <v>#DIV/0!</v>
      </c>
      <c r="D41" s="11" t="str">
        <f>HYPERLINK("https://www.digitalauthority.me/resources/public-relations-healthcare-guide/","The 2019 Ultimate Actionable Guide To Healthcare Public Relations Strategies That Work
")</f>
        <v>The 2019 Ultimate Actionable Guide To Healthcare Public Relations Strategies That Work_x000D_</v>
      </c>
      <c r="E41" s="51"/>
      <c r="F41" s="51"/>
      <c r="G41" s="5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>
      <c r="A42" s="26" t="s">
        <v>101</v>
      </c>
      <c r="B42" s="8">
        <f t="shared" si="3"/>
        <v>0</v>
      </c>
      <c r="C42" s="8" t="e">
        <f t="shared" si="1"/>
        <v>#DIV/0!</v>
      </c>
      <c r="D42" s="27" t="str">
        <f>HYPERLINK("https://healthcareweekly.com/healthcare-startup-fails/","Most Common Health Startup Mistakes – and How to Fix Them
")</f>
        <v>Most Common Health Startup Mistakes – and How to Fix Them_x000D_</v>
      </c>
      <c r="E42" s="28"/>
      <c r="F42" s="26"/>
      <c r="G42" s="28"/>
      <c r="H42" s="26"/>
      <c r="I42" s="12"/>
      <c r="J42" s="13"/>
      <c r="K42" s="29"/>
      <c r="L42" s="29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>
      <c r="A43" s="26" t="s">
        <v>102</v>
      </c>
      <c r="B43" s="8">
        <f t="shared" si="3"/>
        <v>0</v>
      </c>
      <c r="C43" s="8" t="e">
        <f t="shared" si="1"/>
        <v>#DIV/0!</v>
      </c>
      <c r="D43" s="35" t="str">
        <f>HYPERLINK("https://www.digitalauthority.me/insights/healthcare-trends-2018-10-10-2018","The 2018 healthcare trends rocking Digital Transformation in the industry
")</f>
        <v>The 2018 healthcare trends rocking Digital Transformation in the industry_x000D_</v>
      </c>
      <c r="E43" s="28"/>
      <c r="F43" s="26"/>
      <c r="G43" s="44"/>
      <c r="H43" s="24"/>
      <c r="I43" s="28"/>
      <c r="J43" s="26"/>
      <c r="K43" s="52"/>
      <c r="L43" s="53"/>
      <c r="M43" s="28"/>
      <c r="N43" s="26"/>
      <c r="O43" s="12"/>
      <c r="P43" s="13"/>
      <c r="Q43" s="12"/>
      <c r="R43" s="13"/>
      <c r="S43" s="12"/>
      <c r="T43" s="13"/>
      <c r="U43" s="12"/>
      <c r="V43" s="13"/>
      <c r="W43" s="8"/>
      <c r="X43" s="8"/>
      <c r="Y43" s="8"/>
      <c r="Z43" s="8"/>
      <c r="AA43" s="8"/>
      <c r="AB43" s="8"/>
      <c r="AC43" s="8"/>
      <c r="AD43" s="8"/>
    </row>
    <row r="44" spans="1:30" ht="15.75" customHeight="1">
      <c r="A44" s="26" t="s">
        <v>103</v>
      </c>
      <c r="B44" s="8">
        <f t="shared" si="3"/>
        <v>0</v>
      </c>
      <c r="C44" s="8" t="e">
        <f t="shared" si="1"/>
        <v>#DIV/0!</v>
      </c>
      <c r="D44" s="54" t="str">
        <f>HYPERLINK("https://www.digitalauthority.me/insights/healthcare-website-design-10-11-2018","5 tips for healthcare website design initiatives in 2019 (with pictures!)
")</f>
        <v>5 tips for healthcare website design initiatives in 2019 (with pictures!)_x000D_</v>
      </c>
      <c r="E44" s="28"/>
      <c r="F44" s="26"/>
      <c r="G44" s="44"/>
      <c r="H44" s="24"/>
      <c r="I44" s="28"/>
      <c r="J44" s="26"/>
      <c r="K44" s="12"/>
      <c r="L44" s="13"/>
      <c r="M44" s="12"/>
      <c r="N44" s="13"/>
      <c r="O44" s="13"/>
      <c r="P44" s="13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>
      <c r="A45" s="13" t="s">
        <v>104</v>
      </c>
      <c r="B45" s="8">
        <f t="shared" si="3"/>
        <v>1</v>
      </c>
      <c r="C45" s="8">
        <f t="shared" si="1"/>
        <v>34</v>
      </c>
      <c r="D45" s="21" t="s">
        <v>105</v>
      </c>
      <c r="E45" s="21" t="s">
        <v>1734</v>
      </c>
      <c r="F45" s="13">
        <v>34</v>
      </c>
      <c r="G45" s="13"/>
      <c r="H45" s="13"/>
      <c r="I45" s="13"/>
      <c r="J45" s="1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>
      <c r="A46" s="13" t="s">
        <v>106</v>
      </c>
      <c r="B46" s="8">
        <f t="shared" si="3"/>
        <v>3</v>
      </c>
      <c r="C46" s="8">
        <f t="shared" si="1"/>
        <v>61.666666666666664</v>
      </c>
      <c r="D46" s="21" t="s">
        <v>107</v>
      </c>
      <c r="E46" s="21" t="s">
        <v>1726</v>
      </c>
      <c r="F46" s="13">
        <v>45</v>
      </c>
      <c r="G46" s="21" t="s">
        <v>1736</v>
      </c>
      <c r="H46" s="13">
        <v>83</v>
      </c>
      <c r="I46" s="21" t="s">
        <v>1772</v>
      </c>
      <c r="J46" s="13">
        <v>57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>
      <c r="A47" s="3" t="s">
        <v>108</v>
      </c>
      <c r="B47" s="8">
        <f t="shared" si="3"/>
        <v>0</v>
      </c>
      <c r="C47" s="8" t="e">
        <f t="shared" si="1"/>
        <v>#DIV/0!</v>
      </c>
      <c r="D47" s="11" t="str">
        <f>HYPERLINK("https://www.digitalauthority.me/insights/how-to-build-a-successful-business-23-06-2018","How to Build a Successful Business: From Freelancing to 7-Figures
")</f>
        <v>How to Build a Successful Business: From Freelancing to 7-Figures_x000D_</v>
      </c>
      <c r="E47" s="12"/>
      <c r="F47" s="13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>
      <c r="A48" s="3" t="s">
        <v>109</v>
      </c>
      <c r="B48" s="8">
        <f t="shared" si="3"/>
        <v>0</v>
      </c>
      <c r="C48" s="8" t="e">
        <f t="shared" si="1"/>
        <v>#DIV/0!</v>
      </c>
      <c r="D48" s="30" t="str">
        <f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48" s="23"/>
      <c r="F48" s="24"/>
      <c r="G48" s="12"/>
      <c r="H48" s="13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>
      <c r="A49" s="13" t="s">
        <v>110</v>
      </c>
      <c r="B49" s="8">
        <f t="shared" si="3"/>
        <v>0</v>
      </c>
      <c r="C49" s="8" t="e">
        <f t="shared" si="1"/>
        <v>#DIV/0!</v>
      </c>
      <c r="D49" s="55" t="str">
        <f>HYPERLINK("https://www.digitalauthority.me/insights/step-step-guide-driving-android-app-downloads-29-01-2018","A Step by Step Guide for Driving Android App Downloads
")</f>
        <v>A Step by Step Guide for Driving Android App Downloads_x000D_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>
      <c r="A50" s="3" t="s">
        <v>111</v>
      </c>
      <c r="B50" s="8">
        <f t="shared" si="3"/>
        <v>0</v>
      </c>
      <c r="C50" s="8" t="e">
        <f t="shared" si="1"/>
        <v>#DIV/0!</v>
      </c>
      <c r="D50" s="11" t="str">
        <f>HYPERLINK("https://www.digitalauthority.me/resources/it-marketing-guide/","2019 IT marketing Guide")</f>
        <v>2019 IT marketing Guide</v>
      </c>
      <c r="E50" s="50"/>
      <c r="F50" s="56"/>
      <c r="G50" s="3"/>
      <c r="H50" s="13"/>
      <c r="I50" s="13"/>
      <c r="J50" s="1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>
      <c r="A51" s="3" t="s">
        <v>112</v>
      </c>
      <c r="B51" s="8">
        <f t="shared" si="3"/>
        <v>0</v>
      </c>
      <c r="C51" s="8" t="e">
        <f t="shared" si="1"/>
        <v>#DIV/0!</v>
      </c>
      <c r="D51" s="30" t="str">
        <f t="shared" ref="D51:D52" si="4">HYPERLINK("https://www.digitalauthority.me/insights/financial-product-marketing-07-10-2018","5 Key Strategies for Your Financial Product Marketing Initiatives in 2019")</f>
        <v>5 Key Strategies for Your Financial Product Marketing Initiatives in 2019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>
      <c r="A52" s="3" t="s">
        <v>113</v>
      </c>
      <c r="B52" s="8">
        <f t="shared" si="3"/>
        <v>0</v>
      </c>
      <c r="C52" s="8" t="e">
        <f t="shared" si="1"/>
        <v>#DIV/0!</v>
      </c>
      <c r="D52" s="30" t="str">
        <f t="shared" si="4"/>
        <v>5 Key Strategies for Your Financial Product Marketing Initiatives in 2019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>
      <c r="A53" s="13" t="s">
        <v>114</v>
      </c>
      <c r="B53" s="8">
        <f t="shared" si="3"/>
        <v>0</v>
      </c>
      <c r="C53" s="8" t="e">
        <f t="shared" si="1"/>
        <v>#DIV/0!</v>
      </c>
      <c r="D53" s="11" t="str">
        <f>HYPERLINK("https://www.digitalauthority.me/resources/marketing-terms-guide/","Marketing terms ")</f>
        <v xml:space="preserve">Marketing terms </v>
      </c>
      <c r="E53" s="13"/>
      <c r="F53" s="13"/>
      <c r="G53" s="13"/>
      <c r="H53" s="13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>
      <c r="A54" s="13" t="s">
        <v>115</v>
      </c>
      <c r="B54" s="8">
        <f t="shared" si="3"/>
        <v>0</v>
      </c>
      <c r="C54" s="8" t="e">
        <f t="shared" si="1"/>
        <v>#DIV/0!</v>
      </c>
      <c r="D54" s="21" t="s">
        <v>77</v>
      </c>
      <c r="E54" s="28"/>
      <c r="F54" s="26"/>
      <c r="G54" s="57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>
      <c r="A55" s="13" t="s">
        <v>116</v>
      </c>
      <c r="B55" s="8">
        <f t="shared" si="3"/>
        <v>2</v>
      </c>
      <c r="C55" s="8">
        <f t="shared" si="1"/>
        <v>53</v>
      </c>
      <c r="D55" s="11" t="str">
        <f>HYPERLINK("https://www.digitalauthority.me/resources/mobile-app-development-guide/","ultimate guide to app development")</f>
        <v>ultimate guide to app development</v>
      </c>
      <c r="E55" s="21" t="s">
        <v>1750</v>
      </c>
      <c r="F55" s="13">
        <v>83</v>
      </c>
      <c r="G55" s="21" t="s">
        <v>1796</v>
      </c>
      <c r="H55" s="13">
        <v>23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>
      <c r="A56" s="13" t="s">
        <v>118</v>
      </c>
      <c r="B56" s="8">
        <f t="shared" si="3"/>
        <v>0</v>
      </c>
      <c r="C56" s="8" t="e">
        <f t="shared" si="1"/>
        <v>#DIV/0!</v>
      </c>
      <c r="D56" s="11" t="str">
        <f>HYPERLINK("https://www.digitalauthority.me/resources/mobile-app-marketing-guide/","Mobile app marketing guide")</f>
        <v>Mobile app marketing guide</v>
      </c>
      <c r="E56" s="13"/>
      <c r="F56" s="13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>
      <c r="A57" s="12" t="s">
        <v>119</v>
      </c>
      <c r="B57" s="8">
        <f t="shared" si="3"/>
        <v>0</v>
      </c>
      <c r="C57" s="8" t="e">
        <f t="shared" si="1"/>
        <v>#DIV/0!</v>
      </c>
      <c r="D57" s="11" t="str">
        <f>HYPERLINK("https://healthcareweekly.com/molina-healthcare-news-november-2018/","Molina Healthcare accused of defrauding the State of Illinois, according to unsealed lawsuit
")</f>
        <v>Molina Healthcare accused of defrauding the State of Illinois, according to unsealed lawsuit_x000D_</v>
      </c>
      <c r="E57" s="12"/>
      <c r="F57" s="13"/>
      <c r="G57" s="12"/>
      <c r="H57" s="13"/>
      <c r="I57" s="12"/>
      <c r="J57" s="13"/>
      <c r="K57" s="12"/>
      <c r="L57" s="1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>
      <c r="A58" s="13" t="s">
        <v>120</v>
      </c>
      <c r="B58" s="8">
        <f t="shared" si="3"/>
        <v>3</v>
      </c>
      <c r="C58" s="8">
        <f t="shared" si="1"/>
        <v>43</v>
      </c>
      <c r="D58" s="21" t="s">
        <v>121</v>
      </c>
      <c r="E58" s="21" t="s">
        <v>1756</v>
      </c>
      <c r="F58" s="13">
        <v>50</v>
      </c>
      <c r="G58" s="21" t="s">
        <v>1759</v>
      </c>
      <c r="H58" s="13">
        <v>32</v>
      </c>
      <c r="I58" s="21" t="s">
        <v>1784</v>
      </c>
      <c r="J58" s="13">
        <v>47</v>
      </c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>
      <c r="A59" s="26" t="s">
        <v>122</v>
      </c>
      <c r="B59" s="8">
        <f t="shared" si="3"/>
        <v>0</v>
      </c>
      <c r="C59" s="8" t="e">
        <f t="shared" si="1"/>
        <v>#DIV/0!</v>
      </c>
      <c r="D59" s="59" t="str">
        <f t="shared" ref="D59:D60" si="5">HYPERLINK("https://www.digitalauthority.me/insights/online-reputation-management-for-doctors-guide-02-09-2018","11 online reputation management techniques for doctors (the definitive guide)
")</f>
        <v xml:space="preserve">11 online reputation management techniques for doctors (the definitive guide)
</v>
      </c>
      <c r="E59" s="12"/>
      <c r="F59" s="13"/>
      <c r="G59" s="28"/>
      <c r="H59" s="26"/>
      <c r="I59" s="28"/>
      <c r="J59" s="26"/>
      <c r="K59" s="29"/>
      <c r="L59" s="2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>
      <c r="A60" s="26" t="s">
        <v>123</v>
      </c>
      <c r="B60" s="8">
        <f t="shared" si="3"/>
        <v>0</v>
      </c>
      <c r="C60" s="8" t="e">
        <f t="shared" si="1"/>
        <v>#DIV/0!</v>
      </c>
      <c r="D60" s="54" t="str">
        <f t="shared" si="5"/>
        <v xml:space="preserve">11 online reputation management techniques for doctors (the definitive guide)
</v>
      </c>
      <c r="E60" s="28"/>
      <c r="F60" s="26"/>
      <c r="G60" s="28"/>
      <c r="H60" s="26"/>
      <c r="I60" s="28"/>
      <c r="J60" s="26"/>
      <c r="K60" s="29"/>
      <c r="L60" s="2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>
      <c r="A61" s="13" t="s">
        <v>124</v>
      </c>
      <c r="B61" s="8">
        <f t="shared" si="3"/>
        <v>0</v>
      </c>
      <c r="C61" s="8" t="e">
        <f t="shared" si="1"/>
        <v>#DIV/0!</v>
      </c>
      <c r="D61" s="60" t="s">
        <v>125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>
      <c r="A62" s="3" t="s">
        <v>126</v>
      </c>
      <c r="B62" s="8">
        <f t="shared" si="3"/>
        <v>0</v>
      </c>
      <c r="C62" s="8" t="e">
        <f t="shared" si="1"/>
        <v>#DIV/0!</v>
      </c>
      <c r="D62" s="11" t="str">
        <f>HYPERLINK("https://www.digitalauthority.me/resources/17-reasons-why-most-companies-fail-at-seo/","17 Reasons Why Companies Fail At SEO")</f>
        <v>17 Reasons Why Companies Fail At SEO</v>
      </c>
      <c r="E62" s="3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>
      <c r="A63" s="13" t="s">
        <v>127</v>
      </c>
      <c r="B63" s="8">
        <f t="shared" si="3"/>
        <v>0</v>
      </c>
      <c r="C63" s="8" t="e">
        <f t="shared" si="1"/>
        <v>#DIV/0!</v>
      </c>
      <c r="D63" s="11" t="str">
        <f>HYPERLINK("https://www.digitalauthority.me/resources/seo-vs-sem/","Seo versus SEM guide")</f>
        <v>Seo versus SEM guide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>
      <c r="A64" s="10" t="s">
        <v>128</v>
      </c>
      <c r="B64" s="8">
        <f t="shared" si="3"/>
        <v>0</v>
      </c>
      <c r="C64" s="8" t="e">
        <f t="shared" si="1"/>
        <v>#DIV/0!</v>
      </c>
      <c r="D64" s="11" t="str">
        <f>HYPERLINK("https://www.digitalauthority.me/insights/social-media-mistakes-22-10-2018","Social media whitepaper: epic fail tips from other social media executives
")</f>
        <v>Social media whitepaper: epic fail tips from other social media executives_x000D_</v>
      </c>
      <c r="E64" s="10"/>
      <c r="F64" s="13"/>
      <c r="G64" s="12"/>
      <c r="H64" s="1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>
      <c r="A65" s="13" t="s">
        <v>129</v>
      </c>
      <c r="B65" s="8">
        <f t="shared" si="3"/>
        <v>0</v>
      </c>
      <c r="C65" s="8" t="e">
        <f t="shared" si="1"/>
        <v>#DIV/0!</v>
      </c>
      <c r="D65" s="11" t="str">
        <f>HYPERLINK("https://healthcareweekly.com/all-you-need-to-know-about-telemedicine/","All you need to know about telemedicine – one of the greatest health innovations of the 21st century")</f>
        <v>All you need to know about telemedicine – one of the greatest health innovations of the 21st century</v>
      </c>
      <c r="E65" s="28"/>
      <c r="F65" s="26"/>
      <c r="G65" s="12"/>
      <c r="H65" s="13"/>
      <c r="I65" s="12"/>
      <c r="J65" s="13"/>
      <c r="K65" s="13"/>
      <c r="L65" s="1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>
      <c r="A66" s="13" t="s">
        <v>130</v>
      </c>
      <c r="B66" s="8">
        <f t="shared" si="3"/>
        <v>1</v>
      </c>
      <c r="C66" s="8">
        <f t="shared" si="1"/>
        <v>91</v>
      </c>
      <c r="D66" s="30" t="str">
        <f>HYPERLINK("https://www.digitalauthority.me/web-analytics-services-chicago/","Web Analytics Services page")</f>
        <v>Web Analytics Services page</v>
      </c>
      <c r="E66" s="30" t="s">
        <v>1738</v>
      </c>
      <c r="F66" s="13">
        <v>91</v>
      </c>
      <c r="G66" s="12"/>
      <c r="H66" s="13"/>
      <c r="I66" s="12"/>
      <c r="J66" s="1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>
      <c r="A67" s="13" t="s">
        <v>131</v>
      </c>
      <c r="B67" s="8">
        <f t="shared" si="3"/>
        <v>1</v>
      </c>
      <c r="C67" s="8">
        <f t="shared" si="1"/>
        <v>83</v>
      </c>
      <c r="D67" s="21" t="s">
        <v>132</v>
      </c>
      <c r="E67" s="183" t="s">
        <v>1750</v>
      </c>
      <c r="F67" s="34">
        <v>83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>
      <c r="A68" s="8"/>
      <c r="B68" s="8">
        <f t="shared" si="3"/>
        <v>0</v>
      </c>
      <c r="C68" s="8" t="e">
        <f t="shared" si="1"/>
        <v>#DIV/0!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>
      <c r="A69" s="8"/>
      <c r="B69" s="8">
        <f t="shared" si="3"/>
        <v>0</v>
      </c>
      <c r="C69" s="8" t="e">
        <f t="shared" si="1"/>
        <v>#DIV/0!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>
      <c r="A70" s="8"/>
      <c r="B70" s="8">
        <f t="shared" si="3"/>
        <v>0</v>
      </c>
      <c r="C70" s="8" t="e">
        <f t="shared" si="1"/>
        <v>#DIV/0!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>
      <c r="A71" s="8"/>
      <c r="B71" s="8"/>
      <c r="C71" s="8" t="e">
        <f t="shared" si="1"/>
        <v>#DIV/0!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>
      <c r="A72" s="8"/>
      <c r="B72" s="8"/>
      <c r="C72" s="8" t="e">
        <f t="shared" si="1"/>
        <v>#DIV/0!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  <row r="1002" spans="1:30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</row>
    <row r="1003" spans="1:30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</row>
    <row r="1004" spans="1:30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</row>
    <row r="1005" spans="1:30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</row>
  </sheetData>
  <hyperlinks>
    <hyperlink ref="E4" r:id="rId1"/>
    <hyperlink ref="D6" r:id="rId2"/>
    <hyperlink ref="D7" r:id="rId3"/>
    <hyperlink ref="E10" r:id="rId4"/>
    <hyperlink ref="G10" r:id="rId5"/>
    <hyperlink ref="E11" r:id="rId6"/>
    <hyperlink ref="E12" r:id="rId7"/>
    <hyperlink ref="G12" r:id="rId8"/>
    <hyperlink ref="I12" r:id="rId9"/>
    <hyperlink ref="E13" r:id="rId10"/>
    <hyperlink ref="E14" r:id="rId11"/>
    <hyperlink ref="E15" r:id="rId12"/>
    <hyperlink ref="D17" r:id="rId13"/>
    <hyperlink ref="D18" r:id="rId14"/>
    <hyperlink ref="D19" r:id="rId15"/>
    <hyperlink ref="D20" r:id="rId16"/>
    <hyperlink ref="D23" r:id="rId17"/>
    <hyperlink ref="D24" r:id="rId18"/>
    <hyperlink ref="D25" r:id="rId19"/>
    <hyperlink ref="D26" r:id="rId20"/>
    <hyperlink ref="D27" r:id="rId21"/>
    <hyperlink ref="D28" r:id="rId22"/>
    <hyperlink ref="D34" r:id="rId23"/>
    <hyperlink ref="D35" r:id="rId24"/>
    <hyperlink ref="E40" r:id="rId25"/>
    <hyperlink ref="D45" r:id="rId26"/>
    <hyperlink ref="E45" r:id="rId27"/>
    <hyperlink ref="D46" r:id="rId28"/>
    <hyperlink ref="E46" r:id="rId29"/>
    <hyperlink ref="G46" r:id="rId30"/>
    <hyperlink ref="I46" r:id="rId31"/>
    <hyperlink ref="D54" r:id="rId32"/>
    <hyperlink ref="E55" r:id="rId33"/>
    <hyperlink ref="G55" r:id="rId34"/>
    <hyperlink ref="D58" r:id="rId35"/>
    <hyperlink ref="E58" r:id="rId36"/>
    <hyperlink ref="G58" r:id="rId37"/>
    <hyperlink ref="I58" r:id="rId38"/>
    <hyperlink ref="D61" r:id="rId39"/>
    <hyperlink ref="E66" r:id="rId40"/>
    <hyperlink ref="D67" r:id="rId41"/>
    <hyperlink ref="E67" r:id="rId4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G7"/>
  <sheetViews>
    <sheetView workbookViewId="0"/>
  </sheetViews>
  <sheetFormatPr baseColWidth="10" defaultColWidth="14.5" defaultRowHeight="15.75" customHeight="1" x14ac:dyDescent="0"/>
  <sheetData>
    <row r="1" spans="1:7" ht="15.75" customHeight="1">
      <c r="A1" s="186" t="s">
        <v>1949</v>
      </c>
      <c r="B1" s="185"/>
      <c r="C1" s="185"/>
      <c r="D1" s="3" t="s">
        <v>145</v>
      </c>
      <c r="E1" s="186" t="s">
        <v>1950</v>
      </c>
      <c r="F1" s="185"/>
      <c r="G1" s="185"/>
    </row>
    <row r="2" spans="1:7" ht="15.75" customHeight="1">
      <c r="A2" s="3" t="s">
        <v>158</v>
      </c>
      <c r="B2" s="3" t="s">
        <v>160</v>
      </c>
      <c r="C2" s="3" t="s">
        <v>1951</v>
      </c>
      <c r="D2" s="18"/>
      <c r="E2" s="3" t="s">
        <v>158</v>
      </c>
      <c r="F2" s="3" t="s">
        <v>1952</v>
      </c>
      <c r="G2" s="18"/>
    </row>
    <row r="3" spans="1:7" ht="15.75" customHeight="1">
      <c r="A3" s="3" t="s">
        <v>1953</v>
      </c>
      <c r="B3" s="3">
        <v>60</v>
      </c>
      <c r="C3" s="3">
        <v>5</v>
      </c>
      <c r="D3" s="18"/>
      <c r="E3" s="3" t="s">
        <v>1954</v>
      </c>
      <c r="F3" s="3" t="s">
        <v>1955</v>
      </c>
      <c r="G3" s="18"/>
    </row>
    <row r="4" spans="1:7" ht="15.75" customHeight="1">
      <c r="A4" s="3" t="s">
        <v>1956</v>
      </c>
      <c r="B4" s="3">
        <v>40</v>
      </c>
      <c r="C4" s="3">
        <v>4</v>
      </c>
      <c r="D4" s="18"/>
      <c r="E4" s="18"/>
      <c r="F4" s="18"/>
      <c r="G4" s="18"/>
    </row>
    <row r="5" spans="1:7" ht="15.75" customHeight="1">
      <c r="A5" s="3" t="s">
        <v>1957</v>
      </c>
      <c r="B5" s="3">
        <v>25</v>
      </c>
      <c r="C5" s="3">
        <v>3</v>
      </c>
      <c r="D5" s="18"/>
      <c r="E5" s="18"/>
      <c r="F5" s="18"/>
      <c r="G5" s="18"/>
    </row>
    <row r="6" spans="1:7" ht="15.75" customHeight="1">
      <c r="A6" s="3" t="s">
        <v>1958</v>
      </c>
      <c r="B6" s="3">
        <v>30</v>
      </c>
      <c r="C6" s="3">
        <v>3.5</v>
      </c>
      <c r="D6" s="18"/>
      <c r="E6" s="18"/>
      <c r="F6" s="18"/>
      <c r="G6" s="18"/>
    </row>
    <row r="7" spans="1:7" ht="15.75" customHeight="1">
      <c r="A7" s="3" t="s">
        <v>1959</v>
      </c>
      <c r="B7" s="3">
        <v>100</v>
      </c>
      <c r="C7" s="125">
        <v>43590</v>
      </c>
      <c r="D7" s="3" t="s">
        <v>1960</v>
      </c>
      <c r="E7" s="18"/>
      <c r="F7" s="18"/>
      <c r="G7" s="18"/>
    </row>
  </sheetData>
  <mergeCells count="2">
    <mergeCell ref="A1:C1"/>
    <mergeCell ref="E1:G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Cornerstone articles</vt:lpstr>
      <vt:lpstr>Week 25</vt:lpstr>
      <vt:lpstr>Week 26</vt:lpstr>
      <vt:lpstr>Outlets</vt:lpstr>
      <vt:lpstr>Submitted</vt:lpstr>
      <vt:lpstr>Outstanding</vt:lpstr>
      <vt:lpstr>done</vt:lpstr>
      <vt:lpstr>Kool8</vt:lpstr>
      <vt:lpstr>Samples</vt:lpstr>
      <vt:lpstr>FREE</vt:lpstr>
      <vt:lpstr>Week 24</vt:lpstr>
      <vt:lpstr>Week 1</vt:lpstr>
      <vt:lpstr>Week 2</vt:lpstr>
      <vt:lpstr>Week 3</vt:lpstr>
      <vt:lpstr>Week 4</vt:lpstr>
      <vt:lpstr>Week 5</vt:lpstr>
      <vt:lpstr>week 6</vt:lpstr>
      <vt:lpstr>Week 7</vt:lpstr>
      <vt:lpstr>Week 8</vt:lpstr>
      <vt:lpstr>Week 9</vt:lpstr>
      <vt:lpstr>Week 10</vt:lpstr>
      <vt:lpstr>Week 11</vt:lpstr>
      <vt:lpstr>Week 12</vt:lpstr>
      <vt:lpstr>Week 13</vt:lpstr>
      <vt:lpstr>Week 14</vt:lpstr>
      <vt:lpstr>Week 15</vt:lpstr>
      <vt:lpstr>Week 16</vt:lpstr>
      <vt:lpstr>Week 17</vt:lpstr>
      <vt:lpstr>Week 18</vt:lpstr>
      <vt:lpstr>Week 19</vt:lpstr>
      <vt:lpstr>Week 20</vt:lpstr>
      <vt:lpstr>Week 21</vt:lpstr>
      <vt:lpstr>Week 22</vt:lpstr>
      <vt:lpstr>Week 23</vt:lpstr>
      <vt:lpstr>Fiverr people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tavasya</cp:lastModifiedBy>
  <dcterms:modified xsi:type="dcterms:W3CDTF">2019-06-19T22:33:36Z</dcterms:modified>
</cp:coreProperties>
</file>