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aylorf\OneDrive - Dun &amp; Bradstreet\R\Stock Market\"/>
    </mc:Choice>
  </mc:AlternateContent>
  <xr:revisionPtr revIDLastSave="0" documentId="13_ncr:1_{2497E9D0-B423-4717-BFFE-E163B446B745}" xr6:coauthVersionLast="44" xr6:coauthVersionMax="44" xr10:uidLastSave="{00000000-0000-0000-0000-000000000000}"/>
  <bookViews>
    <workbookView xWindow="-120" yWindow="-120" windowWidth="29040" windowHeight="15840" xr2:uid="{DCAA86FE-970A-4811-AAF5-AEDF634E1176}"/>
  </bookViews>
  <sheets>
    <sheet name="DCF" sheetId="4" r:id="rId1"/>
    <sheet name="Financials" sheetId="2" r:id="rId2"/>
    <sheet name="raw_dcf_statement" sheetId="1" r:id="rId3"/>
  </sheets>
  <externalReferences>
    <externalReference r:id="rId4"/>
    <externalReference r:id="rId5"/>
    <externalReference r:id="rId6"/>
  </externalReferences>
  <definedNames>
    <definedName name="ann_cagr">[2]Financials!$AC$36</definedName>
    <definedName name="capex_fcst" localSheetId="0">DCF!$D$8</definedName>
    <definedName name="capex_fcst">#REF!</definedName>
    <definedName name="dca">[3]index_prices_chg!$N$2</definedName>
    <definedName name="debt_fcst" localSheetId="0">DCF!$D$6</definedName>
    <definedName name="debt_fcst">#REF!</definedName>
    <definedName name="discount">#REF!</definedName>
    <definedName name="discount_fcfe" localSheetId="0">DCF!$C$17</definedName>
    <definedName name="discount_fcfe">#REF!</definedName>
    <definedName name="discount_fcff" localSheetId="0">DCF!$C$16</definedName>
    <definedName name="discount_rate">[2]Financials!$AC$32</definedName>
    <definedName name="gross_fcst" localSheetId="0">DCF!$D$3</definedName>
    <definedName name="gross_fcst">#REF!</definedName>
    <definedName name="int_fcst" localSheetId="0">DCF!$D$7</definedName>
    <definedName name="int_fcst">#REF!</definedName>
    <definedName name="lump">[3]index_prices_chg!$N$1</definedName>
    <definedName name="net_fcst" localSheetId="0">DCF!$D$4</definedName>
    <definedName name="net_fcst">#REF!</definedName>
    <definedName name="ocf_fcst" localSheetId="0">DCF!$D$5</definedName>
    <definedName name="ocf_fcst">#REF!</definedName>
    <definedName name="sales_fcst" localSheetId="0">DCF!$D$2</definedName>
    <definedName name="sales_fcst">#REF!</definedName>
    <definedName name="shares_fcst" localSheetId="0">DCF!$D$9</definedName>
    <definedName name="shares_fc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6" i="4" l="1"/>
  <c r="C11" i="4"/>
  <c r="H38" i="4"/>
  <c r="G38" i="4"/>
  <c r="F38" i="4"/>
  <c r="E38" i="4"/>
  <c r="E39" i="4" s="1"/>
  <c r="D38" i="4"/>
  <c r="C38" i="4"/>
  <c r="H34" i="4"/>
  <c r="G34" i="4"/>
  <c r="F34" i="4"/>
  <c r="E34" i="4"/>
  <c r="D34" i="4"/>
  <c r="C34" i="4"/>
  <c r="C35" i="4" s="1"/>
  <c r="H32" i="4"/>
  <c r="G32" i="4"/>
  <c r="F32" i="4"/>
  <c r="E32" i="4"/>
  <c r="D32" i="4"/>
  <c r="C32" i="4"/>
  <c r="H30" i="4"/>
  <c r="G30" i="4"/>
  <c r="G31" i="4" s="1"/>
  <c r="F30" i="4"/>
  <c r="E30" i="4"/>
  <c r="D30" i="4"/>
  <c r="C30" i="4"/>
  <c r="C31" i="4" s="1"/>
  <c r="H29" i="4"/>
  <c r="G29" i="4"/>
  <c r="F29" i="4"/>
  <c r="E29" i="4"/>
  <c r="D29" i="4"/>
  <c r="C29" i="4"/>
  <c r="H27" i="4"/>
  <c r="G27" i="4"/>
  <c r="F27" i="4"/>
  <c r="E27" i="4"/>
  <c r="D27" i="4"/>
  <c r="C27" i="4"/>
  <c r="H24" i="4"/>
  <c r="G24" i="4"/>
  <c r="F24" i="4"/>
  <c r="E24" i="4"/>
  <c r="E44" i="4" s="1"/>
  <c r="D24" i="4"/>
  <c r="C24" i="4"/>
  <c r="H22" i="4"/>
  <c r="G22" i="4"/>
  <c r="G25" i="4" s="1"/>
  <c r="F22" i="4"/>
  <c r="E22" i="4"/>
  <c r="D22" i="4"/>
  <c r="C22" i="4"/>
  <c r="C25" i="4" s="1"/>
  <c r="H20" i="4"/>
  <c r="G20" i="4"/>
  <c r="F20" i="4"/>
  <c r="E20" i="4"/>
  <c r="E35" i="4" s="1"/>
  <c r="D20" i="4"/>
  <c r="C20" i="4"/>
  <c r="H19" i="4"/>
  <c r="G19" i="4"/>
  <c r="F19" i="4"/>
  <c r="E19" i="4"/>
  <c r="D19" i="4"/>
  <c r="C19" i="4"/>
  <c r="C14" i="4"/>
  <c r="G12" i="4"/>
  <c r="E8" i="4"/>
  <c r="E7" i="4"/>
  <c r="G6" i="4"/>
  <c r="E6" i="4"/>
  <c r="K5" i="4"/>
  <c r="E5" i="4"/>
  <c r="K4" i="4"/>
  <c r="E4" i="4"/>
  <c r="G3" i="4"/>
  <c r="E3" i="4"/>
  <c r="G2" i="4"/>
  <c r="E2" i="4"/>
  <c r="B92" i="4"/>
  <c r="B91" i="4" s="1"/>
  <c r="B90" i="4" s="1"/>
  <c r="B89" i="4" s="1"/>
  <c r="B88" i="4" s="1"/>
  <c r="H86" i="4"/>
  <c r="I86" i="4" s="1"/>
  <c r="J86" i="4" s="1"/>
  <c r="K86" i="4" s="1"/>
  <c r="L86" i="4" s="1"/>
  <c r="B79" i="4"/>
  <c r="B78" i="4" s="1"/>
  <c r="B77" i="4" s="1"/>
  <c r="B76" i="4" s="1"/>
  <c r="B75" i="4" s="1"/>
  <c r="B66" i="4"/>
  <c r="B67" i="4" s="1"/>
  <c r="B68" i="4" s="1"/>
  <c r="B69" i="4" s="1"/>
  <c r="B70" i="4" s="1"/>
  <c r="H60" i="4"/>
  <c r="G60" i="4" s="1"/>
  <c r="F60" i="4" s="1"/>
  <c r="E60" i="4" s="1"/>
  <c r="D60" i="4" s="1"/>
  <c r="B53" i="4"/>
  <c r="B54" i="4" s="1"/>
  <c r="B55" i="4" s="1"/>
  <c r="B56" i="4" s="1"/>
  <c r="B57" i="4" s="1"/>
  <c r="F44" i="4"/>
  <c r="M39" i="4"/>
  <c r="L39" i="4"/>
  <c r="K39" i="4"/>
  <c r="J39" i="4"/>
  <c r="I39" i="4"/>
  <c r="G39" i="4"/>
  <c r="F39" i="4"/>
  <c r="D39" i="4"/>
  <c r="H37" i="4"/>
  <c r="H43" i="4" s="1"/>
  <c r="D37" i="4"/>
  <c r="D43" i="4" s="1"/>
  <c r="H36" i="4"/>
  <c r="H42" i="4" s="1"/>
  <c r="M35" i="4"/>
  <c r="L35" i="4"/>
  <c r="K35" i="4"/>
  <c r="J35" i="4"/>
  <c r="I35" i="4"/>
  <c r="H35" i="4"/>
  <c r="F35" i="4"/>
  <c r="D35" i="4"/>
  <c r="M33" i="4"/>
  <c r="L33" i="4"/>
  <c r="K33" i="4"/>
  <c r="J33" i="4"/>
  <c r="I33" i="4"/>
  <c r="I32" i="4" s="1"/>
  <c r="H33" i="4"/>
  <c r="G33" i="4"/>
  <c r="F33" i="4"/>
  <c r="D33" i="4"/>
  <c r="C33" i="4"/>
  <c r="M31" i="4"/>
  <c r="L31" i="4"/>
  <c r="K31" i="4"/>
  <c r="J31" i="4"/>
  <c r="I31" i="4"/>
  <c r="I30" i="4" s="1"/>
  <c r="H31" i="4"/>
  <c r="F31" i="4"/>
  <c r="D31" i="4"/>
  <c r="I29" i="4"/>
  <c r="E31" i="4"/>
  <c r="M28" i="4"/>
  <c r="L28" i="4"/>
  <c r="K28" i="4"/>
  <c r="J28" i="4"/>
  <c r="I28" i="4"/>
  <c r="H28" i="4"/>
  <c r="E37" i="4"/>
  <c r="E43" i="4" s="1"/>
  <c r="F26" i="4"/>
  <c r="M25" i="4"/>
  <c r="L25" i="4"/>
  <c r="K25" i="4"/>
  <c r="J25" i="4"/>
  <c r="I25" i="4"/>
  <c r="F25" i="4"/>
  <c r="M23" i="4"/>
  <c r="L23" i="4"/>
  <c r="K23" i="4"/>
  <c r="J23" i="4"/>
  <c r="I23" i="4"/>
  <c r="H23" i="4"/>
  <c r="F23" i="4"/>
  <c r="D23" i="4"/>
  <c r="M21" i="4"/>
  <c r="L21" i="4"/>
  <c r="K21" i="4"/>
  <c r="J21" i="4"/>
  <c r="I21" i="4"/>
  <c r="I20" i="4" s="1"/>
  <c r="G21" i="4"/>
  <c r="C23" i="4"/>
  <c r="K14" i="4"/>
  <c r="K15" i="4" s="1"/>
  <c r="K13" i="4"/>
  <c r="D11" i="4"/>
  <c r="H73" i="4"/>
  <c r="D10" i="4"/>
  <c r="C12" i="4" s="1"/>
  <c r="G7" i="4"/>
  <c r="G11" i="4"/>
  <c r="G13" i="4" s="1"/>
  <c r="G4" i="4"/>
  <c r="I60" i="4" l="1"/>
  <c r="J60" i="4" s="1"/>
  <c r="K60" i="4" s="1"/>
  <c r="L60" i="4" s="1"/>
  <c r="F21" i="4"/>
  <c r="E23" i="4"/>
  <c r="E25" i="4"/>
  <c r="E21" i="4"/>
  <c r="G86" i="4"/>
  <c r="F86" i="4" s="1"/>
  <c r="E86" i="4" s="1"/>
  <c r="D86" i="4" s="1"/>
  <c r="B65" i="4"/>
  <c r="B64" i="4" s="1"/>
  <c r="B63" i="4" s="1"/>
  <c r="B62" i="4" s="1"/>
  <c r="B93" i="4"/>
  <c r="B94" i="4" s="1"/>
  <c r="B95" i="4" s="1"/>
  <c r="B96" i="4" s="1"/>
  <c r="C37" i="4"/>
  <c r="C43" i="4" s="1"/>
  <c r="C36" i="4"/>
  <c r="C42" i="4" s="1"/>
  <c r="C28" i="4"/>
  <c r="G37" i="4"/>
  <c r="G43" i="4" s="1"/>
  <c r="G36" i="4"/>
  <c r="G42" i="4" s="1"/>
  <c r="G28" i="4"/>
  <c r="J32" i="4"/>
  <c r="C6" i="4"/>
  <c r="G35" i="4"/>
  <c r="C8" i="4" s="1"/>
  <c r="I34" i="4"/>
  <c r="I22" i="4"/>
  <c r="I24" i="4" s="1"/>
  <c r="J20" i="4"/>
  <c r="D25" i="4"/>
  <c r="D44" i="4"/>
  <c r="D26" i="4"/>
  <c r="H25" i="4"/>
  <c r="H44" i="4"/>
  <c r="H26" i="4"/>
  <c r="H39" i="4"/>
  <c r="C9" i="4" s="1"/>
  <c r="I38" i="4"/>
  <c r="J38" i="4" s="1"/>
  <c r="K38" i="4" s="1"/>
  <c r="L38" i="4" s="1"/>
  <c r="M38" i="4" s="1"/>
  <c r="N38" i="4" s="1"/>
  <c r="K7" i="4" s="1"/>
  <c r="I73" i="4"/>
  <c r="J73" i="4" s="1"/>
  <c r="K73" i="4" s="1"/>
  <c r="L73" i="4" s="1"/>
  <c r="G73" i="4"/>
  <c r="F73" i="4" s="1"/>
  <c r="E73" i="4" s="1"/>
  <c r="D73" i="4" s="1"/>
  <c r="J30" i="4"/>
  <c r="J29" i="4" s="1"/>
  <c r="D21" i="4"/>
  <c r="H21" i="4"/>
  <c r="G23" i="4"/>
  <c r="C3" i="4" s="1"/>
  <c r="F37" i="4"/>
  <c r="F43" i="4" s="1"/>
  <c r="D28" i="4"/>
  <c r="E33" i="4"/>
  <c r="C7" i="4" s="1"/>
  <c r="D36" i="4"/>
  <c r="D42" i="4" s="1"/>
  <c r="C26" i="4"/>
  <c r="G26" i="4"/>
  <c r="E28" i="4"/>
  <c r="E36" i="4"/>
  <c r="E42" i="4" s="1"/>
  <c r="C44" i="4"/>
  <c r="G44" i="4"/>
  <c r="B52" i="4"/>
  <c r="B51" i="4" s="1"/>
  <c r="B50" i="4" s="1"/>
  <c r="B49" i="4" s="1"/>
  <c r="B80" i="4"/>
  <c r="B81" i="4" s="1"/>
  <c r="B82" i="4" s="1"/>
  <c r="B83" i="4" s="1"/>
  <c r="F28" i="4"/>
  <c r="F36" i="4"/>
  <c r="F42" i="4" s="1"/>
  <c r="C13" i="4"/>
  <c r="C17" i="4" s="1"/>
  <c r="E26" i="4"/>
  <c r="C15" i="4" l="1"/>
  <c r="C2" i="4"/>
  <c r="C4" i="4"/>
  <c r="I44" i="4"/>
  <c r="I26" i="4"/>
  <c r="I27" i="4"/>
  <c r="K30" i="4"/>
  <c r="K29" i="4" s="1"/>
  <c r="K32" i="4"/>
  <c r="K40" i="4"/>
  <c r="G9" i="4"/>
  <c r="J40" i="4"/>
  <c r="M40" i="4"/>
  <c r="N40" i="4" s="1"/>
  <c r="I40" i="4"/>
  <c r="H47" i="4"/>
  <c r="L40" i="4"/>
  <c r="M41" i="4"/>
  <c r="N41" i="4" s="1"/>
  <c r="I41" i="4"/>
  <c r="G10" i="4"/>
  <c r="L41" i="4"/>
  <c r="K41" i="4"/>
  <c r="J41" i="4"/>
  <c r="C5" i="4"/>
  <c r="J34" i="4"/>
  <c r="J22" i="4"/>
  <c r="J24" i="4" s="1"/>
  <c r="K20" i="4"/>
  <c r="L30" i="4" l="1"/>
  <c r="L29" i="4" s="1"/>
  <c r="L32" i="4"/>
  <c r="K34" i="4"/>
  <c r="K22" i="4"/>
  <c r="K24" i="4" s="1"/>
  <c r="L20" i="4"/>
  <c r="I37" i="4"/>
  <c r="I43" i="4" s="1"/>
  <c r="I36" i="4"/>
  <c r="I42" i="4" s="1"/>
  <c r="J27" i="4"/>
  <c r="J26" i="4"/>
  <c r="J44" i="4"/>
  <c r="G47" i="4"/>
  <c r="F47" i="4" s="1"/>
  <c r="E47" i="4" s="1"/>
  <c r="D47" i="4" s="1"/>
  <c r="I47" i="4"/>
  <c r="J47" i="4" s="1"/>
  <c r="K47" i="4" s="1"/>
  <c r="L47" i="4" s="1"/>
  <c r="M30" i="4" l="1"/>
  <c r="M29" i="4" s="1"/>
  <c r="M32" i="4"/>
  <c r="L34" i="4"/>
  <c r="L22" i="4"/>
  <c r="L24" i="4" s="1"/>
  <c r="M20" i="4"/>
  <c r="J37" i="4"/>
  <c r="J43" i="4" s="1"/>
  <c r="J36" i="4"/>
  <c r="J42" i="4" s="1"/>
  <c r="K44" i="4"/>
  <c r="K26" i="4"/>
  <c r="K27" i="4"/>
  <c r="L44" i="4" l="1"/>
  <c r="L26" i="4"/>
  <c r="L27" i="4"/>
  <c r="M34" i="4"/>
  <c r="M22" i="4"/>
  <c r="M24" i="4" s="1"/>
  <c r="K37" i="4"/>
  <c r="K43" i="4" s="1"/>
  <c r="K36" i="4"/>
  <c r="K42" i="4" s="1"/>
  <c r="L37" i="4" l="1"/>
  <c r="L43" i="4" s="1"/>
  <c r="L36" i="4"/>
  <c r="L42" i="4" s="1"/>
  <c r="M44" i="4"/>
  <c r="K16" i="4" s="1"/>
  <c r="M26" i="4"/>
  <c r="M27" i="4"/>
  <c r="K18" i="4" l="1"/>
  <c r="K17" i="4"/>
  <c r="M37" i="4"/>
  <c r="M36" i="4"/>
  <c r="M42" i="4" l="1"/>
  <c r="N36" i="4"/>
  <c r="N42" i="4" s="1"/>
  <c r="K2" i="4" s="1"/>
  <c r="K6" i="4" s="1"/>
  <c r="K8" i="4" s="1"/>
  <c r="M43" i="4"/>
  <c r="N37" i="4"/>
  <c r="N43" i="4" s="1"/>
  <c r="K3" i="4" s="1"/>
  <c r="K9" i="4" s="1"/>
  <c r="K12" i="4" s="1"/>
  <c r="C74" i="4" l="1"/>
  <c r="K11" i="4"/>
  <c r="C87" i="4"/>
  <c r="C48" i="4"/>
  <c r="C61" i="4"/>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2"/>
        </ext>
      </extLst>
    </bk>
    <bk>
      <extLst>
        <ext uri="{3e2802c4-a4d2-4d8b-9148-e3be6c30e623}">
          <xlrd:rvb i="5"/>
        </ext>
      </extLst>
    </bk>
  </futureMetadata>
  <valueMetadata count="2">
    <bk>
      <rc t="1" v="0"/>
    </bk>
    <bk>
      <rc t="1" v="1"/>
    </bk>
  </valueMetadata>
</metadata>
</file>

<file path=xl/sharedStrings.xml><?xml version="1.0" encoding="utf-8"?>
<sst xmlns="http://schemas.openxmlformats.org/spreadsheetml/2006/main" count="542" uniqueCount="329">
  <si>
    <t>31-Dec-2020|30-Sep-2021</t>
  </si>
  <si>
    <t>Y1</t>
  </si>
  <si>
    <t>Y2</t>
  </si>
  <si>
    <t>Y3</t>
  </si>
  <si>
    <t>Y4</t>
  </si>
  <si>
    <t>Y5</t>
  </si>
  <si>
    <t>Terminal</t>
  </si>
  <si>
    <t>ins_name</t>
  </si>
  <si>
    <t>Akamai Technologies Inc.</t>
  </si>
  <si>
    <t>TTM currency</t>
  </si>
  <si>
    <t>USD</t>
  </si>
  <si>
    <t>ins_ticker</t>
  </si>
  <si>
    <t>AKAM</t>
  </si>
  <si>
    <t>Sales</t>
  </si>
  <si>
    <t>Sales_Growth_Pct</t>
  </si>
  <si>
    <t>Gross_Income</t>
  </si>
  <si>
    <t>Gross_Income_Pct</t>
  </si>
  <si>
    <t>Net_Income</t>
  </si>
  <si>
    <t>Gross_Net_Income_Pct</t>
  </si>
  <si>
    <t>Net_Income_Pct</t>
  </si>
  <si>
    <t>OCF</t>
  </si>
  <si>
    <t>OCF_NI_Pct</t>
  </si>
  <si>
    <t>Total_Debt</t>
  </si>
  <si>
    <t>Net_Borrowings</t>
  </si>
  <si>
    <t>Debt_Repayment_Pct</t>
  </si>
  <si>
    <t>Interest_Expense</t>
  </si>
  <si>
    <t>Interest_Expense_Pct</t>
  </si>
  <si>
    <t>CAPEX</t>
  </si>
  <si>
    <t>CAPEX_Sales_Pct</t>
  </si>
  <si>
    <t>FCFF</t>
  </si>
  <si>
    <t>FCFE</t>
  </si>
  <si>
    <t>FCFF_Discount_Rate</t>
  </si>
  <si>
    <t>FCFE_Discount_Rate</t>
  </si>
  <si>
    <t>PFCFF</t>
  </si>
  <si>
    <t>PFCFE</t>
  </si>
  <si>
    <t>Total_PFCFF</t>
  </si>
  <si>
    <t>Total_PFCFF_Equity</t>
  </si>
  <si>
    <t>Total_PFCFE</t>
  </si>
  <si>
    <t>Shares</t>
  </si>
  <si>
    <t>FCFF_Intrinsic_Value</t>
  </si>
  <si>
    <t>FCFE_Intrinsic_Value</t>
  </si>
  <si>
    <t>Latest_Price</t>
  </si>
  <si>
    <t>Latest_Price_Currency</t>
  </si>
  <si>
    <t>$</t>
  </si>
  <si>
    <t>FCFF_Buy_Price</t>
  </si>
  <si>
    <t>FCFE_Buy_Price</t>
  </si>
  <si>
    <t>Beta</t>
  </si>
  <si>
    <t>Equity_Cost</t>
  </si>
  <si>
    <t>Debt_Cost</t>
  </si>
  <si>
    <t>Capital_Cost</t>
  </si>
  <si>
    <t>EPS</t>
  </si>
  <si>
    <t>30-Sep-2020|30-Sep-2021</t>
  </si>
  <si>
    <t>fy</t>
  </si>
  <si>
    <t>January-December</t>
  </si>
  <si>
    <t>currency</t>
  </si>
  <si>
    <t>latest_price</t>
  </si>
  <si>
    <t>Intrinsic Value Price</t>
  </si>
  <si>
    <t>Intrinsic Value Gap %</t>
  </si>
  <si>
    <t>TTM 10 YR Price Estimate</t>
  </si>
  <si>
    <t>TTM Fair Value Price</t>
  </si>
  <si>
    <t>TTM Fair Value Gap %</t>
  </si>
  <si>
    <t>TTM Buy Price</t>
  </si>
  <si>
    <t>latest_price_currency</t>
  </si>
  <si>
    <t>Extract Date</t>
  </si>
  <si>
    <t>P/E</t>
  </si>
  <si>
    <t>CAPE</t>
  </si>
  <si>
    <t>EV/EBITDA</t>
  </si>
  <si>
    <t>EPS (Diluted)</t>
  </si>
  <si>
    <t>EPS (Diluted) Growth</t>
  </si>
  <si>
    <t>TTM EPS CAGR</t>
  </si>
  <si>
    <t>FCF PS</t>
  </si>
  <si>
    <t>Current Ratio</t>
  </si>
  <si>
    <t>Quick Ratio</t>
  </si>
  <si>
    <t>Dividends Per Share</t>
  </si>
  <si>
    <t>Dividends Yield</t>
  </si>
  <si>
    <t>Debt To Equity</t>
  </si>
  <si>
    <t>Book Value PS</t>
  </si>
  <si>
    <t>TTM Book Value PS CAGR</t>
  </si>
  <si>
    <t>Return On Equity</t>
  </si>
  <si>
    <t>Return On Assets</t>
  </si>
  <si>
    <t>Gross Profit Margin %</t>
  </si>
  <si>
    <t>Net Profit Margin %</t>
  </si>
  <si>
    <t>Operating Profit Margin %</t>
  </si>
  <si>
    <t>Sales/Revenue</t>
  </si>
  <si>
    <t>TTM Sales/Revenue CAGR</t>
  </si>
  <si>
    <t>Net Income</t>
  </si>
  <si>
    <t>TTM Net Income CAGR</t>
  </si>
  <si>
    <t>Free Cash Flow</t>
  </si>
  <si>
    <t>TTM FCF CAGR</t>
  </si>
  <si>
    <t>Total Equity</t>
  </si>
  <si>
    <t>Total Debt</t>
  </si>
  <si>
    <t>Net Operating Cash Flow</t>
  </si>
  <si>
    <t>Net Investing Cash Flow</t>
  </si>
  <si>
    <t>Cash Dividends Paid - Total</t>
  </si>
  <si>
    <t>Repurchase of Common &amp; Preferred Stk.</t>
  </si>
  <si>
    <t>Net Financing Cash Flow</t>
  </si>
  <si>
    <t>Enterprise Value</t>
  </si>
  <si>
    <t>Diluted Shares Outstanding</t>
  </si>
  <si>
    <t>Price To Sales</t>
  </si>
  <si>
    <t>Price To Book</t>
  </si>
  <si>
    <t>Price to cash flow ratio</t>
  </si>
  <si>
    <t>Total Liabilities To Equity</t>
  </si>
  <si>
    <t>Cash flow coverage ratio</t>
  </si>
  <si>
    <t>Cash flow margin ratio</t>
  </si>
  <si>
    <t>Current liability coverage ratio</t>
  </si>
  <si>
    <t>Cash flow to net income</t>
  </si>
  <si>
    <t>Sales Growth</t>
  </si>
  <si>
    <t>Cost of Goods Sold (COGS) incl. D&amp;A</t>
  </si>
  <si>
    <t>COGS Growth</t>
  </si>
  <si>
    <t>COGS excluding D&amp;A</t>
  </si>
  <si>
    <t>Depreciation &amp; Amortization Expense</t>
  </si>
  <si>
    <t>Depreciation</t>
  </si>
  <si>
    <t>Amortization of Intangibles</t>
  </si>
  <si>
    <t>Gross Income</t>
  </si>
  <si>
    <t>Gross Income Growth</t>
  </si>
  <si>
    <t>Gross Profit Margin</t>
  </si>
  <si>
    <t>SG&amp;A Expense</t>
  </si>
  <si>
    <t>SGA Growth</t>
  </si>
  <si>
    <t>Research &amp; Development</t>
  </si>
  <si>
    <t>Other SG&amp;A</t>
  </si>
  <si>
    <t>Other Operating Expense</t>
  </si>
  <si>
    <t>Unusual Expense</t>
  </si>
  <si>
    <t>EBIT after Unusual Expense</t>
  </si>
  <si>
    <t>Non Operating Income/Expense</t>
  </si>
  <si>
    <t>Non-Operating Interest Income</t>
  </si>
  <si>
    <t>Equity in Affiliates (Pretax)</t>
  </si>
  <si>
    <t>Interest Expense</t>
  </si>
  <si>
    <t>Interest Expense Growth</t>
  </si>
  <si>
    <t>Gross Interest Expense</t>
  </si>
  <si>
    <t>Interest Capitalized</t>
  </si>
  <si>
    <t>Pretax Income</t>
  </si>
  <si>
    <t>Pretax Income Growth</t>
  </si>
  <si>
    <t>Pretax Margin</t>
  </si>
  <si>
    <t>Income Tax</t>
  </si>
  <si>
    <t>Income Tax - Current Domestic</t>
  </si>
  <si>
    <t>Income Tax - Current Foreign</t>
  </si>
  <si>
    <t>Income Tax - Deferred Domestic</t>
  </si>
  <si>
    <t>Income Tax - Deferred Foreign</t>
  </si>
  <si>
    <t>Income Tax Credits</t>
  </si>
  <si>
    <t>Equity in Affiliates</t>
  </si>
  <si>
    <t>Other After Tax Income (Expense)</t>
  </si>
  <si>
    <t>Consolidated Net Income</t>
  </si>
  <si>
    <t>Minority Interest Expense</t>
  </si>
  <si>
    <t>Net Income Growth</t>
  </si>
  <si>
    <t>Net Margin Growth</t>
  </si>
  <si>
    <t>Extraordinaries &amp; Discontinued Operations</t>
  </si>
  <si>
    <t>Extra Items &amp; Gain/Loss Sale Of Assets</t>
  </si>
  <si>
    <t>Cumulative Effect - Accounting Chg</t>
  </si>
  <si>
    <t>Discontinued Operations</t>
  </si>
  <si>
    <t>Net Income After Extraordinaries</t>
  </si>
  <si>
    <t>Preferred Dividends</t>
  </si>
  <si>
    <t>Net Income Available to Common</t>
  </si>
  <si>
    <t>EPS (Basic)</t>
  </si>
  <si>
    <t>EPS (Basic) Growth</t>
  </si>
  <si>
    <t>Basic Shares Outstanding</t>
  </si>
  <si>
    <t>EBITDA</t>
  </si>
  <si>
    <t>EBITDA Growth</t>
  </si>
  <si>
    <t>EBITDA Margin</t>
  </si>
  <si>
    <t>Cash &amp; Short Term Investments</t>
  </si>
  <si>
    <t>Cash &amp; Short Term Investments Growth</t>
  </si>
  <si>
    <t>Cash Only</t>
  </si>
  <si>
    <t>Short-Term Investments</t>
  </si>
  <si>
    <t>Cash &amp; ST Investments / Total Assets</t>
  </si>
  <si>
    <t>Total Accounts Receivable</t>
  </si>
  <si>
    <t>Total Accounts Receivable Growth</t>
  </si>
  <si>
    <t>Accounts Receivables, Net</t>
  </si>
  <si>
    <t>Accounts Receivables, Gross</t>
  </si>
  <si>
    <t>Bad Debt/Doubtful Accounts</t>
  </si>
  <si>
    <t>Other Receivable</t>
  </si>
  <si>
    <t>Accounts Receivable Turnover</t>
  </si>
  <si>
    <t>Inventories</t>
  </si>
  <si>
    <t>Finished Goods</t>
  </si>
  <si>
    <t>Work in Progress</t>
  </si>
  <si>
    <t>Raw Materials</t>
  </si>
  <si>
    <t>Progress Payments &amp; Other</t>
  </si>
  <si>
    <t>Other Current Assets</t>
  </si>
  <si>
    <t>Miscellaneous Current Assets</t>
  </si>
  <si>
    <t>Total Current Assets</t>
  </si>
  <si>
    <t>Net Property, Plant &amp; Equipment</t>
  </si>
  <si>
    <t>Property, Plant &amp; Equipment - Gross</t>
  </si>
  <si>
    <t>Buildings</t>
  </si>
  <si>
    <t>Land &amp; Improvements</t>
  </si>
  <si>
    <t>Computer Software and Equipment</t>
  </si>
  <si>
    <t>Other Property, Plant &amp; Equipment</t>
  </si>
  <si>
    <t>Accumulated Depreciation</t>
  </si>
  <si>
    <t>Total Investments and Advances</t>
  </si>
  <si>
    <t>Other Long-Term Investments</t>
  </si>
  <si>
    <t>Long-Term Note Receivables</t>
  </si>
  <si>
    <t>Intangible Assets</t>
  </si>
  <si>
    <t>Net Goodwill</t>
  </si>
  <si>
    <t>Net Other Intangibles</t>
  </si>
  <si>
    <t>Other Assets</t>
  </si>
  <si>
    <t>Total Assets</t>
  </si>
  <si>
    <t>Total Assets Growth</t>
  </si>
  <si>
    <t>ST Debt &amp; Current Portion LT Debt</t>
  </si>
  <si>
    <t>Short Term Debt</t>
  </si>
  <si>
    <t>Current Portion of Long Term Debt</t>
  </si>
  <si>
    <t>Accounts Payable</t>
  </si>
  <si>
    <t>Accounts Payable Growth</t>
  </si>
  <si>
    <t>Income Tax Payable</t>
  </si>
  <si>
    <t>Other Current Liabilities</t>
  </si>
  <si>
    <t>Dividends Payable</t>
  </si>
  <si>
    <t>Accrued Payroll</t>
  </si>
  <si>
    <t>Miscellaneous Current Liabilities</t>
  </si>
  <si>
    <t>Total Current Liabilities</t>
  </si>
  <si>
    <t>Long-Term Debt</t>
  </si>
  <si>
    <t>Long-Term Debt excl. Capitalized Leases</t>
  </si>
  <si>
    <t>Non-Convertible Debt</t>
  </si>
  <si>
    <t>Convertible Debt</t>
  </si>
  <si>
    <t>Capitalized Lease Obligations</t>
  </si>
  <si>
    <t>Provision for Risks &amp; Charges</t>
  </si>
  <si>
    <t>Deferred Taxes</t>
  </si>
  <si>
    <t>Deferred Taxes - Credits</t>
  </si>
  <si>
    <t>Deferred Taxes - Debit</t>
  </si>
  <si>
    <t>Other Liabilities</t>
  </si>
  <si>
    <t>Other Liabilities (excl. Deferred Income)</t>
  </si>
  <si>
    <t>Deferred Income</t>
  </si>
  <si>
    <t>Total Liabilities</t>
  </si>
  <si>
    <t>Non-Equity Reserves</t>
  </si>
  <si>
    <t>Total Liabilities / Total Assets</t>
  </si>
  <si>
    <t>Preferred Stock (Carrying Value)</t>
  </si>
  <si>
    <t>Redeemable Preferred Stock</t>
  </si>
  <si>
    <t>Non-Redeemable Preferred Stock</t>
  </si>
  <si>
    <t>Common Equity (Total)</t>
  </si>
  <si>
    <t>Common Equity / Total Assets</t>
  </si>
  <si>
    <t>Common Stock Par/Carry Value</t>
  </si>
  <si>
    <t>Retained Earnings</t>
  </si>
  <si>
    <t>ESOP Debt Guarantee</t>
  </si>
  <si>
    <t>Cumulative Translation Adjustment/Unrealized For. Exch. Gain</t>
  </si>
  <si>
    <t>Unrealized Gain/Loss Marketable Securities</t>
  </si>
  <si>
    <t>Revaluation Reserves</t>
  </si>
  <si>
    <t>Treasury Stock</t>
  </si>
  <si>
    <t>Total Shareholders' Equity</t>
  </si>
  <si>
    <t>Total Shareholders' Equity / Total Assets</t>
  </si>
  <si>
    <t>Accumulated Minority Interest</t>
  </si>
  <si>
    <t>Liabilities &amp; Shareholders' Equity</t>
  </si>
  <si>
    <t>Net Income before Extraordinaries</t>
  </si>
  <si>
    <t>Depreciation, Depletion &amp; Amortization</t>
  </si>
  <si>
    <t>Depreciation and Depletion</t>
  </si>
  <si>
    <t>Amortization of Intangible Assets</t>
  </si>
  <si>
    <t>Deferred Taxes &amp; Investment Tax Credit</t>
  </si>
  <si>
    <t>Investment Tax Credit</t>
  </si>
  <si>
    <t>Other Funds</t>
  </si>
  <si>
    <t>Funds from Operations</t>
  </si>
  <si>
    <t>Extraordinaries</t>
  </si>
  <si>
    <t>Changes in Working Capital</t>
  </si>
  <si>
    <t>Receivables</t>
  </si>
  <si>
    <t>Other Assets/Liabilities</t>
  </si>
  <si>
    <t>Net Operating Cash Flow Growth</t>
  </si>
  <si>
    <t>Net Operating Cash Flow / Sales</t>
  </si>
  <si>
    <t>Capital Expenditures</t>
  </si>
  <si>
    <t>Capital Expenditures Growth</t>
  </si>
  <si>
    <t>Capital Expenditures / Sales</t>
  </si>
  <si>
    <t>Capital Expenditures (Fixed Assets)</t>
  </si>
  <si>
    <t>Capital Expenditures (Other Assets)</t>
  </si>
  <si>
    <t>Net Assets from Acquisitions</t>
  </si>
  <si>
    <t>Sale of Fixed Assets &amp; Businesses</t>
  </si>
  <si>
    <t>Purchase/Sale of Investments</t>
  </si>
  <si>
    <t>Purchase of Investments</t>
  </si>
  <si>
    <t>Sale/Maturity of Investments</t>
  </si>
  <si>
    <t>Other Uses</t>
  </si>
  <si>
    <t>Other Sources</t>
  </si>
  <si>
    <t>Net Investing Cash Flow Growth</t>
  </si>
  <si>
    <t>Net Investing Cash Flow / Sales</t>
  </si>
  <si>
    <t>Common Dividends</t>
  </si>
  <si>
    <t>Change in Capital Stock</t>
  </si>
  <si>
    <t>Sale of Common &amp; Preferred Stock</t>
  </si>
  <si>
    <t>Proceeds from Stock Options</t>
  </si>
  <si>
    <t>Other Proceeds from Sale of Stock</t>
  </si>
  <si>
    <t>Issuance/Reduction of Debt, Net</t>
  </si>
  <si>
    <t>Change in Current Debt</t>
  </si>
  <si>
    <t>Change in Long-Term Debt</t>
  </si>
  <si>
    <t>Issuance of Long-Term Debt</t>
  </si>
  <si>
    <t>Reduction in Long-Term Debt</t>
  </si>
  <si>
    <t>Net Financing Cash Flow Growth</t>
  </si>
  <si>
    <t>Net Financing Cash Flow / Sales</t>
  </si>
  <si>
    <t>Exchange Rate Effect</t>
  </si>
  <si>
    <t>Miscellaneous Funds</t>
  </si>
  <si>
    <t>Net Change in Cash</t>
  </si>
  <si>
    <t>Free Cash Flow Growth</t>
  </si>
  <si>
    <t>Free Cash Flow Yield</t>
  </si>
  <si>
    <t>History</t>
  </si>
  <si>
    <t>Forecast</t>
  </si>
  <si>
    <t>Model DCF</t>
  </si>
  <si>
    <t>Effective Tax Rate</t>
  </si>
  <si>
    <t>Total PFCFF</t>
  </si>
  <si>
    <t>Gross Income Margin</t>
  </si>
  <si>
    <t>Debt Capitalization</t>
  </si>
  <si>
    <t>Total PFCFE</t>
  </si>
  <si>
    <t>Gross-Net Income Rate</t>
  </si>
  <si>
    <t>Cost of Debt</t>
  </si>
  <si>
    <t>OCF-NI Rate</t>
  </si>
  <si>
    <t>Target Return</t>
  </si>
  <si>
    <t>Cash</t>
  </si>
  <si>
    <t>Debt Repayment Rate</t>
  </si>
  <si>
    <t>Debt : Equity</t>
  </si>
  <si>
    <t>Equity Value</t>
  </si>
  <si>
    <t>Interest Expense %</t>
  </si>
  <si>
    <t>Unlevered Beta</t>
  </si>
  <si>
    <t>Capex Rate</t>
  </si>
  <si>
    <t>Terminal Growth</t>
  </si>
  <si>
    <t>FCFF Intrinsic Value</t>
  </si>
  <si>
    <t>FCFF Terminal Multiple</t>
  </si>
  <si>
    <t>FCFE Intrinsic Value</t>
  </si>
  <si>
    <t>Risk Free Rate</t>
  </si>
  <si>
    <t>FCFE Terminal Multiple</t>
  </si>
  <si>
    <t>Margin of Safety</t>
  </si>
  <si>
    <t>Net Debt</t>
  </si>
  <si>
    <t>FCFF Buy Price</t>
  </si>
  <si>
    <t>Risk Premium</t>
  </si>
  <si>
    <t>FCFE Buy Price</t>
  </si>
  <si>
    <t>Cost of Equity</t>
  </si>
  <si>
    <t>Net Debt : Equity</t>
  </si>
  <si>
    <t>Interest Rate</t>
  </si>
  <si>
    <t>Trailing P/E</t>
  </si>
  <si>
    <t>Cost of Capital</t>
  </si>
  <si>
    <t>Forward P/E</t>
  </si>
  <si>
    <t>FCFF Discount Rate</t>
  </si>
  <si>
    <t>Y5 Price</t>
  </si>
  <si>
    <t>FCFE Discount Rate</t>
  </si>
  <si>
    <t>Y5 Price CAGR</t>
  </si>
  <si>
    <t>Odds</t>
  </si>
  <si>
    <t>Sales_Growth</t>
  </si>
  <si>
    <t>Net Income Margin</t>
  </si>
  <si>
    <t>Net Borrowing</t>
  </si>
  <si>
    <t>Interest Expense Rate</t>
  </si>
  <si>
    <t>Capex</t>
  </si>
  <si>
    <t>Capex:Sales Rate</t>
  </si>
  <si>
    <t>Shares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</si>
</sst>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000_-;\-* #,##0.000_-;_-* &quot;-&quot;??_-;_-@_-"/>
    <numFmt numFmtId="165" formatCode="0.000"/>
    <numFmt numFmtId="166" formatCode="0.0"/>
    <numFmt numFmtId="167" formatCode="#,##0.00_ ;\-#,##0.00\ "/>
    <numFmt numFmtId="168" formatCode="0.000%"/>
  </numFmts>
  <fonts count="5"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i/>
      <sz val="11"/>
      <color theme="0" tint="-0.499984740745262"/>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bgColor indexed="64"/>
      </patternFill>
    </fill>
    <fill>
      <patternFill patternType="solid">
        <fgColor theme="2" tint="-9.9978637043366805E-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1">
    <xf numFmtId="0" fontId="0" fillId="0" borderId="0" xfId="0"/>
    <xf numFmtId="22" fontId="0" fillId="0" borderId="0" xfId="0" applyNumberFormat="1"/>
    <xf numFmtId="10" fontId="0" fillId="0" borderId="0" xfId="0" applyNumberFormat="1"/>
    <xf numFmtId="11" fontId="0" fillId="0" borderId="0" xfId="0" applyNumberFormat="1"/>
    <xf numFmtId="10" fontId="0" fillId="0" borderId="0" xfId="2" applyNumberFormat="1" applyFont="1"/>
    <xf numFmtId="10" fontId="0" fillId="2" borderId="0" xfId="2" applyNumberFormat="1" applyFont="1" applyFill="1"/>
    <xf numFmtId="10" fontId="3" fillId="0" borderId="0" xfId="2" applyNumberFormat="1" applyFont="1"/>
    <xf numFmtId="9" fontId="0" fillId="0" borderId="0" xfId="2" applyFont="1"/>
    <xf numFmtId="4" fontId="0" fillId="0" borderId="0" xfId="0" applyNumberFormat="1"/>
    <xf numFmtId="43" fontId="0" fillId="0" borderId="0" xfId="0" applyNumberFormat="1"/>
    <xf numFmtId="164" fontId="0" fillId="0" borderId="0" xfId="1" applyNumberFormat="1" applyFont="1"/>
    <xf numFmtId="165" fontId="0" fillId="0" borderId="0" xfId="0" applyNumberFormat="1"/>
    <xf numFmtId="0" fontId="2" fillId="3" borderId="0" xfId="0" applyFont="1" applyFill="1"/>
    <xf numFmtId="2" fontId="2" fillId="4" borderId="0" xfId="0" applyNumberFormat="1" applyFont="1" applyFill="1"/>
    <xf numFmtId="10" fontId="0" fillId="2" borderId="0" xfId="0" applyNumberFormat="1" applyFill="1"/>
    <xf numFmtId="166" fontId="0" fillId="0" borderId="0" xfId="0" applyNumberFormat="1"/>
    <xf numFmtId="9" fontId="0" fillId="0" borderId="0" xfId="0" applyNumberFormat="1"/>
    <xf numFmtId="0" fontId="0" fillId="2" borderId="0" xfId="0" applyFill="1"/>
    <xf numFmtId="167" fontId="0" fillId="5" borderId="0" xfId="0" applyNumberFormat="1" applyFill="1"/>
    <xf numFmtId="2" fontId="0" fillId="0" borderId="0" xfId="0" applyNumberFormat="1"/>
    <xf numFmtId="0" fontId="2" fillId="6" borderId="0" xfId="0" applyFont="1" applyFill="1"/>
    <xf numFmtId="2" fontId="2" fillId="2" borderId="0" xfId="0" applyNumberFormat="1" applyFont="1" applyFill="1"/>
    <xf numFmtId="4" fontId="0" fillId="2" borderId="0" xfId="0" applyNumberFormat="1" applyFill="1"/>
    <xf numFmtId="43" fontId="0" fillId="0" borderId="0" xfId="1" applyFont="1"/>
    <xf numFmtId="0" fontId="0" fillId="7" borderId="0" xfId="0" applyFill="1" applyAlignment="1">
      <alignment wrapText="1"/>
    </xf>
    <xf numFmtId="0" fontId="0" fillId="7" borderId="0" xfId="0" applyFill="1" applyAlignment="1">
      <alignment horizontal="right" wrapText="1"/>
    </xf>
    <xf numFmtId="0" fontId="0" fillId="0" borderId="0" xfId="0" applyAlignment="1">
      <alignment wrapText="1"/>
    </xf>
    <xf numFmtId="4" fontId="0" fillId="0" borderId="0" xfId="0" applyNumberFormat="1" applyAlignment="1">
      <alignment horizontal="right"/>
    </xf>
    <xf numFmtId="10" fontId="0" fillId="0" borderId="0" xfId="2" applyNumberFormat="1" applyFont="1" applyAlignment="1">
      <alignment horizontal="right"/>
    </xf>
    <xf numFmtId="43" fontId="0" fillId="0" borderId="0" xfId="1" applyFont="1" applyAlignment="1">
      <alignment horizontal="right"/>
    </xf>
    <xf numFmtId="43" fontId="0" fillId="0" borderId="0" xfId="2" applyNumberFormat="1" applyFont="1" applyAlignment="1">
      <alignment horizontal="right"/>
    </xf>
    <xf numFmtId="168" fontId="0" fillId="0" borderId="0" xfId="2" applyNumberFormat="1" applyFont="1"/>
    <xf numFmtId="2" fontId="0" fillId="0" borderId="0" xfId="0" applyNumberFormat="1" applyAlignment="1">
      <alignment horizontal="right"/>
    </xf>
    <xf numFmtId="43" fontId="0" fillId="0" borderId="0" xfId="0" applyNumberFormat="1" applyAlignment="1">
      <alignment horizontal="right"/>
    </xf>
    <xf numFmtId="0" fontId="2" fillId="0" borderId="0" xfId="0" applyFont="1"/>
    <xf numFmtId="43" fontId="2" fillId="0" borderId="0" xfId="0" applyNumberFormat="1" applyFont="1" applyAlignment="1">
      <alignment horizontal="right"/>
    </xf>
    <xf numFmtId="43" fontId="2" fillId="0" borderId="0" xfId="0" applyNumberFormat="1" applyFont="1"/>
    <xf numFmtId="165" fontId="0" fillId="0" borderId="0" xfId="0" applyNumberFormat="1" applyAlignment="1">
      <alignment horizontal="right"/>
    </xf>
    <xf numFmtId="0" fontId="0" fillId="0" borderId="0" xfId="0" applyAlignment="1">
      <alignment horizontal="right"/>
    </xf>
    <xf numFmtId="4" fontId="2" fillId="0" borderId="0" xfId="0" applyNumberFormat="1" applyFont="1" applyAlignment="1">
      <alignment horizontal="right"/>
    </xf>
    <xf numFmtId="4" fontId="2" fillId="0" borderId="0" xfId="0" applyNumberFormat="1" applyFont="1"/>
    <xf numFmtId="10" fontId="4" fillId="0" borderId="0" xfId="0" applyNumberFormat="1" applyFont="1"/>
    <xf numFmtId="2" fontId="0" fillId="5" borderId="0" xfId="0" applyNumberFormat="1" applyFill="1"/>
    <xf numFmtId="10" fontId="2" fillId="0" borderId="0" xfId="2" applyNumberFormat="1" applyFont="1"/>
    <xf numFmtId="10" fontId="2" fillId="5" borderId="0" xfId="2" applyNumberFormat="1" applyFont="1" applyFill="1"/>
    <xf numFmtId="10" fontId="4" fillId="0" borderId="0" xfId="2" applyNumberFormat="1" applyFont="1"/>
    <xf numFmtId="4" fontId="0" fillId="0" borderId="1" xfId="0" applyNumberFormat="1" applyBorder="1"/>
    <xf numFmtId="43" fontId="4" fillId="0" borderId="0" xfId="0" applyNumberFormat="1" applyFont="1"/>
    <xf numFmtId="43" fontId="4" fillId="0" borderId="0" xfId="1" applyFont="1"/>
    <xf numFmtId="43" fontId="2" fillId="0" borderId="0" xfId="1" applyFont="1"/>
    <xf numFmtId="43" fontId="2" fillId="5" borderId="0" xfId="1" applyFont="1" applyFill="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microsoft.com/office/2017/06/relationships/rdRichValue" Target="richData/rdrichvalue.xml"/><Relationship Id="rId5" Type="http://schemas.openxmlformats.org/officeDocument/2006/relationships/externalLink" Target="externalLinks/externalLink2.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externalLink" Target="externalLinks/externalLink1.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DCF!$C$19:$M$19</c:f>
              <c:strCache>
                <c:ptCount val="11"/>
                <c:pt idx="0">
                  <c:v>2016</c:v>
                </c:pt>
                <c:pt idx="1">
                  <c:v>2017</c:v>
                </c:pt>
                <c:pt idx="2">
                  <c:v>2018</c:v>
                </c:pt>
                <c:pt idx="3">
                  <c:v>2019</c:v>
                </c:pt>
                <c:pt idx="4">
                  <c:v>2020</c:v>
                </c:pt>
                <c:pt idx="5">
                  <c:v>31-Dec-2020|30-Sep-2021</c:v>
                </c:pt>
                <c:pt idx="6">
                  <c:v>Y1</c:v>
                </c:pt>
                <c:pt idx="7">
                  <c:v>Y2</c:v>
                </c:pt>
                <c:pt idx="8">
                  <c:v>Y3</c:v>
                </c:pt>
                <c:pt idx="9">
                  <c:v>Y4</c:v>
                </c:pt>
                <c:pt idx="10">
                  <c:v>Y5</c:v>
                </c:pt>
              </c:strCache>
            </c:strRef>
          </c:cat>
          <c:val>
            <c:numRef>
              <c:f>DCF!$C$20:$M$20</c:f>
              <c:numCache>
                <c:formatCode>#,##0.00</c:formatCode>
                <c:ptCount val="11"/>
                <c:pt idx="0">
                  <c:v>2.34</c:v>
                </c:pt>
                <c:pt idx="1">
                  <c:v>2.4900000000000002</c:v>
                </c:pt>
                <c:pt idx="2">
                  <c:v>2.71</c:v>
                </c:pt>
                <c:pt idx="3">
                  <c:v>2.89</c:v>
                </c:pt>
                <c:pt idx="4">
                  <c:v>3.2</c:v>
                </c:pt>
                <c:pt idx="5">
                  <c:v>3.4021499999999998</c:v>
                </c:pt>
                <c:pt idx="6">
                  <c:v>3.6062789999999998</c:v>
                </c:pt>
                <c:pt idx="7">
                  <c:v>3.8226557400000001</c:v>
                </c:pt>
                <c:pt idx="8">
                  <c:v>4.0520150844000007</c:v>
                </c:pt>
                <c:pt idx="9">
                  <c:v>4.2951359894640007</c:v>
                </c:pt>
                <c:pt idx="10">
                  <c:v>4.5528441488318405</c:v>
                </c:pt>
              </c:numCache>
            </c:numRef>
          </c:val>
          <c:smooth val="0"/>
          <c:extLst>
            <c:ext xmlns:c16="http://schemas.microsoft.com/office/drawing/2014/chart" uri="{C3380CC4-5D6E-409C-BE32-E72D297353CC}">
              <c16:uniqueId val="{00000000-F84B-476D-9A66-6F920047F853}"/>
            </c:ext>
          </c:extLst>
        </c:ser>
        <c:ser>
          <c:idx val="0"/>
          <c:order val="1"/>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5"/>
            <c:dispRSqr val="0"/>
            <c:dispEq val="0"/>
          </c:trendline>
          <c:cat>
            <c:strRef>
              <c:f>DCF!$C$19:$M$19</c:f>
              <c:strCache>
                <c:ptCount val="11"/>
                <c:pt idx="0">
                  <c:v>2016</c:v>
                </c:pt>
                <c:pt idx="1">
                  <c:v>2017</c:v>
                </c:pt>
                <c:pt idx="2">
                  <c:v>2018</c:v>
                </c:pt>
                <c:pt idx="3">
                  <c:v>2019</c:v>
                </c:pt>
                <c:pt idx="4">
                  <c:v>2020</c:v>
                </c:pt>
                <c:pt idx="5">
                  <c:v>31-Dec-2020|30-Sep-2021</c:v>
                </c:pt>
                <c:pt idx="6">
                  <c:v>Y1</c:v>
                </c:pt>
                <c:pt idx="7">
                  <c:v>Y2</c:v>
                </c:pt>
                <c:pt idx="8">
                  <c:v>Y3</c:v>
                </c:pt>
                <c:pt idx="9">
                  <c:v>Y4</c:v>
                </c:pt>
                <c:pt idx="10">
                  <c:v>Y5</c:v>
                </c:pt>
              </c:strCache>
            </c:strRef>
          </c:cat>
          <c:val>
            <c:numRef>
              <c:f>DCF!$C$20:$H$20</c:f>
              <c:numCache>
                <c:formatCode>#,##0.00</c:formatCode>
                <c:ptCount val="6"/>
                <c:pt idx="0">
                  <c:v>2.34</c:v>
                </c:pt>
                <c:pt idx="1">
                  <c:v>2.4900000000000002</c:v>
                </c:pt>
                <c:pt idx="2">
                  <c:v>2.71</c:v>
                </c:pt>
                <c:pt idx="3">
                  <c:v>2.89</c:v>
                </c:pt>
                <c:pt idx="4">
                  <c:v>3.2</c:v>
                </c:pt>
                <c:pt idx="5">
                  <c:v>3.4021499999999998</c:v>
                </c:pt>
              </c:numCache>
            </c:numRef>
          </c:val>
          <c:smooth val="0"/>
          <c:extLst>
            <c:ext xmlns:c16="http://schemas.microsoft.com/office/drawing/2014/chart" uri="{C3380CC4-5D6E-409C-BE32-E72D297353CC}">
              <c16:uniqueId val="{00000002-F84B-476D-9A66-6F920047F853}"/>
            </c:ext>
          </c:extLst>
        </c:ser>
        <c:dLbls>
          <c:showLegendKey val="0"/>
          <c:showVal val="0"/>
          <c:showCatName val="0"/>
          <c:showSerName val="0"/>
          <c:showPercent val="0"/>
          <c:showBubbleSize val="0"/>
        </c:dLbls>
        <c:marker val="1"/>
        <c:smooth val="0"/>
        <c:axId val="913379663"/>
        <c:axId val="1056421343"/>
      </c:lineChart>
      <c:catAx>
        <c:axId val="913379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56421343"/>
        <c:crosses val="autoZero"/>
        <c:auto val="1"/>
        <c:lblAlgn val="ctr"/>
        <c:lblOffset val="10"/>
        <c:noMultiLvlLbl val="0"/>
      </c:catAx>
      <c:valAx>
        <c:axId val="10564213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37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FCFF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DCF!$C$19:$M$19</c:f>
              <c:strCache>
                <c:ptCount val="11"/>
                <c:pt idx="0">
                  <c:v>2016</c:v>
                </c:pt>
                <c:pt idx="1">
                  <c:v>2017</c:v>
                </c:pt>
                <c:pt idx="2">
                  <c:v>2018</c:v>
                </c:pt>
                <c:pt idx="3">
                  <c:v>2019</c:v>
                </c:pt>
                <c:pt idx="4">
                  <c:v>2020</c:v>
                </c:pt>
                <c:pt idx="5">
                  <c:v>31-Dec-2020|30-Sep-2021</c:v>
                </c:pt>
                <c:pt idx="6">
                  <c:v>Y1</c:v>
                </c:pt>
                <c:pt idx="7">
                  <c:v>Y2</c:v>
                </c:pt>
                <c:pt idx="8">
                  <c:v>Y3</c:v>
                </c:pt>
                <c:pt idx="9">
                  <c:v>Y4</c:v>
                </c:pt>
                <c:pt idx="10">
                  <c:v>Y5</c:v>
                </c:pt>
              </c:strCache>
            </c:strRef>
          </c:cat>
          <c:val>
            <c:numRef>
              <c:f>DCF!$C$36:$M$36</c:f>
              <c:numCache>
                <c:formatCode>_(* #,##0.00_);_(* \(#,##0.00\);_(* "-"??_);_(@_)</c:formatCode>
                <c:ptCount val="11"/>
                <c:pt idx="0">
                  <c:v>0.56733455959775214</c:v>
                </c:pt>
                <c:pt idx="1">
                  <c:v>0.40371044543034612</c:v>
                </c:pt>
                <c:pt idx="2">
                  <c:v>0.64441133984028398</c:v>
                </c:pt>
                <c:pt idx="3">
                  <c:v>0.54379662348417634</c:v>
                </c:pt>
                <c:pt idx="4">
                  <c:v>0.5523721437444542</c:v>
                </c:pt>
                <c:pt idx="5">
                  <c:v>0.77207477077787645</c:v>
                </c:pt>
                <c:pt idx="6">
                  <c:v>0.73459810373530565</c:v>
                </c:pt>
                <c:pt idx="7">
                  <c:v>0.77427467843844933</c:v>
                </c:pt>
                <c:pt idx="8">
                  <c:v>0.81635384418138612</c:v>
                </c:pt>
                <c:pt idx="9">
                  <c:v>0.86097964644371605</c:v>
                </c:pt>
                <c:pt idx="10">
                  <c:v>0.90830477398372877</c:v>
                </c:pt>
              </c:numCache>
            </c:numRef>
          </c:val>
          <c:smooth val="0"/>
          <c:extLst>
            <c:ext xmlns:c16="http://schemas.microsoft.com/office/drawing/2014/chart" uri="{C3380CC4-5D6E-409C-BE32-E72D297353CC}">
              <c16:uniqueId val="{00000000-0E7C-4A63-A81D-9EA2DA7AD079}"/>
            </c:ext>
          </c:extLst>
        </c:ser>
        <c:ser>
          <c:idx val="0"/>
          <c:order val="1"/>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5"/>
            <c:dispRSqr val="0"/>
            <c:dispEq val="0"/>
          </c:trendline>
          <c:cat>
            <c:strRef>
              <c:f>DCF!$C$19:$M$19</c:f>
              <c:strCache>
                <c:ptCount val="11"/>
                <c:pt idx="0">
                  <c:v>2016</c:v>
                </c:pt>
                <c:pt idx="1">
                  <c:v>2017</c:v>
                </c:pt>
                <c:pt idx="2">
                  <c:v>2018</c:v>
                </c:pt>
                <c:pt idx="3">
                  <c:v>2019</c:v>
                </c:pt>
                <c:pt idx="4">
                  <c:v>2020</c:v>
                </c:pt>
                <c:pt idx="5">
                  <c:v>31-Dec-2020|30-Sep-2021</c:v>
                </c:pt>
                <c:pt idx="6">
                  <c:v>Y1</c:v>
                </c:pt>
                <c:pt idx="7">
                  <c:v>Y2</c:v>
                </c:pt>
                <c:pt idx="8">
                  <c:v>Y3</c:v>
                </c:pt>
                <c:pt idx="9">
                  <c:v>Y4</c:v>
                </c:pt>
                <c:pt idx="10">
                  <c:v>Y5</c:v>
                </c:pt>
              </c:strCache>
            </c:strRef>
          </c:cat>
          <c:val>
            <c:numRef>
              <c:f>DCF!$C$36:$H$36</c:f>
              <c:numCache>
                <c:formatCode>_(* #,##0.00_);_(* \(#,##0.00\);_(* "-"??_);_(@_)</c:formatCode>
                <c:ptCount val="6"/>
                <c:pt idx="0">
                  <c:v>0.56733455959775214</c:v>
                </c:pt>
                <c:pt idx="1">
                  <c:v>0.40371044543034612</c:v>
                </c:pt>
                <c:pt idx="2">
                  <c:v>0.64441133984028398</c:v>
                </c:pt>
                <c:pt idx="3">
                  <c:v>0.54379662348417634</c:v>
                </c:pt>
                <c:pt idx="4">
                  <c:v>0.5523721437444542</c:v>
                </c:pt>
                <c:pt idx="5">
                  <c:v>0.77207477077787645</c:v>
                </c:pt>
              </c:numCache>
            </c:numRef>
          </c:val>
          <c:smooth val="0"/>
          <c:extLst>
            <c:ext xmlns:c16="http://schemas.microsoft.com/office/drawing/2014/chart" uri="{C3380CC4-5D6E-409C-BE32-E72D297353CC}">
              <c16:uniqueId val="{00000002-0E7C-4A63-A81D-9EA2DA7AD079}"/>
            </c:ext>
          </c:extLst>
        </c:ser>
        <c:dLbls>
          <c:showLegendKey val="0"/>
          <c:showVal val="0"/>
          <c:showCatName val="0"/>
          <c:showSerName val="0"/>
          <c:showPercent val="0"/>
          <c:showBubbleSize val="0"/>
        </c:dLbls>
        <c:marker val="1"/>
        <c:smooth val="0"/>
        <c:axId val="913379663"/>
        <c:axId val="1056421343"/>
      </c:lineChart>
      <c:catAx>
        <c:axId val="913379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56421343"/>
        <c:crosses val="autoZero"/>
        <c:auto val="1"/>
        <c:lblAlgn val="ctr"/>
        <c:lblOffset val="10"/>
        <c:noMultiLvlLbl val="0"/>
      </c:catAx>
      <c:valAx>
        <c:axId val="1056421343"/>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379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1057275</xdr:colOff>
      <xdr:row>1</xdr:row>
      <xdr:rowOff>19050</xdr:rowOff>
    </xdr:from>
    <xdr:to>
      <xdr:col>22</xdr:col>
      <xdr:colOff>276225</xdr:colOff>
      <xdr:row>18</xdr:row>
      <xdr:rowOff>476250</xdr:rowOff>
    </xdr:to>
    <xdr:graphicFrame macro="">
      <xdr:nvGraphicFramePr>
        <xdr:cNvPr id="2" name="Chart 1">
          <a:extLst>
            <a:ext uri="{FF2B5EF4-FFF2-40B4-BE49-F238E27FC236}">
              <a16:creationId xmlns:a16="http://schemas.microsoft.com/office/drawing/2014/main" id="{2904A60A-A785-4AF9-AC61-4306E61DC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1066800</xdr:colOff>
      <xdr:row>18</xdr:row>
      <xdr:rowOff>704850</xdr:rowOff>
    </xdr:from>
    <xdr:to>
      <xdr:col>22</xdr:col>
      <xdr:colOff>285750</xdr:colOff>
      <xdr:row>41</xdr:row>
      <xdr:rowOff>47625</xdr:rowOff>
    </xdr:to>
    <xdr:graphicFrame macro="">
      <xdr:nvGraphicFramePr>
        <xdr:cNvPr id="3" name="Chart 2">
          <a:extLst>
            <a:ext uri="{FF2B5EF4-FFF2-40B4-BE49-F238E27FC236}">
              <a16:creationId xmlns:a16="http://schemas.microsoft.com/office/drawing/2014/main" id="{01D5354B-94E5-470E-8190-742241F3C8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cf_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mydnb-my.sharepoint.com/personal/taylorf_dnb_com/Documents/Private/Investing/ESPP%20Mode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mydnb-my.sharepoint.com/personal/taylorf_dnb_com/Documents/Private/Investing/Vanguard/Vanguard%20Fund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
      <sheetName val="Financials"/>
      <sheetName val="raw_dcf_statement"/>
      <sheetName val="competitors"/>
    </sheetNames>
    <sheetDataSet>
      <sheetData sheetId="0">
        <row r="19">
          <cell r="C19">
            <v>2016</v>
          </cell>
          <cell r="D19">
            <v>2017</v>
          </cell>
          <cell r="E19">
            <v>2018</v>
          </cell>
          <cell r="F19">
            <v>2019</v>
          </cell>
          <cell r="G19">
            <v>2020</v>
          </cell>
          <cell r="H19" t="str">
            <v>31-Dec-2020|30-Sep-2021</v>
          </cell>
          <cell r="I19" t="str">
            <v>Y1</v>
          </cell>
          <cell r="J19" t="str">
            <v>Y2</v>
          </cell>
          <cell r="K19" t="str">
            <v>Y3</v>
          </cell>
          <cell r="L19" t="str">
            <v>Y4</v>
          </cell>
          <cell r="M19" t="str">
            <v>Y5</v>
          </cell>
        </row>
        <row r="20">
          <cell r="C20">
            <v>2.34</v>
          </cell>
          <cell r="D20">
            <v>2.4900000000000002</v>
          </cell>
          <cell r="E20">
            <v>2.71</v>
          </cell>
          <cell r="F20">
            <v>2.89</v>
          </cell>
          <cell r="G20">
            <v>3.2</v>
          </cell>
          <cell r="H20">
            <v>3.4021499999999998</v>
          </cell>
          <cell r="I20">
            <v>3.6062789999999998</v>
          </cell>
          <cell r="J20">
            <v>3.8226557400000001</v>
          </cell>
          <cell r="K20">
            <v>4.0520150844000007</v>
          </cell>
          <cell r="L20">
            <v>4.2951359894640007</v>
          </cell>
          <cell r="M20">
            <v>4.5528441488318405</v>
          </cell>
        </row>
        <row r="36">
          <cell r="C36">
            <v>0.56733455959775214</v>
          </cell>
          <cell r="D36">
            <v>0.40371044543034612</v>
          </cell>
          <cell r="E36">
            <v>0.64441133984028398</v>
          </cell>
          <cell r="F36">
            <v>0.54379662348417634</v>
          </cell>
          <cell r="G36">
            <v>0.5523721437444542</v>
          </cell>
          <cell r="H36">
            <v>0.77207477077787645</v>
          </cell>
          <cell r="I36">
            <v>0.73459810373530565</v>
          </cell>
          <cell r="J36">
            <v>0.77427467843844933</v>
          </cell>
          <cell r="K36">
            <v>0.81635384418138612</v>
          </cell>
          <cell r="L36">
            <v>0.86097964644371605</v>
          </cell>
          <cell r="M36">
            <v>0.90830477398372877</v>
          </cell>
        </row>
      </sheetData>
      <sheetData sheetId="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mp;B ESPP"/>
      <sheetName val="Financials"/>
    </sheetNames>
    <sheetDataSet>
      <sheetData sheetId="0">
        <row r="28">
          <cell r="A28" t="str">
            <v>M0</v>
          </cell>
        </row>
      </sheetData>
      <sheetData sheetId="1">
        <row r="32">
          <cell r="AC32">
            <v>9.4688406845027023E-2</v>
          </cell>
        </row>
        <row r="36">
          <cell r="AC36">
            <v>0.05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_prices_chg"/>
      <sheetName val="index_prices_chg (2)"/>
      <sheetName val="Bubble DCA+Lump"/>
      <sheetName val="Funds"/>
      <sheetName val="Fund Composition"/>
      <sheetName val="100_0P0000TKZO Historical Data"/>
      <sheetName val="Pricing"/>
      <sheetName val="MC Simulation"/>
      <sheetName val="VEVE Historical Data"/>
      <sheetName val="VEVE Daily Data"/>
      <sheetName val="VFEM Historical Data"/>
      <sheetName val="0P0000KSPA Historical Data"/>
      <sheetName val="VUSA Historical Data"/>
      <sheetName val="VNRT Historical Data"/>
      <sheetName val="VWRL Historical Data"/>
      <sheetName val="VEUR Historical Data"/>
      <sheetName val="VERG Historical Data"/>
      <sheetName val="VERX Historical Data"/>
      <sheetName val="100__0P0000TKZO Historical Data"/>
      <sheetName val="80_0P0000TKZO Historical Data"/>
      <sheetName val="60_0P0000TKZK Historical Data"/>
      <sheetName val="40_0P0000TKZI Historical Data"/>
      <sheetName val="20_0P0000TKZG Historical Data"/>
    </sheetNames>
    <sheetDataSet>
      <sheetData sheetId="0">
        <row r="1">
          <cell r="N1">
            <v>20000</v>
          </cell>
        </row>
        <row r="2">
          <cell r="N2">
            <v>1666.6666666666667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6">
  <rv s="0">
    <v>https://www.bing.com/financeapi/forcetrigger?t=a33knm&amp;q=10+Y+TSY+YLD+NDX&amp;form=skydnc</v>
    <v>Learn more on Bing</v>
  </rv>
  <rv s="1">
    <v>en-US</v>
    <v>a33knm</v>
    <v>268435456</v>
    <v>268435460</v>
    <v>1</v>
    <v>Powered by Refinitiv</v>
    <v>0</v>
    <v>10 Y TSY YLD NDX</v>
    <v>2</v>
    <v>3</v>
    <v>Finance</v>
    <v>4</v>
    <v>18.010000000000002</v>
    <v>10</v>
    <v>0.38</v>
    <v>2.1926999999999999E-2</v>
    <v>US</v>
    <v>18.010000000000002</v>
    <v>Index</v>
    <v>0</v>
    <v>17.27</v>
    <v>10 Y TSY YLD NDX</v>
    <v>17.39</v>
    <v>17.329999999999998</v>
    <v>17.71</v>
    <v>TNX</v>
    <v>10 Y TSY YLD NDX</v>
  </rv>
  <rv s="2">
    <v>1</v>
  </rv>
  <rv s="0">
    <v>https://www.bing.com/financeapi/forcetrigger?t=a1n7yc&amp;q=XNAS%3aAKAM&amp;form=skydnc</v>
    <v>Learn more on Bing</v>
  </rv>
  <rv s="3">
    <v>en-US</v>
    <v>a1n7yc</v>
    <v>268435456</v>
    <v>268435457</v>
    <v>1</v>
    <v>Powered by Refinitiv</v>
    <v>5</v>
    <v>AKAMAI TECHNOLOGIES, INC. (XNAS:AKAM)</v>
    <v>6</v>
    <v>7</v>
    <v>Finance</v>
    <v>8</v>
    <v>124.91</v>
    <v>92.64</v>
    <v>0.55449999999999999</v>
    <v>-1.34</v>
    <v>3.1933999999999997E-2</v>
    <v>-1.1977E-2</v>
    <v>3.53</v>
    <v>USD</v>
    <v>Akamai Technologies, Inc. provides solutions for protecting and delivering content and business applications over the Internet. The Company is providing cloud services for delivering, optimizing and securing content and business applications over the Internet. The Company's products include Kona Site Defender, Bot Manager, Enterprise Application Access, Image &amp; Video Manager, Edge DNS, Enterprise Threat Protector, Identity Cloud, Web Application Protector, Page Integrity Manager, Akamai MFA, Account Protector, Cloud Wrapper, DataStream, EdgeKV and Global Traffic Management. The Company's solutions include the Security Technology Group and the Edge Technology Group. The Security Technology Group includes solutions that are designed to protect business online by keeping infrastructure, Websites, applications and users safe. The Edge Technology Group includes solutions that are designed to enable business online, including media delivery, Web performance and edge computing solutions.</v>
    <v>8368</v>
    <v>Nasdaq Stock Market</v>
    <v>XNAS</v>
    <v>XNAS</v>
    <v>145 Broadway, CAMBRIDGE, MA, 02142 US</v>
    <v>112.37</v>
    <v>Software &amp; IT Services</v>
    <v>Stock</v>
    <v>44568.940597685156</v>
    <v>3</v>
    <v>110.43</v>
    <v>17960530000</v>
    <v>AKAMAI TECHNOLOGIES, INC.</v>
    <v>AKAMAI TECHNOLOGIES, INC.</v>
    <v>112.21</v>
    <v>30.735099999999999</v>
    <v>111.88</v>
    <v>110.54</v>
    <v>114.07</v>
    <v>162479900</v>
    <v>AKAM</v>
    <v>AKAMAI TECHNOLOGIES, INC. (XNAS:AKAM)</v>
    <v>1320170</v>
    <v>1157273</v>
    <v>1998</v>
  </rv>
  <rv s="2">
    <v>4</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
    <k n="%cvi" t="r"/>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7">
      <v t="s">%EntityServiceId</v>
      <v t="s">_Format</v>
      <v t="s">%EntitySubDomainId</v>
      <v t="s">%EntityCulture</v>
      <v t="s">%IsRefreshable</v>
      <v t="s">%EntityId</v>
      <v t="s">_Icon</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spbArrays>
  <spbData count="9">
    <spb s="0">
      <v>0</v>
    </spb>
    <spb s="1">
      <v>0</v>
      <v>0</v>
      <v>0</v>
    </spb>
    <spb s="2">
      <v>1</v>
      <v>1</v>
    </spb>
    <spb s="3">
      <v>1</v>
      <v>1</v>
      <v>2</v>
      <v>1</v>
      <v>1</v>
      <v>1</v>
      <v>3</v>
      <v>1</v>
      <v>1</v>
      <v>1</v>
      <v>4</v>
      <v>5</v>
      <v>5</v>
    </spb>
    <spb s="4">
      <v>from previous close</v>
      <v>from previous close</v>
    </spb>
    <spb s="0">
      <v>1</v>
    </spb>
    <spb s="5">
      <v>1</v>
      <v>1</v>
      <v>1</v>
    </spb>
    <spb s="6">
      <v>1</v>
      <v>6</v>
      <v>6</v>
      <v>1</v>
      <v>2</v>
      <v>1</v>
      <v>1</v>
      <v>1</v>
      <v>7</v>
      <v>7</v>
      <v>3</v>
      <v>8</v>
      <v>1</v>
      <v>1</v>
      <v>1</v>
      <v>7</v>
      <v>4</v>
      <v>9</v>
      <v>5</v>
      <v>10</v>
      <v>5</v>
      <v>7</v>
      <v>1</v>
      <v>1</v>
      <v>3</v>
    </spb>
    <spb s="7">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8">
  <s>
    <k n="^Order" t="spba"/>
  </s>
  <s>
    <k n="ShowInCardView" t="b"/>
    <k n="ShowInDotNotation" t="b"/>
    <k n="ShowInAutoComplete" t="b"/>
  </s>
  <s>
    <k n="UniqueName" t="spb"/>
    <k n="%ProviderInfo" t="spb"/>
  </s>
  <s>
    <k n="Low" t="i"/>
    <k n="High" t="i"/>
    <k n="Name" t="i"/>
    <k n="Open" t="i"/>
    <k n="Price" t="i"/>
    <k n="Change" t="i"/>
    <k n="Change (%)" t="i"/>
    <k n="52 week low" t="i"/>
    <k n="52 week high" t="i"/>
    <k n="Previous close" t="i"/>
    <k n="_DisplayString" t="i"/>
    <k n="%EntityServiceId" t="i"/>
    <k n="%EntitySubDomainId" t="i"/>
  </s>
  <s>
    <k n="Change" t="s"/>
    <k n="Change (%)"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70" formatCode="_([$$-409]* #,##0.00_);_([$$-409]* \(#,##0.00\);_([$$-409]* &quot;-&quot;??_);_(@_)"/>
    </x:dxf>
    <x:dxf>
      <x:numFmt numFmtId="14" formatCode="0.00%"/>
    </x:dxf>
    <x:dxf>
      <x:numFmt numFmtId="2" formatCode="0.00"/>
    </x:dxf>
    <x:dxf>
      <x:numFmt numFmtId="4" formatCode="#,##0.00"/>
    </x:dxf>
    <x:dxf>
      <x:numFmt numFmtId="3" formatCode="#,##0"/>
    </x:dxf>
    <x:dxf>
      <x:numFmt numFmtId="169" formatCode="_([$$-409]* #,##0_);_([$$-409]* \(#,##0\);_([$$-409]* &quot;-&quot;_);_(@_)"/>
    </x:dxf>
    <x:dxf>
      <x:numFmt numFmtId="27" formatCode="dd/mm/yyyy\ hh:mm"/>
    </x:dxf>
    <x:dxf>
      <x:numFmt numFmtId="1" formatCode="0"/>
    </x:dxf>
  </dxfs>
  <richProperties>
    <rPr n="IsTitleField" t="b"/>
    <rPr n="ShouldShowInCell" t="b"/>
  </richProperties>
  <richStyles>
    <rSty dxfid="0"/>
    <rSty>
      <rpv i="0">1</rpv>
    </rSty>
    <rSty dxfid="1"/>
    <rSty>
      <rpv i="1">1</rpv>
    </rSty>
    <rSty dxfid="2"/>
    <rSty dxfid="3"/>
    <rSty dxfid="4"/>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16162-CC6C-4FFE-8E70-4786E65ED95C}">
  <dimension ref="A1:O96"/>
  <sheetViews>
    <sheetView tabSelected="1" zoomScaleNormal="100" workbookViewId="0">
      <selection activeCell="J13" sqref="J13"/>
    </sheetView>
  </sheetViews>
  <sheetFormatPr defaultRowHeight="15" x14ac:dyDescent="0.25"/>
  <cols>
    <col min="1" max="1" width="12.28515625" customWidth="1"/>
    <col min="2" max="2" width="25.7109375" bestFit="1" customWidth="1"/>
    <col min="3" max="3" width="10.140625" bestFit="1" customWidth="1"/>
    <col min="6" max="6" width="18.85546875" customWidth="1"/>
    <col min="7" max="7" width="16.5703125" customWidth="1"/>
    <col min="8" max="8" width="11.85546875" customWidth="1"/>
    <col min="10" max="10" width="18.7109375" customWidth="1"/>
    <col min="15" max="15" width="16.28515625" bestFit="1" customWidth="1"/>
  </cols>
  <sheetData>
    <row r="1" spans="2:12" x14ac:dyDescent="0.25">
      <c r="C1" t="s">
        <v>281</v>
      </c>
      <c r="D1" t="s">
        <v>282</v>
      </c>
      <c r="E1" t="s">
        <v>283</v>
      </c>
    </row>
    <row r="2" spans="2:12" x14ac:dyDescent="0.25">
      <c r="B2" t="s">
        <v>106</v>
      </c>
      <c r="C2" s="4">
        <f>AVERAGE(D21:H21)</f>
        <v>7.7862990589996794E-2</v>
      </c>
      <c r="D2" s="5">
        <v>0.06</v>
      </c>
      <c r="E2" s="6">
        <f>raw_dcf_statement!H6/100</f>
        <v>7.1900000000000006E-2</v>
      </c>
      <c r="F2" t="s">
        <v>284</v>
      </c>
      <c r="G2" s="7">
        <f>Financials!G89/Financials!G86</f>
        <v>7.0570837030464351E-2</v>
      </c>
      <c r="J2" t="s">
        <v>285</v>
      </c>
      <c r="K2" s="8">
        <f>SUM(I42:N42)</f>
        <v>25.605287323541653</v>
      </c>
    </row>
    <row r="3" spans="2:12" x14ac:dyDescent="0.25">
      <c r="B3" t="s">
        <v>286</v>
      </c>
      <c r="C3" s="4">
        <f>AVERAGE(C23:H23)</f>
        <v>0.6085984434885926</v>
      </c>
      <c r="D3" s="5">
        <v>0.59</v>
      </c>
      <c r="E3" s="6">
        <f>raw_dcf_statement!H8/100</f>
        <v>0.61039999999999994</v>
      </c>
      <c r="F3" t="s">
        <v>287</v>
      </c>
      <c r="G3" s="4">
        <f>Financials!G41/Financials!G47</f>
        <v>0.13950313547587842</v>
      </c>
      <c r="J3" t="s">
        <v>288</v>
      </c>
      <c r="K3" s="8">
        <f>SUM(I43:N43)</f>
        <v>20.899394076843535</v>
      </c>
    </row>
    <row r="4" spans="2:12" x14ac:dyDescent="0.25">
      <c r="B4" t="s">
        <v>289</v>
      </c>
      <c r="C4" s="4">
        <f>AVERAGE(C25:H25)</f>
        <v>0.23342771510400431</v>
      </c>
      <c r="D4" s="5">
        <v>0.28000000000000003</v>
      </c>
      <c r="E4" s="6">
        <f>raw_dcf_statement!H10/100</f>
        <v>0.2384</v>
      </c>
      <c r="F4" t="s">
        <v>290</v>
      </c>
      <c r="G4" s="2">
        <f>C14*(1-G2)</f>
        <v>2.4744317454431477E-2</v>
      </c>
      <c r="J4" t="s">
        <v>90</v>
      </c>
      <c r="K4" s="8">
        <f>Financials!G41</f>
        <v>2.84456</v>
      </c>
    </row>
    <row r="5" spans="2:12" x14ac:dyDescent="0.25">
      <c r="B5" t="s">
        <v>291</v>
      </c>
      <c r="C5" s="4">
        <f>AVERAGE(C28:H28)</f>
        <v>2.7155797731399969</v>
      </c>
      <c r="D5" s="5">
        <v>2.16</v>
      </c>
      <c r="E5" s="6">
        <f>raw_dcf_statement!H13/100</f>
        <v>2.4788999999999999</v>
      </c>
      <c r="F5" t="s">
        <v>292</v>
      </c>
      <c r="G5" s="2">
        <v>0.08</v>
      </c>
      <c r="J5" t="s">
        <v>293</v>
      </c>
      <c r="K5" s="8">
        <f>Financials!G122</f>
        <v>1.92</v>
      </c>
    </row>
    <row r="6" spans="2:12" x14ac:dyDescent="0.25">
      <c r="B6" t="s">
        <v>294</v>
      </c>
      <c r="C6" s="4">
        <f>AVERAGE(C31:H31)</f>
        <v>-0.21896566858004052</v>
      </c>
      <c r="D6" s="5">
        <v>5.0000000000000001E-3</v>
      </c>
      <c r="E6" s="6">
        <f>raw_dcf_statement!H16/100</f>
        <v>0</v>
      </c>
      <c r="F6" t="s">
        <v>295</v>
      </c>
      <c r="G6" s="2">
        <f>Financials!G26</f>
        <v>0.62</v>
      </c>
      <c r="J6" t="s">
        <v>296</v>
      </c>
      <c r="K6" s="8">
        <f>K2+K5-K4</f>
        <v>24.680727323541653</v>
      </c>
      <c r="L6" s="9"/>
    </row>
    <row r="7" spans="2:12" x14ac:dyDescent="0.25">
      <c r="B7" t="s">
        <v>297</v>
      </c>
      <c r="C7" s="4">
        <f>AVERAGE(C33:H33)</f>
        <v>2.5617613506493928E-2</v>
      </c>
      <c r="D7" s="5">
        <v>2.5600000000000001E-2</v>
      </c>
      <c r="E7" s="6">
        <f>raw_dcf_statement!H18/100</f>
        <v>2.5600000000000001E-2</v>
      </c>
      <c r="F7" t="s">
        <v>298</v>
      </c>
      <c r="G7" s="10">
        <f>C11/(1+((1-G2)*G6))</f>
        <v>0.34258610155803182</v>
      </c>
      <c r="J7" t="s">
        <v>38</v>
      </c>
      <c r="K7" s="11">
        <f>N38</f>
        <v>0.16632</v>
      </c>
    </row>
    <row r="8" spans="2:12" x14ac:dyDescent="0.25">
      <c r="B8" t="s">
        <v>299</v>
      </c>
      <c r="C8" s="4">
        <f>AVERAGE(C35:H35)</f>
        <v>0.1753171974457122</v>
      </c>
      <c r="D8" s="5">
        <v>0.17190000000000003</v>
      </c>
      <c r="E8" s="6">
        <f>raw_dcf_statement!H20/100</f>
        <v>0.17190000000000003</v>
      </c>
      <c r="F8" t="s">
        <v>300</v>
      </c>
      <c r="G8" s="5">
        <v>1.4999999999999999E-2</v>
      </c>
      <c r="J8" s="12" t="s">
        <v>301</v>
      </c>
      <c r="K8" s="13">
        <f>K6/K7</f>
        <v>148.39302142581562</v>
      </c>
      <c r="L8" s="9"/>
    </row>
    <row r="9" spans="2:12" x14ac:dyDescent="0.25">
      <c r="B9" t="s">
        <v>97</v>
      </c>
      <c r="C9" s="2">
        <f>AVERAGE(D39:H39)</f>
        <v>-1.1399640711851289E-2</v>
      </c>
      <c r="D9" s="14">
        <v>0</v>
      </c>
      <c r="F9" t="s">
        <v>302</v>
      </c>
      <c r="G9" s="15">
        <f>1/(discount_fcff-$G$8)</f>
        <v>30.641481084982779</v>
      </c>
      <c r="J9" s="12" t="s">
        <v>303</v>
      </c>
      <c r="K9" s="13">
        <f>K3/K7</f>
        <v>125.6577325447543</v>
      </c>
    </row>
    <row r="10" spans="2:12" x14ac:dyDescent="0.25">
      <c r="B10" t="s">
        <v>304</v>
      </c>
      <c r="C10" t="e" vm="1">
        <v>#VALUE!</v>
      </c>
      <c r="D10" s="5">
        <f>_FV(C10,"Price")/1000</f>
        <v>1.771E-2</v>
      </c>
      <c r="F10" t="s">
        <v>305</v>
      </c>
      <c r="G10" s="15">
        <f>1/(discount_fcfe-$G$8)</f>
        <v>27.512889788866079</v>
      </c>
      <c r="J10" t="s">
        <v>306</v>
      </c>
      <c r="K10" s="16">
        <v>0.25</v>
      </c>
    </row>
    <row r="11" spans="2:12" x14ac:dyDescent="0.25">
      <c r="B11" t="s">
        <v>46</v>
      </c>
      <c r="C11" s="17">
        <f>raw_dcf_statement!H37</f>
        <v>0.54</v>
      </c>
      <c r="D11" s="18">
        <f>_FV(J13,"Beta")</f>
        <v>0.55449999999999999</v>
      </c>
      <c r="F11" t="s">
        <v>307</v>
      </c>
      <c r="G11" s="19">
        <f>K4-K5</f>
        <v>0.92456000000000005</v>
      </c>
      <c r="J11" s="20" t="s">
        <v>308</v>
      </c>
      <c r="K11" s="21">
        <f>(1-K10)*K8</f>
        <v>111.29476606936171</v>
      </c>
    </row>
    <row r="12" spans="2:12" x14ac:dyDescent="0.25">
      <c r="B12" t="s">
        <v>309</v>
      </c>
      <c r="C12" s="4">
        <f>G5-D10</f>
        <v>6.2289999999999998E-2</v>
      </c>
      <c r="F12" t="s">
        <v>89</v>
      </c>
      <c r="G12" s="19">
        <f>Financials!G196</f>
        <v>4.58</v>
      </c>
      <c r="J12" s="20" t="s">
        <v>310</v>
      </c>
      <c r="K12" s="21">
        <f>(1-K10)*K9</f>
        <v>94.243299408565719</v>
      </c>
    </row>
    <row r="13" spans="2:12" x14ac:dyDescent="0.25">
      <c r="B13" t="s">
        <v>311</v>
      </c>
      <c r="C13" s="4">
        <f>D10+(C11*C12)</f>
        <v>5.1346600000000006E-2</v>
      </c>
      <c r="F13" t="s">
        <v>312</v>
      </c>
      <c r="G13" s="4">
        <f>G11/G12</f>
        <v>0.20186899563318778</v>
      </c>
      <c r="J13" t="e" vm="2">
        <v>#VALUE!</v>
      </c>
      <c r="K13" s="8">
        <f>_FV(J13,"Price")</f>
        <v>110.54</v>
      </c>
    </row>
    <row r="14" spans="2:12" x14ac:dyDescent="0.25">
      <c r="B14" t="s">
        <v>313</v>
      </c>
      <c r="C14" s="4">
        <f>IFERROR(Financials!G82/Financials!G169,0)</f>
        <v>2.6623134328358205E-2</v>
      </c>
      <c r="J14" t="s">
        <v>314</v>
      </c>
      <c r="K14" s="8">
        <f>_FV(J13,"P/E",TRUE)</f>
        <v>30.735099999999999</v>
      </c>
    </row>
    <row r="15" spans="2:12" x14ac:dyDescent="0.25">
      <c r="B15" t="s">
        <v>315</v>
      </c>
      <c r="C15" s="4">
        <f>(G3*G4)+((1-G3)*C13)</f>
        <v>4.7635498174077966E-2</v>
      </c>
      <c r="J15" t="s">
        <v>316</v>
      </c>
      <c r="K15" s="22">
        <f>K14</f>
        <v>30.735099999999999</v>
      </c>
    </row>
    <row r="16" spans="2:12" x14ac:dyDescent="0.25">
      <c r="B16" t="s">
        <v>317</v>
      </c>
      <c r="C16" s="5">
        <f>C15</f>
        <v>4.7635498174077966E-2</v>
      </c>
      <c r="J16" t="s">
        <v>318</v>
      </c>
      <c r="K16" s="19">
        <f>K15*M44</f>
        <v>138.98981635903922</v>
      </c>
    </row>
    <row r="17" spans="2:15" x14ac:dyDescent="0.25">
      <c r="B17" t="s">
        <v>319</v>
      </c>
      <c r="C17" s="5">
        <f>C13</f>
        <v>5.1346600000000006E-2</v>
      </c>
      <c r="J17" t="s">
        <v>320</v>
      </c>
      <c r="K17" s="4">
        <f>(K16/K13)^(1/5)-1</f>
        <v>4.6869878758894368E-2</v>
      </c>
    </row>
    <row r="18" spans="2:15" x14ac:dyDescent="0.25">
      <c r="J18" t="s">
        <v>321</v>
      </c>
      <c r="K18" s="23">
        <f>1+(K16/K13-1)</f>
        <v>1.2573712353812123</v>
      </c>
    </row>
    <row r="19" spans="2:15" s="26" customFormat="1" ht="57.75" customHeight="1" x14ac:dyDescent="0.25">
      <c r="B19" s="24"/>
      <c r="C19" s="25">
        <f>Financials!B1</f>
        <v>2016</v>
      </c>
      <c r="D19" s="25">
        <f>Financials!C1</f>
        <v>2017</v>
      </c>
      <c r="E19" s="25">
        <f>Financials!D1</f>
        <v>2018</v>
      </c>
      <c r="F19" s="25">
        <f>Financials!E1</f>
        <v>2019</v>
      </c>
      <c r="G19" s="25">
        <f>Financials!F1</f>
        <v>2020</v>
      </c>
      <c r="H19" s="25" t="str">
        <f>Financials!G1</f>
        <v>31-Dec-2020|30-Sep-2021</v>
      </c>
      <c r="I19" s="25" t="s">
        <v>1</v>
      </c>
      <c r="J19" s="25" t="s">
        <v>2</v>
      </c>
      <c r="K19" s="25" t="s">
        <v>3</v>
      </c>
      <c r="L19" s="25" t="s">
        <v>4</v>
      </c>
      <c r="M19" s="25" t="s">
        <v>5</v>
      </c>
      <c r="N19" s="24" t="s">
        <v>6</v>
      </c>
    </row>
    <row r="20" spans="2:15" x14ac:dyDescent="0.25">
      <c r="B20" t="s">
        <v>13</v>
      </c>
      <c r="C20" s="27">
        <f>Financials!B61</f>
        <v>2.34</v>
      </c>
      <c r="D20" s="27">
        <f>Financials!C61</f>
        <v>2.4900000000000002</v>
      </c>
      <c r="E20" s="27">
        <f>Financials!D61</f>
        <v>2.71</v>
      </c>
      <c r="F20" s="27">
        <f>Financials!E61</f>
        <v>2.89</v>
      </c>
      <c r="G20" s="27">
        <f>Financials!F61</f>
        <v>3.2</v>
      </c>
      <c r="H20" s="27">
        <f>Financials!G61</f>
        <v>3.4021499999999998</v>
      </c>
      <c r="I20" s="27">
        <f>H20*(1+I21)</f>
        <v>3.6062789999999998</v>
      </c>
      <c r="J20" s="27">
        <f>I20*(1+J21)</f>
        <v>3.8226557400000001</v>
      </c>
      <c r="K20" s="27">
        <f>J20*(1+K21)</f>
        <v>4.0520150844000007</v>
      </c>
      <c r="L20" s="27">
        <f>K20*(1+L21)</f>
        <v>4.2951359894640007</v>
      </c>
      <c r="M20" s="27">
        <f>L20*(1+M21)</f>
        <v>4.5528441488318405</v>
      </c>
      <c r="N20" s="8"/>
      <c r="O20" s="23"/>
    </row>
    <row r="21" spans="2:15" x14ac:dyDescent="0.25">
      <c r="B21" t="s">
        <v>322</v>
      </c>
      <c r="C21" s="28">
        <v>0</v>
      </c>
      <c r="D21" s="28">
        <f>D20/C20-1</f>
        <v>6.4102564102564319E-2</v>
      </c>
      <c r="E21" s="28">
        <f>E20/D20-1</f>
        <v>8.8353413654618462E-2</v>
      </c>
      <c r="F21" s="28">
        <f>F20/E20-1</f>
        <v>6.6420664206642055E-2</v>
      </c>
      <c r="G21" s="28">
        <f>G20/F20-1</f>
        <v>0.10726643598615926</v>
      </c>
      <c r="H21" s="28">
        <f>H20/G20-1</f>
        <v>6.3171874999999877E-2</v>
      </c>
      <c r="I21" s="28">
        <f>sales_fcst</f>
        <v>0.06</v>
      </c>
      <c r="J21" s="28">
        <f>sales_fcst</f>
        <v>0.06</v>
      </c>
      <c r="K21" s="28">
        <f>sales_fcst</f>
        <v>0.06</v>
      </c>
      <c r="L21" s="28">
        <f>sales_fcst</f>
        <v>0.06</v>
      </c>
      <c r="M21" s="28">
        <f>sales_fcst</f>
        <v>0.06</v>
      </c>
      <c r="N21" s="4"/>
    </row>
    <row r="22" spans="2:15" x14ac:dyDescent="0.25">
      <c r="B22" t="s">
        <v>113</v>
      </c>
      <c r="C22" s="27">
        <f>Financials!B69</f>
        <v>1.44</v>
      </c>
      <c r="D22" s="27">
        <f>Financials!C69</f>
        <v>1.51</v>
      </c>
      <c r="E22" s="27">
        <f>Financials!D69</f>
        <v>1.65</v>
      </c>
      <c r="F22" s="27">
        <f>Financials!E69</f>
        <v>1.79</v>
      </c>
      <c r="G22" s="27">
        <f>Financials!F69</f>
        <v>1.94</v>
      </c>
      <c r="H22" s="27">
        <f>Financials!G69</f>
        <v>2.02529</v>
      </c>
      <c r="I22" s="27">
        <f>I20*I23</f>
        <v>2.1277046099999999</v>
      </c>
      <c r="J22" s="27">
        <f>J20*J23</f>
        <v>2.2553668866000001</v>
      </c>
      <c r="K22" s="27">
        <f>K20*K23</f>
        <v>2.3906888997960003</v>
      </c>
      <c r="L22" s="27">
        <f>L20*L23</f>
        <v>2.5341302337837601</v>
      </c>
      <c r="M22" s="27">
        <f>M20*M23</f>
        <v>2.686178047810786</v>
      </c>
      <c r="N22" s="8"/>
    </row>
    <row r="23" spans="2:15" x14ac:dyDescent="0.25">
      <c r="B23" t="s">
        <v>286</v>
      </c>
      <c r="C23" s="28">
        <f t="shared" ref="C23:H23" si="0">C22/C20</f>
        <v>0.61538461538461542</v>
      </c>
      <c r="D23" s="28">
        <f t="shared" si="0"/>
        <v>0.60642570281124497</v>
      </c>
      <c r="E23" s="28">
        <f t="shared" si="0"/>
        <v>0.60885608856088558</v>
      </c>
      <c r="F23" s="28">
        <f t="shared" si="0"/>
        <v>0.61937716262975773</v>
      </c>
      <c r="G23" s="28">
        <f t="shared" si="0"/>
        <v>0.60624999999999996</v>
      </c>
      <c r="H23" s="28">
        <f t="shared" si="0"/>
        <v>0.59529709154505239</v>
      </c>
      <c r="I23" s="28">
        <f>gross_fcst</f>
        <v>0.59</v>
      </c>
      <c r="J23" s="28">
        <f>gross_fcst</f>
        <v>0.59</v>
      </c>
      <c r="K23" s="28">
        <f>gross_fcst</f>
        <v>0.59</v>
      </c>
      <c r="L23" s="28">
        <f>gross_fcst</f>
        <v>0.59</v>
      </c>
      <c r="M23" s="28">
        <f>gross_fcst</f>
        <v>0.59</v>
      </c>
      <c r="N23" s="4"/>
    </row>
    <row r="24" spans="2:15" x14ac:dyDescent="0.25">
      <c r="B24" t="s">
        <v>85</v>
      </c>
      <c r="C24" s="27">
        <f>Financials!B99</f>
        <v>0.31613000000000002</v>
      </c>
      <c r="D24" s="27">
        <f>Financials!C99</f>
        <v>0.22277</v>
      </c>
      <c r="E24" s="27">
        <f>Financials!D99</f>
        <v>0.29837000000000002</v>
      </c>
      <c r="F24" s="27">
        <f>Financials!E99</f>
        <v>0.47804000000000002</v>
      </c>
      <c r="G24" s="27">
        <f>Financials!F99</f>
        <v>0.55705000000000005</v>
      </c>
      <c r="H24" s="27">
        <f>Financials!G99</f>
        <v>0.60448999999999997</v>
      </c>
      <c r="I24" s="27">
        <f>I25*I22</f>
        <v>0.59575729080000006</v>
      </c>
      <c r="J24" s="27">
        <f>J25*J22</f>
        <v>0.63150272824800013</v>
      </c>
      <c r="K24" s="27">
        <f>K25*K22</f>
        <v>0.6693928919428801</v>
      </c>
      <c r="L24" s="27">
        <f>L25*L22</f>
        <v>0.70955646545945295</v>
      </c>
      <c r="M24" s="27">
        <f>M25*M22</f>
        <v>0.7521298533870201</v>
      </c>
      <c r="N24" s="8"/>
    </row>
    <row r="25" spans="2:15" x14ac:dyDescent="0.25">
      <c r="B25" t="s">
        <v>289</v>
      </c>
      <c r="C25" s="28">
        <f t="shared" ref="C25:H25" si="1">C24/C22</f>
        <v>0.21953472222222226</v>
      </c>
      <c r="D25" s="28">
        <f t="shared" si="1"/>
        <v>0.1475298013245033</v>
      </c>
      <c r="E25" s="28">
        <f t="shared" si="1"/>
        <v>0.18083030303030306</v>
      </c>
      <c r="F25" s="28">
        <f t="shared" si="1"/>
        <v>0.26706145251396651</v>
      </c>
      <c r="G25" s="28">
        <f t="shared" si="1"/>
        <v>0.28713917525773197</v>
      </c>
      <c r="H25" s="28">
        <f t="shared" si="1"/>
        <v>0.2984708362752988</v>
      </c>
      <c r="I25" s="28">
        <f>net_fcst</f>
        <v>0.28000000000000003</v>
      </c>
      <c r="J25" s="28">
        <f>net_fcst</f>
        <v>0.28000000000000003</v>
      </c>
      <c r="K25" s="28">
        <f>net_fcst</f>
        <v>0.28000000000000003</v>
      </c>
      <c r="L25" s="28">
        <f>net_fcst</f>
        <v>0.28000000000000003</v>
      </c>
      <c r="M25" s="28">
        <f>net_fcst</f>
        <v>0.28000000000000003</v>
      </c>
      <c r="N25" s="4"/>
    </row>
    <row r="26" spans="2:15" x14ac:dyDescent="0.25">
      <c r="B26" t="s">
        <v>323</v>
      </c>
      <c r="C26" s="28">
        <f>C24/C20</f>
        <v>0.13509829059829062</v>
      </c>
      <c r="D26" s="28">
        <f t="shared" ref="D26:M26" si="2">D24/D20</f>
        <v>8.9465863453815256E-2</v>
      </c>
      <c r="E26" s="28">
        <f t="shared" si="2"/>
        <v>0.11009963099630997</v>
      </c>
      <c r="F26" s="28">
        <f t="shared" si="2"/>
        <v>0.16541176470588234</v>
      </c>
      <c r="G26" s="28">
        <f t="shared" si="2"/>
        <v>0.174078125</v>
      </c>
      <c r="H26" s="28">
        <f t="shared" si="2"/>
        <v>0.17767882074570493</v>
      </c>
      <c r="I26" s="28">
        <f t="shared" si="2"/>
        <v>0.16520000000000001</v>
      </c>
      <c r="J26" s="28">
        <f t="shared" si="2"/>
        <v>0.16520000000000004</v>
      </c>
      <c r="K26" s="28">
        <f t="shared" si="2"/>
        <v>0.16519999999999999</v>
      </c>
      <c r="L26" s="28">
        <f t="shared" si="2"/>
        <v>0.16520000000000001</v>
      </c>
      <c r="M26" s="28">
        <f t="shared" si="2"/>
        <v>0.16520000000000001</v>
      </c>
      <c r="N26" s="4"/>
    </row>
    <row r="27" spans="2:15" x14ac:dyDescent="0.25">
      <c r="B27" t="s">
        <v>20</v>
      </c>
      <c r="C27" s="19">
        <f>Financials!B220</f>
        <v>0.86629999999999996</v>
      </c>
      <c r="D27" s="19">
        <f>Financials!C220</f>
        <v>0.80098000000000003</v>
      </c>
      <c r="E27" s="19">
        <f>Financials!D220</f>
        <v>1.01</v>
      </c>
      <c r="F27" s="19">
        <f>Financials!E220</f>
        <v>1.06</v>
      </c>
      <c r="G27" s="19">
        <f>Financials!F220</f>
        <v>1.22</v>
      </c>
      <c r="H27" s="19">
        <f>Financials!G220</f>
        <v>1.3087500000000001</v>
      </c>
      <c r="I27" s="19">
        <f>I24*I28</f>
        <v>1.2868357481280002</v>
      </c>
      <c r="J27" s="19">
        <f>J24*J28</f>
        <v>1.3640458930156805</v>
      </c>
      <c r="K27" s="19">
        <f>K24*K28</f>
        <v>1.4458886465966212</v>
      </c>
      <c r="L27" s="19">
        <f>L24*L28</f>
        <v>1.5326419653924184</v>
      </c>
      <c r="M27" s="19">
        <f>M24*M28</f>
        <v>1.6246004833159635</v>
      </c>
      <c r="N27" s="4"/>
    </row>
    <row r="28" spans="2:15" x14ac:dyDescent="0.25">
      <c r="B28" t="s">
        <v>291</v>
      </c>
      <c r="C28" s="4">
        <f t="shared" ref="C28:H28" si="3">C27/C24</f>
        <v>2.7403283459336345</v>
      </c>
      <c r="D28" s="4">
        <f t="shared" si="3"/>
        <v>3.5955469767024288</v>
      </c>
      <c r="E28" s="4">
        <f t="shared" si="3"/>
        <v>3.3850588195864195</v>
      </c>
      <c r="F28" s="4">
        <f t="shared" si="3"/>
        <v>2.217387666304075</v>
      </c>
      <c r="G28" s="4">
        <f t="shared" si="3"/>
        <v>2.190108607844897</v>
      </c>
      <c r="H28" s="4">
        <f t="shared" si="3"/>
        <v>2.1650482224685272</v>
      </c>
      <c r="I28" s="28">
        <f>DCF!ocf_fcst</f>
        <v>2.16</v>
      </c>
      <c r="J28" s="28">
        <f>DCF!ocf_fcst</f>
        <v>2.16</v>
      </c>
      <c r="K28" s="28">
        <f>DCF!ocf_fcst</f>
        <v>2.16</v>
      </c>
      <c r="L28" s="28">
        <f>DCF!ocf_fcst</f>
        <v>2.16</v>
      </c>
      <c r="M28" s="28">
        <f>DCF!ocf_fcst</f>
        <v>2.16</v>
      </c>
      <c r="N28" s="4"/>
    </row>
    <row r="29" spans="2:15" x14ac:dyDescent="0.25">
      <c r="B29" t="s">
        <v>90</v>
      </c>
      <c r="C29" s="23">
        <f>Financials!B41</f>
        <v>0.64009000000000005</v>
      </c>
      <c r="D29" s="23">
        <f>Financials!C41</f>
        <v>0.66291</v>
      </c>
      <c r="E29" s="23">
        <f>Financials!D41</f>
        <v>1.56063</v>
      </c>
      <c r="F29" s="23">
        <f>Financials!E41</f>
        <v>2.6694599999999999</v>
      </c>
      <c r="G29" s="23">
        <f>Financials!F41</f>
        <v>2.7747999999999999</v>
      </c>
      <c r="H29" s="23">
        <f>Financials!G41</f>
        <v>2.84456</v>
      </c>
      <c r="I29" s="23">
        <f>H29+I30</f>
        <v>2.8303371999999998</v>
      </c>
      <c r="J29" s="23">
        <f>I29+J30</f>
        <v>2.8161855139999998</v>
      </c>
      <c r="K29" s="23">
        <f>J29+K30</f>
        <v>2.80210458643</v>
      </c>
      <c r="L29" s="23">
        <f>K29+L30</f>
        <v>2.7880940634978502</v>
      </c>
      <c r="M29" s="23">
        <f>L29+M30</f>
        <v>2.7741535931803609</v>
      </c>
      <c r="N29" s="4"/>
    </row>
    <row r="30" spans="2:15" x14ac:dyDescent="0.25">
      <c r="B30" t="s">
        <v>324</v>
      </c>
      <c r="C30" s="29">
        <f>Financials!B246</f>
        <v>0</v>
      </c>
      <c r="D30" s="29">
        <f>Financials!C246</f>
        <v>0</v>
      </c>
      <c r="E30" s="29">
        <f>Financials!D246</f>
        <v>0.87044999999999995</v>
      </c>
      <c r="F30" s="29">
        <f>Financials!E246</f>
        <v>0.13339999999999999</v>
      </c>
      <c r="G30" s="29">
        <f>Financials!F246</f>
        <v>0</v>
      </c>
      <c r="H30" s="29">
        <f>Financials!G246</f>
        <v>0</v>
      </c>
      <c r="I30" s="30">
        <f>(I31*H29)*-1</f>
        <v>-1.4222800000000001E-2</v>
      </c>
      <c r="J30" s="30">
        <f>(J31*I29)*-1</f>
        <v>-1.4151685999999998E-2</v>
      </c>
      <c r="K30" s="30">
        <f>(K31*J29)*-1</f>
        <v>-1.4080927569999999E-2</v>
      </c>
      <c r="L30" s="30">
        <f>(L31*K29)*-1</f>
        <v>-1.401052293215E-2</v>
      </c>
      <c r="M30" s="30">
        <f>(M31*L29)*-1</f>
        <v>-1.3940470317489252E-2</v>
      </c>
      <c r="N30" s="31"/>
    </row>
    <row r="31" spans="2:15" x14ac:dyDescent="0.25">
      <c r="B31" t="s">
        <v>294</v>
      </c>
      <c r="C31" s="4">
        <f>IFERROR((C30*-1)/(C29+(C30*-1)),0)</f>
        <v>0</v>
      </c>
      <c r="D31" s="4">
        <f t="shared" ref="D31:H31" si="4">IFERROR((D30*-1)/(D29+(D30*-1)),0)</f>
        <v>0</v>
      </c>
      <c r="E31" s="4">
        <f t="shared" si="4"/>
        <v>-1.2611927323306962</v>
      </c>
      <c r="F31" s="4">
        <f t="shared" si="4"/>
        <v>-5.2601279149546931E-2</v>
      </c>
      <c r="G31" s="4">
        <f t="shared" si="4"/>
        <v>0</v>
      </c>
      <c r="H31" s="4">
        <f t="shared" si="4"/>
        <v>0</v>
      </c>
      <c r="I31" s="28">
        <f>debt_fcst</f>
        <v>5.0000000000000001E-3</v>
      </c>
      <c r="J31" s="28">
        <f>debt_fcst</f>
        <v>5.0000000000000001E-3</v>
      </c>
      <c r="K31" s="28">
        <f>debt_fcst</f>
        <v>5.0000000000000001E-3</v>
      </c>
      <c r="L31" s="28">
        <f>debt_fcst</f>
        <v>5.0000000000000001E-3</v>
      </c>
      <c r="M31" s="28">
        <f>debt_fcst</f>
        <v>5.0000000000000001E-3</v>
      </c>
      <c r="N31" s="4"/>
    </row>
    <row r="32" spans="2:15" x14ac:dyDescent="0.25">
      <c r="B32" t="s">
        <v>126</v>
      </c>
      <c r="C32" s="29">
        <f>Financials!B82</f>
        <v>1.864E-2</v>
      </c>
      <c r="D32" s="29">
        <f>Financials!C82</f>
        <v>1.8839999999999999E-2</v>
      </c>
      <c r="E32" s="29">
        <f>Financials!D82</f>
        <v>4.3200000000000002E-2</v>
      </c>
      <c r="F32" s="29">
        <f>Financials!E82</f>
        <v>4.9360000000000001E-2</v>
      </c>
      <c r="G32" s="29">
        <f>Financials!F82</f>
        <v>6.9120000000000001E-2</v>
      </c>
      <c r="H32" s="29">
        <f>Financials!G82</f>
        <v>7.1349999999999997E-2</v>
      </c>
      <c r="I32" s="29">
        <f>I33*H29</f>
        <v>7.2820735999999997E-2</v>
      </c>
      <c r="J32" s="29">
        <f>J33*I29</f>
        <v>7.2456632319999992E-2</v>
      </c>
      <c r="K32" s="29">
        <f>K33*J29</f>
        <v>7.2094349158400003E-2</v>
      </c>
      <c r="L32" s="29">
        <f>L33*K29</f>
        <v>7.1733877412608005E-2</v>
      </c>
      <c r="M32" s="29">
        <f>M33*L29</f>
        <v>7.1375208025544964E-2</v>
      </c>
      <c r="N32" s="9"/>
    </row>
    <row r="33" spans="2:15" x14ac:dyDescent="0.25">
      <c r="B33" t="s">
        <v>325</v>
      </c>
      <c r="C33" s="28">
        <f>IFERROR(C32/C29,0)</f>
        <v>2.9120904872752266E-2</v>
      </c>
      <c r="D33" s="28">
        <f t="shared" ref="D33:H33" si="5">IFERROR(D32/D29,0)</f>
        <v>2.8420147531339094E-2</v>
      </c>
      <c r="E33" s="28">
        <f t="shared" si="5"/>
        <v>2.7681128774917824E-2</v>
      </c>
      <c r="F33" s="28">
        <f t="shared" si="5"/>
        <v>1.8490631063960501E-2</v>
      </c>
      <c r="G33" s="28">
        <f t="shared" si="5"/>
        <v>2.4909903416462448E-2</v>
      </c>
      <c r="H33" s="28">
        <f t="shared" si="5"/>
        <v>2.5082965379531457E-2</v>
      </c>
      <c r="I33" s="28">
        <f>int_fcst</f>
        <v>2.5600000000000001E-2</v>
      </c>
      <c r="J33" s="28">
        <f>int_fcst</f>
        <v>2.5600000000000001E-2</v>
      </c>
      <c r="K33" s="28">
        <f>int_fcst</f>
        <v>2.5600000000000001E-2</v>
      </c>
      <c r="L33" s="28">
        <f>int_fcst</f>
        <v>2.5600000000000001E-2</v>
      </c>
      <c r="M33" s="28">
        <f>int_fcst</f>
        <v>2.5600000000000001E-2</v>
      </c>
      <c r="N33" s="9"/>
    </row>
    <row r="34" spans="2:15" x14ac:dyDescent="0.25">
      <c r="B34" t="s">
        <v>326</v>
      </c>
      <c r="C34" s="32">
        <f>Financials!B223*-1</f>
        <v>0.31629000000000002</v>
      </c>
      <c r="D34" s="32">
        <f>Financials!C223*-1</f>
        <v>0.41477999999999998</v>
      </c>
      <c r="E34" s="32">
        <f>Financials!D223*-1</f>
        <v>0.40573999999999999</v>
      </c>
      <c r="F34" s="32">
        <f>Financials!E223*-1</f>
        <v>0.56208000000000002</v>
      </c>
      <c r="G34" s="32">
        <f>Financials!F223*-1</f>
        <v>0.73187000000000002</v>
      </c>
      <c r="H34" s="32">
        <f>Financials!G223*-1</f>
        <v>0.60299000000000003</v>
      </c>
      <c r="I34" s="33">
        <f>I20*I35</f>
        <v>0.61991936010000004</v>
      </c>
      <c r="J34" s="33">
        <f>J20*J35</f>
        <v>0.65711452170600015</v>
      </c>
      <c r="K34" s="33">
        <f>K20*K35</f>
        <v>0.69654139300836027</v>
      </c>
      <c r="L34" s="33">
        <f>L20*L35</f>
        <v>0.73833387658886185</v>
      </c>
      <c r="M34" s="33">
        <f>M20*M35</f>
        <v>0.78263390918419351</v>
      </c>
      <c r="N34" s="9"/>
    </row>
    <row r="35" spans="2:15" x14ac:dyDescent="0.25">
      <c r="B35" t="s">
        <v>327</v>
      </c>
      <c r="C35" s="28">
        <f t="shared" ref="C35:H35" si="6">ABS(C34)/C20</f>
        <v>0.13516666666666668</v>
      </c>
      <c r="D35" s="28">
        <f t="shared" si="6"/>
        <v>0.16657831325301203</v>
      </c>
      <c r="E35" s="28">
        <f t="shared" si="6"/>
        <v>0.14971955719557195</v>
      </c>
      <c r="F35" s="28">
        <f t="shared" si="6"/>
        <v>0.19449134948096886</v>
      </c>
      <c r="G35" s="28">
        <f t="shared" si="6"/>
        <v>0.22870937499999999</v>
      </c>
      <c r="H35" s="28">
        <f t="shared" si="6"/>
        <v>0.17723792307805361</v>
      </c>
      <c r="I35" s="28">
        <f>capex_fcst</f>
        <v>0.17190000000000003</v>
      </c>
      <c r="J35" s="28">
        <f>capex_fcst</f>
        <v>0.17190000000000003</v>
      </c>
      <c r="K35" s="28">
        <f>capex_fcst</f>
        <v>0.17190000000000003</v>
      </c>
      <c r="L35" s="28">
        <f>capex_fcst</f>
        <v>0.17190000000000003</v>
      </c>
      <c r="M35" s="28">
        <f>capex_fcst</f>
        <v>0.17190000000000003</v>
      </c>
      <c r="N35" s="31"/>
    </row>
    <row r="36" spans="2:15" x14ac:dyDescent="0.25">
      <c r="B36" s="34" t="s">
        <v>29</v>
      </c>
      <c r="C36" s="35">
        <f t="shared" ref="C36:M36" si="7">C27+(C32*(1-$G$2))-C34</f>
        <v>0.56733455959775214</v>
      </c>
      <c r="D36" s="35">
        <f t="shared" si="7"/>
        <v>0.40371044543034612</v>
      </c>
      <c r="E36" s="35">
        <f t="shared" si="7"/>
        <v>0.64441133984028398</v>
      </c>
      <c r="F36" s="35">
        <f t="shared" si="7"/>
        <v>0.54379662348417634</v>
      </c>
      <c r="G36" s="35">
        <f t="shared" si="7"/>
        <v>0.5523721437444542</v>
      </c>
      <c r="H36" s="35">
        <f t="shared" si="7"/>
        <v>0.77207477077787645</v>
      </c>
      <c r="I36" s="35">
        <f t="shared" si="7"/>
        <v>0.73459810373530565</v>
      </c>
      <c r="J36" s="35">
        <f t="shared" si="7"/>
        <v>0.77427467843844933</v>
      </c>
      <c r="K36" s="35">
        <f t="shared" si="7"/>
        <v>0.81635384418138612</v>
      </c>
      <c r="L36" s="35">
        <f t="shared" si="7"/>
        <v>0.86097964644371605</v>
      </c>
      <c r="M36" s="35">
        <f t="shared" si="7"/>
        <v>0.90830477398372877</v>
      </c>
      <c r="N36" s="36">
        <f>M36*G9</f>
        <v>27.831803551421984</v>
      </c>
      <c r="O36" s="36"/>
    </row>
    <row r="37" spans="2:15" x14ac:dyDescent="0.25">
      <c r="B37" s="34" t="s">
        <v>30</v>
      </c>
      <c r="C37" s="35">
        <f t="shared" ref="C37:M37" si="8">C27-C34+C30</f>
        <v>0.55000999999999989</v>
      </c>
      <c r="D37" s="35">
        <f t="shared" si="8"/>
        <v>0.38620000000000004</v>
      </c>
      <c r="E37" s="35">
        <f t="shared" si="8"/>
        <v>1.47471</v>
      </c>
      <c r="F37" s="35">
        <f t="shared" si="8"/>
        <v>0.63131999999999999</v>
      </c>
      <c r="G37" s="35">
        <f t="shared" si="8"/>
        <v>0.48812999999999995</v>
      </c>
      <c r="H37" s="35">
        <f t="shared" si="8"/>
        <v>0.70576000000000005</v>
      </c>
      <c r="I37" s="35">
        <f t="shared" si="8"/>
        <v>0.65269358802800015</v>
      </c>
      <c r="J37" s="35">
        <f t="shared" si="8"/>
        <v>0.69277968530968026</v>
      </c>
      <c r="K37" s="35">
        <f t="shared" si="8"/>
        <v>0.73526632601826092</v>
      </c>
      <c r="L37" s="35">
        <f t="shared" si="8"/>
        <v>0.78029756587140653</v>
      </c>
      <c r="M37" s="35">
        <f t="shared" si="8"/>
        <v>0.82802610381428077</v>
      </c>
      <c r="N37" s="36">
        <f>M37*G10</f>
        <v>22.78139093654649</v>
      </c>
      <c r="O37" s="36"/>
    </row>
    <row r="38" spans="2:15" x14ac:dyDescent="0.25">
      <c r="B38" t="s">
        <v>97</v>
      </c>
      <c r="C38" s="37">
        <f>Financials!B114</f>
        <v>0.17621999999999999</v>
      </c>
      <c r="D38" s="37">
        <f>Financials!C114</f>
        <v>0.17271</v>
      </c>
      <c r="E38" s="37">
        <f>Financials!D114</f>
        <v>0.16919000000000001</v>
      </c>
      <c r="F38" s="37">
        <f>Financials!E114</f>
        <v>0.16456999999999999</v>
      </c>
      <c r="G38" s="37">
        <f>Financials!F114</f>
        <v>0.16521</v>
      </c>
      <c r="H38" s="37">
        <f>Financials!G114</f>
        <v>0.16632</v>
      </c>
      <c r="I38" s="37">
        <f>H38*(1+I39)</f>
        <v>0.16632</v>
      </c>
      <c r="J38" s="37">
        <f>I38*(1+J39)</f>
        <v>0.16632</v>
      </c>
      <c r="K38" s="37">
        <f>J38*(1+K39)</f>
        <v>0.16632</v>
      </c>
      <c r="L38" s="37">
        <f>K38*(1+L39)</f>
        <v>0.16632</v>
      </c>
      <c r="M38" s="37">
        <f>L38*(1+M39)</f>
        <v>0.16632</v>
      </c>
      <c r="N38" s="11">
        <f>M38</f>
        <v>0.16632</v>
      </c>
    </row>
    <row r="39" spans="2:15" x14ac:dyDescent="0.25">
      <c r="B39" t="s">
        <v>328</v>
      </c>
      <c r="C39" s="38"/>
      <c r="D39" s="28">
        <f>D38/C38-1</f>
        <v>-1.9918283963227701E-2</v>
      </c>
      <c r="E39" s="28">
        <f>E38/D38-1</f>
        <v>-2.038098546696776E-2</v>
      </c>
      <c r="F39" s="28">
        <f>F38/E38-1</f>
        <v>-2.7306578402979009E-2</v>
      </c>
      <c r="G39" s="28">
        <f>G38/F38-1</f>
        <v>3.8889226468978855E-3</v>
      </c>
      <c r="H39" s="28">
        <f>H38/G38-1</f>
        <v>6.7187216270201411E-3</v>
      </c>
      <c r="I39" s="28">
        <f>shares_fcst</f>
        <v>0</v>
      </c>
      <c r="J39" s="28">
        <f>shares_fcst</f>
        <v>0</v>
      </c>
      <c r="K39" s="28">
        <f>shares_fcst</f>
        <v>0</v>
      </c>
      <c r="L39" s="28">
        <f>shares_fcst</f>
        <v>0</v>
      </c>
      <c r="M39" s="28">
        <f>shares_fcst</f>
        <v>0</v>
      </c>
    </row>
    <row r="40" spans="2:15" x14ac:dyDescent="0.25">
      <c r="B40" t="s">
        <v>317</v>
      </c>
      <c r="C40" s="27">
        <v>1</v>
      </c>
      <c r="D40" s="27">
        <v>1</v>
      </c>
      <c r="E40" s="27">
        <v>1</v>
      </c>
      <c r="F40" s="27">
        <v>1</v>
      </c>
      <c r="G40" s="27">
        <v>1</v>
      </c>
      <c r="H40" s="27">
        <v>1</v>
      </c>
      <c r="I40" s="27">
        <f>(1+discount_fcff)^1</f>
        <v>1.0476354981740779</v>
      </c>
      <c r="J40" s="27">
        <f>(1+discount_fcff)^2</f>
        <v>1.0975401370344482</v>
      </c>
      <c r="K40" s="27">
        <f>(1+discount_fcff)^3</f>
        <v>1.1498220082281299</v>
      </c>
      <c r="L40" s="27">
        <f>(1+discount_fcff)^4</f>
        <v>1.2045943524015954</v>
      </c>
      <c r="M40" s="27">
        <f>(1+discount_fcff)^5</f>
        <v>1.2619758044759262</v>
      </c>
      <c r="N40" s="8">
        <f>M40</f>
        <v>1.2619758044759262</v>
      </c>
    </row>
    <row r="41" spans="2:15" x14ac:dyDescent="0.25">
      <c r="B41" t="s">
        <v>319</v>
      </c>
      <c r="C41" s="27">
        <v>1</v>
      </c>
      <c r="D41" s="27">
        <v>1</v>
      </c>
      <c r="E41" s="27">
        <v>1</v>
      </c>
      <c r="F41" s="27">
        <v>1</v>
      </c>
      <c r="G41" s="27">
        <v>1</v>
      </c>
      <c r="H41" s="27">
        <v>1</v>
      </c>
      <c r="I41" s="27">
        <f>(1+discount_fcfe)^1</f>
        <v>1.0513466</v>
      </c>
      <c r="J41" s="27">
        <f>(1+discount_fcfe)^2</f>
        <v>1.1053296733315601</v>
      </c>
      <c r="K41" s="27">
        <f>(1+discount_fcfe)^3</f>
        <v>1.1620845939362463</v>
      </c>
      <c r="L41" s="27">
        <f>(1+discount_fcfe)^4</f>
        <v>1.2217536867472534</v>
      </c>
      <c r="M41" s="27">
        <f>(1+discount_fcfe)^5</f>
        <v>1.28448658459919</v>
      </c>
      <c r="N41" s="8">
        <f>M41</f>
        <v>1.28448658459919</v>
      </c>
    </row>
    <row r="42" spans="2:15" x14ac:dyDescent="0.25">
      <c r="B42" s="34" t="s">
        <v>33</v>
      </c>
      <c r="C42" s="39">
        <f t="shared" ref="C42:N43" si="9">C36/C40</f>
        <v>0.56733455959775214</v>
      </c>
      <c r="D42" s="39">
        <f t="shared" si="9"/>
        <v>0.40371044543034612</v>
      </c>
      <c r="E42" s="39">
        <f t="shared" si="9"/>
        <v>0.64441133984028398</v>
      </c>
      <c r="F42" s="39">
        <f t="shared" si="9"/>
        <v>0.54379662348417634</v>
      </c>
      <c r="G42" s="39">
        <f t="shared" si="9"/>
        <v>0.5523721437444542</v>
      </c>
      <c r="H42" s="39">
        <f t="shared" si="9"/>
        <v>0.77207477077787645</v>
      </c>
      <c r="I42" s="39">
        <f t="shared" si="9"/>
        <v>0.70119627009168306</v>
      </c>
      <c r="J42" s="39">
        <f t="shared" si="9"/>
        <v>0.70546365669189859</v>
      </c>
      <c r="K42" s="39">
        <f t="shared" si="9"/>
        <v>0.70998279589323865</v>
      </c>
      <c r="L42" s="39">
        <f t="shared" si="9"/>
        <v>0.71474654079789102</v>
      </c>
      <c r="M42" s="39">
        <f t="shared" si="9"/>
        <v>0.719748168516535</v>
      </c>
      <c r="N42" s="40">
        <f t="shared" si="9"/>
        <v>22.054149891550406</v>
      </c>
    </row>
    <row r="43" spans="2:15" x14ac:dyDescent="0.25">
      <c r="B43" s="34" t="s">
        <v>34</v>
      </c>
      <c r="C43" s="39">
        <f t="shared" si="9"/>
        <v>0.55000999999999989</v>
      </c>
      <c r="D43" s="39">
        <f t="shared" si="9"/>
        <v>0.38620000000000004</v>
      </c>
      <c r="E43" s="39">
        <f t="shared" si="9"/>
        <v>1.47471</v>
      </c>
      <c r="F43" s="39">
        <f t="shared" si="9"/>
        <v>0.63131999999999999</v>
      </c>
      <c r="G43" s="39">
        <f t="shared" si="9"/>
        <v>0.48812999999999995</v>
      </c>
      <c r="H43" s="39">
        <f t="shared" si="9"/>
        <v>0.70576000000000005</v>
      </c>
      <c r="I43" s="39">
        <f t="shared" si="9"/>
        <v>0.62081675826792049</v>
      </c>
      <c r="J43" s="39">
        <f t="shared" si="9"/>
        <v>0.62676294866994919</v>
      </c>
      <c r="K43" s="39">
        <f t="shared" si="9"/>
        <v>0.63271325500301634</v>
      </c>
      <c r="L43" s="39">
        <f t="shared" si="9"/>
        <v>0.63867011357161407</v>
      </c>
      <c r="M43" s="39">
        <f t="shared" si="9"/>
        <v>0.64463585197556372</v>
      </c>
      <c r="N43" s="40">
        <f t="shared" si="9"/>
        <v>17.735795149355472</v>
      </c>
    </row>
    <row r="44" spans="2:15" x14ac:dyDescent="0.25">
      <c r="B44" t="s">
        <v>50</v>
      </c>
      <c r="C44" s="19">
        <f>C24/C38</f>
        <v>1.7939507433889459</v>
      </c>
      <c r="D44" s="19">
        <f t="shared" ref="D44:M44" si="10">D24/D38</f>
        <v>1.2898500376353423</v>
      </c>
      <c r="E44" s="19">
        <f t="shared" si="10"/>
        <v>1.7635203026183581</v>
      </c>
      <c r="F44" s="19">
        <f t="shared" si="10"/>
        <v>2.9047821595673575</v>
      </c>
      <c r="G44" s="19">
        <f t="shared" si="10"/>
        <v>3.3717692633617822</v>
      </c>
      <c r="H44" s="19">
        <f t="shared" si="10"/>
        <v>3.6344997594997595</v>
      </c>
      <c r="I44" s="19">
        <f t="shared" si="10"/>
        <v>3.5819942929292936</v>
      </c>
      <c r="J44" s="19">
        <f t="shared" si="10"/>
        <v>3.7969139505050515</v>
      </c>
      <c r="K44" s="19">
        <f t="shared" si="10"/>
        <v>4.0247287875353539</v>
      </c>
      <c r="L44" s="19">
        <f t="shared" si="10"/>
        <v>4.2662125147874761</v>
      </c>
      <c r="M44" s="19">
        <f t="shared" si="10"/>
        <v>4.5221852656747243</v>
      </c>
    </row>
    <row r="46" spans="2:15" x14ac:dyDescent="0.25">
      <c r="D46" s="34" t="s">
        <v>317</v>
      </c>
    </row>
    <row r="47" spans="2:15" x14ac:dyDescent="0.25">
      <c r="D47" s="41">
        <f>E47-0.01</f>
        <v>7.6354981740779596E-3</v>
      </c>
      <c r="E47" s="41">
        <f>F47-0.01</f>
        <v>1.763549817407796E-2</v>
      </c>
      <c r="F47" s="41">
        <f>G47-0.01</f>
        <v>2.7635498174077962E-2</v>
      </c>
      <c r="G47" s="41">
        <f>H47-0.01</f>
        <v>3.7635498174077964E-2</v>
      </c>
      <c r="H47" s="41">
        <f>discount_fcff</f>
        <v>4.7635498174077966E-2</v>
      </c>
      <c r="I47" s="41">
        <f>H47+0.01</f>
        <v>5.7635498174077968E-2</v>
      </c>
      <c r="J47" s="41">
        <f>I47+0.01</f>
        <v>6.7635498174077963E-2</v>
      </c>
      <c r="K47" s="41">
        <f>J47+0.01</f>
        <v>7.7635498174077958E-2</v>
      </c>
      <c r="L47" s="41">
        <f>K47+0.01</f>
        <v>8.7635498174077953E-2</v>
      </c>
    </row>
    <row r="48" spans="2:15" x14ac:dyDescent="0.25">
      <c r="C48" s="42">
        <f>$K$8</f>
        <v>148.39302142581562</v>
      </c>
      <c r="D48" s="43">
        <v>5.4236890662814223E-2</v>
      </c>
      <c r="E48" s="43">
        <v>6.4236890662814225E-2</v>
      </c>
      <c r="F48" s="43">
        <v>7.423689066281422E-2</v>
      </c>
      <c r="G48" s="43">
        <v>8.4236890662814215E-2</v>
      </c>
      <c r="H48" s="44">
        <v>9.423689066281421E-2</v>
      </c>
      <c r="I48" s="43">
        <v>0.10423689066281421</v>
      </c>
      <c r="J48" s="43">
        <v>0.1142368906628142</v>
      </c>
      <c r="K48" s="43">
        <v>0.1242368906628142</v>
      </c>
      <c r="L48" s="43">
        <v>0.13423689066281419</v>
      </c>
    </row>
    <row r="49" spans="1:12" x14ac:dyDescent="0.25">
      <c r="A49" s="34" t="s">
        <v>106</v>
      </c>
      <c r="B49" s="45">
        <f>B50-0.01</f>
        <v>1.999999999999999E-2</v>
      </c>
      <c r="C49" s="43">
        <v>2.8499999999999984E-2</v>
      </c>
      <c r="D49" s="8">
        <f t="dataTable" ref="D49:L57" dt2D="1" dtr="1" r1="C16" r2="D2"/>
        <v>106.74887582776918</v>
      </c>
      <c r="E49" s="8">
        <v>83.913792201290278</v>
      </c>
      <c r="F49" s="8">
        <v>68.788457683839894</v>
      </c>
      <c r="G49" s="8">
        <v>58.032307810797484</v>
      </c>
      <c r="H49" s="8">
        <v>49.9911432429748</v>
      </c>
      <c r="I49" s="8">
        <v>43.752248891623623</v>
      </c>
      <c r="J49" s="8">
        <v>38.770801095800074</v>
      </c>
      <c r="K49" s="8">
        <v>34.701476238318627</v>
      </c>
      <c r="L49" s="8">
        <v>31.314793884504816</v>
      </c>
    </row>
    <row r="50" spans="1:12" x14ac:dyDescent="0.25">
      <c r="B50" s="45">
        <f>B51-0.01</f>
        <v>2.9999999999999992E-2</v>
      </c>
      <c r="C50" s="43">
        <v>3.8499999999999986E-2</v>
      </c>
      <c r="D50" s="8">
        <v>111.48296411662264</v>
      </c>
      <c r="E50" s="8">
        <v>87.617721804952993</v>
      </c>
      <c r="F50" s="8">
        <v>71.812102714068004</v>
      </c>
      <c r="G50" s="8">
        <v>60.573860660940106</v>
      </c>
      <c r="H50" s="8">
        <v>52.173689966515568</v>
      </c>
      <c r="I50" s="8">
        <v>45.657438666040107</v>
      </c>
      <c r="J50" s="8">
        <v>40.455551298800124</v>
      </c>
      <c r="K50" s="8">
        <v>36.20703109416489</v>
      </c>
      <c r="L50" s="8">
        <v>32.67198437505872</v>
      </c>
    </row>
    <row r="51" spans="1:12" x14ac:dyDescent="0.25">
      <c r="B51" s="45">
        <f>B52-0.01</f>
        <v>3.9999999999999994E-2</v>
      </c>
      <c r="C51" s="43">
        <v>4.8499999999999988E-2</v>
      </c>
      <c r="D51" s="8">
        <v>116.39606155142958</v>
      </c>
      <c r="E51" s="8">
        <v>91.460367772110772</v>
      </c>
      <c r="F51" s="8">
        <v>74.947904405195274</v>
      </c>
      <c r="G51" s="8">
        <v>63.208787598943871</v>
      </c>
      <c r="H51" s="8">
        <v>54.435656321162178</v>
      </c>
      <c r="I51" s="8">
        <v>47.63129483184921</v>
      </c>
      <c r="J51" s="8">
        <v>42.200444930828397</v>
      </c>
      <c r="K51" s="8">
        <v>37.7658214556998</v>
      </c>
      <c r="L51" s="8">
        <v>34.076708782573135</v>
      </c>
    </row>
    <row r="52" spans="1:12" ht="15.75" thickBot="1" x14ac:dyDescent="0.3">
      <c r="B52" s="45">
        <f>B53-0.01</f>
        <v>4.9999999999999996E-2</v>
      </c>
      <c r="C52" s="43">
        <v>5.849999999999999E-2</v>
      </c>
      <c r="D52" s="8">
        <v>121.49329105130907</v>
      </c>
      <c r="E52" s="8">
        <v>95.445680754120502</v>
      </c>
      <c r="F52" s="8">
        <v>78.199041562499531</v>
      </c>
      <c r="G52" s="8">
        <v>65.939722300434624</v>
      </c>
      <c r="H52" s="8">
        <v>56.77927156396327</v>
      </c>
      <c r="I52" s="8">
        <v>49.675735493667261</v>
      </c>
      <c r="J52" s="8">
        <v>44.007153896683285</v>
      </c>
      <c r="K52" s="8">
        <v>39.379320041084434</v>
      </c>
      <c r="L52" s="8">
        <v>35.530275735820091</v>
      </c>
    </row>
    <row r="53" spans="1:12" ht="15.75" thickBot="1" x14ac:dyDescent="0.3">
      <c r="B53" s="45">
        <f>sales_fcst</f>
        <v>0.06</v>
      </c>
      <c r="C53" s="44">
        <v>6.8499999999999991E-2</v>
      </c>
      <c r="D53" s="8">
        <v>126.77987307578232</v>
      </c>
      <c r="E53" s="8">
        <v>99.577686405520026</v>
      </c>
      <c r="F53" s="8">
        <v>81.568753166757773</v>
      </c>
      <c r="G53" s="8">
        <v>68.769348153323804</v>
      </c>
      <c r="H53" s="46">
        <v>59.206806909326929</v>
      </c>
      <c r="I53" s="8">
        <v>51.792714753229134</v>
      </c>
      <c r="J53" s="8">
        <v>45.877381387545348</v>
      </c>
      <c r="K53" s="8">
        <v>41.049027048226023</v>
      </c>
      <c r="L53" s="8">
        <v>37.034018211372228</v>
      </c>
    </row>
    <row r="54" spans="1:12" x14ac:dyDescent="0.25">
      <c r="B54" s="45">
        <f>B53+0.01</f>
        <v>6.9999999999999993E-2</v>
      </c>
      <c r="C54" s="43">
        <v>7.8499999999999986E-2</v>
      </c>
      <c r="D54" s="8">
        <v>132.26112654804777</v>
      </c>
      <c r="E54" s="8">
        <v>103.8604860926164</v>
      </c>
      <c r="F54" s="8">
        <v>85.060338941663915</v>
      </c>
      <c r="G54" s="8">
        <v>71.700398725670539</v>
      </c>
      <c r="H54" s="8">
        <v>61.720575923146548</v>
      </c>
      <c r="I54" s="8">
        <v>53.984223046884615</v>
      </c>
      <c r="J54" s="8">
        <v>47.812862173751526</v>
      </c>
      <c r="K54" s="8">
        <v>42.776470411443718</v>
      </c>
      <c r="L54" s="8">
        <v>38.589293760586706</v>
      </c>
    </row>
    <row r="55" spans="1:12" x14ac:dyDescent="0.25">
      <c r="B55" s="45">
        <f>B54+0.01</f>
        <v>7.9999999999999988E-2</v>
      </c>
      <c r="C55" s="43">
        <v>8.8499999999999981E-2</v>
      </c>
      <c r="D55" s="8">
        <v>137.94246977825645</v>
      </c>
      <c r="E55" s="8">
        <v>108.29825760207322</v>
      </c>
      <c r="F55" s="8">
        <v>88.677159921246272</v>
      </c>
      <c r="G55" s="8">
        <v>74.735658233543433</v>
      </c>
      <c r="H55" s="8">
        <v>64.322934916926556</v>
      </c>
      <c r="I55" s="8">
        <v>56.252287483094413</v>
      </c>
      <c r="J55" s="8">
        <v>49.815362897569237</v>
      </c>
      <c r="K55" s="8">
        <v>44.563206058134497</v>
      </c>
      <c r="L55" s="8">
        <v>40.197484736588841</v>
      </c>
    </row>
    <row r="56" spans="1:12" x14ac:dyDescent="0.25">
      <c r="B56" s="45">
        <f>B55+0.01</f>
        <v>8.9999999999999983E-2</v>
      </c>
      <c r="C56" s="43">
        <v>9.8499999999999976E-2</v>
      </c>
      <c r="D56" s="8">
        <v>143.82942138678746</v>
      </c>
      <c r="E56" s="8">
        <v>112.89525584949885</v>
      </c>
      <c r="F56" s="8">
        <v>92.422639017285377</v>
      </c>
      <c r="G56" s="8">
        <v>77.87796200888279</v>
      </c>
      <c r="H56" s="8">
        <v>67.016283341908377</v>
      </c>
      <c r="I56" s="8">
        <v>58.598972179926641</v>
      </c>
      <c r="J56" s="8">
        <v>51.886682365970728</v>
      </c>
      <c r="K56" s="8">
        <v>46.410818165439025</v>
      </c>
      <c r="L56" s="8">
        <v>41.859998521256003</v>
      </c>
    </row>
    <row r="57" spans="1:12" x14ac:dyDescent="0.25">
      <c r="B57" s="45">
        <f>B56+0.01</f>
        <v>9.9999999999999978E-2</v>
      </c>
      <c r="C57" s="43">
        <v>0.10849999999999997</v>
      </c>
      <c r="D57" s="8">
        <v>149.92760122752287</v>
      </c>
      <c r="E57" s="8">
        <v>117.65581358803399</v>
      </c>
      <c r="F57" s="8">
        <v>96.300261586731281</v>
      </c>
      <c r="G57" s="8">
        <v>81.130196967362451</v>
      </c>
      <c r="H57" s="8">
        <v>69.803064183196057</v>
      </c>
      <c r="I57" s="8">
        <v>61.026378602552903</v>
      </c>
      <c r="J57" s="8">
        <v>54.028651843407033</v>
      </c>
      <c r="K57" s="8">
        <v>48.320919416907437</v>
      </c>
      <c r="L57" s="8">
        <v>43.578267752201342</v>
      </c>
    </row>
    <row r="59" spans="1:12" x14ac:dyDescent="0.25">
      <c r="D59" s="34" t="s">
        <v>286</v>
      </c>
    </row>
    <row r="60" spans="1:12" x14ac:dyDescent="0.25">
      <c r="D60" s="41">
        <f>E60-0.01</f>
        <v>0.54999999999999993</v>
      </c>
      <c r="E60" s="41">
        <f>F60-0.01</f>
        <v>0.55999999999999994</v>
      </c>
      <c r="F60" s="41">
        <f>G60-0.01</f>
        <v>0.56999999999999995</v>
      </c>
      <c r="G60" s="41">
        <f>H60-0.01</f>
        <v>0.57999999999999996</v>
      </c>
      <c r="H60" s="41">
        <f>gross_fcst</f>
        <v>0.59</v>
      </c>
      <c r="I60" s="41">
        <f>H60+0.01</f>
        <v>0.6</v>
      </c>
      <c r="J60" s="41">
        <f>I60+0.01</f>
        <v>0.61</v>
      </c>
      <c r="K60" s="41">
        <f>J60+0.01</f>
        <v>0.62</v>
      </c>
      <c r="L60" s="41">
        <f>K60+0.01</f>
        <v>0.63</v>
      </c>
    </row>
    <row r="61" spans="1:12" x14ac:dyDescent="0.25">
      <c r="C61" s="42">
        <f>$K$8</f>
        <v>148.39302142581562</v>
      </c>
      <c r="D61" s="43">
        <v>0.20089999999999997</v>
      </c>
      <c r="E61" s="43">
        <v>0.21089999999999998</v>
      </c>
      <c r="F61" s="43">
        <v>0.22089999999999999</v>
      </c>
      <c r="G61" s="43">
        <v>0.23089999999999999</v>
      </c>
      <c r="H61" s="44">
        <v>0.2409</v>
      </c>
      <c r="I61" s="43">
        <v>0.25090000000000001</v>
      </c>
      <c r="J61" s="43">
        <v>0.26090000000000002</v>
      </c>
      <c r="K61" s="43">
        <v>0.27090000000000003</v>
      </c>
      <c r="L61" s="43">
        <v>0.28090000000000004</v>
      </c>
    </row>
    <row r="62" spans="1:12" x14ac:dyDescent="0.25">
      <c r="A62" s="34" t="s">
        <v>106</v>
      </c>
      <c r="B62" s="45">
        <f>B63-0.01</f>
        <v>1.999999999999999E-2</v>
      </c>
      <c r="C62" s="43">
        <v>2.8499999999999984E-2</v>
      </c>
      <c r="D62" s="8">
        <f t="dataTable" ref="D62:L70" dt2D="1" dtr="1" r1="D3" r2="D2" ca="1"/>
        <v>-27.802482317436244</v>
      </c>
      <c r="E62" s="8">
        <v>-23.759978141488322</v>
      </c>
      <c r="F62" s="8">
        <v>-19.71747396554041</v>
      </c>
      <c r="G62" s="8">
        <v>-15.674969789592492</v>
      </c>
      <c r="H62" s="8">
        <v>-11.632465613644575</v>
      </c>
      <c r="I62" s="8">
        <v>-7.58996143769666</v>
      </c>
      <c r="J62" s="8">
        <v>-3.5474572617487459</v>
      </c>
      <c r="K62" s="8">
        <v>0.49504691419917141</v>
      </c>
      <c r="L62" s="8">
        <v>4.5375510901470699</v>
      </c>
    </row>
    <row r="63" spans="1:12" x14ac:dyDescent="0.25">
      <c r="B63" s="45">
        <f>B64-0.01</f>
        <v>2.9999999999999992E-2</v>
      </c>
      <c r="C63" s="43">
        <v>3.8499999999999986E-2</v>
      </c>
      <c r="D63" s="8">
        <v>-29.372739042135493</v>
      </c>
      <c r="E63" s="8">
        <v>-25.14178790662713</v>
      </c>
      <c r="F63" s="8">
        <v>-20.91083677111876</v>
      </c>
      <c r="G63" s="8">
        <v>-16.679885635610425</v>
      </c>
      <c r="H63" s="8">
        <v>-12.448934500102057</v>
      </c>
      <c r="I63" s="8">
        <v>-8.2179833645936853</v>
      </c>
      <c r="J63" s="8">
        <v>-3.9870322290853188</v>
      </c>
      <c r="K63" s="8">
        <v>0.24391890642301844</v>
      </c>
      <c r="L63" s="8">
        <v>4.4748700419313847</v>
      </c>
    </row>
    <row r="64" spans="1:12" x14ac:dyDescent="0.25">
      <c r="B64" s="45">
        <f>B65-0.01</f>
        <v>3.9999999999999994E-2</v>
      </c>
      <c r="C64" s="43">
        <v>4.8499999999999988E-2</v>
      </c>
      <c r="D64" s="8">
        <v>-31.002749686133086</v>
      </c>
      <c r="E64" s="8">
        <v>-26.576180506084057</v>
      </c>
      <c r="F64" s="8">
        <v>-22.149611326035025</v>
      </c>
      <c r="G64" s="8">
        <v>-17.723042145985993</v>
      </c>
      <c r="H64" s="8">
        <v>-13.29647296593696</v>
      </c>
      <c r="I64" s="8">
        <v>-8.8699037858879315</v>
      </c>
      <c r="J64" s="8">
        <v>-4.4433346058389169</v>
      </c>
      <c r="K64" s="8">
        <v>-1.6765425789868418E-2</v>
      </c>
      <c r="L64" s="8">
        <v>4.4098037542591619</v>
      </c>
    </row>
    <row r="65" spans="1:12" ht="15.75" thickBot="1" x14ac:dyDescent="0.3">
      <c r="B65" s="45">
        <f>B66-0.01</f>
        <v>4.9999999999999996E-2</v>
      </c>
      <c r="C65" s="43">
        <v>5.849999999999999E-2</v>
      </c>
      <c r="D65" s="8">
        <v>-32.694229767391256</v>
      </c>
      <c r="E65" s="8">
        <v>-28.064665578019024</v>
      </c>
      <c r="F65" s="8">
        <v>-23.435101388646785</v>
      </c>
      <c r="G65" s="8">
        <v>-18.805537199274546</v>
      </c>
      <c r="H65" s="8">
        <v>-14.175973009902309</v>
      </c>
      <c r="I65" s="8">
        <v>-9.5464088205300541</v>
      </c>
      <c r="J65" s="8">
        <v>-4.9168446311578151</v>
      </c>
      <c r="K65" s="8">
        <v>-0.28728044178558032</v>
      </c>
      <c r="L65" s="8">
        <v>4.3422837475866443</v>
      </c>
    </row>
    <row r="66" spans="1:12" ht="15.75" thickBot="1" x14ac:dyDescent="0.3">
      <c r="B66" s="45">
        <f>sales_fcst</f>
        <v>0.06</v>
      </c>
      <c r="C66" s="44">
        <v>6.8499999999999991E-2</v>
      </c>
      <c r="D66" s="8">
        <v>-34.448927529799029</v>
      </c>
      <c r="E66" s="8">
        <v>-29.608781559070895</v>
      </c>
      <c r="F66" s="8">
        <v>-24.768635588342736</v>
      </c>
      <c r="G66" s="8">
        <v>-19.928489617614577</v>
      </c>
      <c r="H66" s="46">
        <v>-15.08834364688645</v>
      </c>
      <c r="I66" s="8">
        <v>-10.24819767615829</v>
      </c>
      <c r="J66" s="8">
        <v>-5.4080517054301467</v>
      </c>
      <c r="K66" s="8">
        <v>-0.56790573470200334</v>
      </c>
      <c r="L66" s="8">
        <v>4.2722402360261382</v>
      </c>
    </row>
    <row r="67" spans="1:12" x14ac:dyDescent="0.25">
      <c r="B67" s="45">
        <f>B66+0.01</f>
        <v>6.9999999999999993E-2</v>
      </c>
      <c r="C67" s="43">
        <v>7.8499999999999986E-2</v>
      </c>
      <c r="D67" s="8">
        <v>-36.268624253334764</v>
      </c>
      <c r="E67" s="8">
        <v>-31.210095957297309</v>
      </c>
      <c r="F67" s="8">
        <v>-26.151567661259843</v>
      </c>
      <c r="G67" s="8">
        <v>-21.093039365222388</v>
      </c>
      <c r="H67" s="8">
        <v>-16.034511069184919</v>
      </c>
      <c r="I67" s="8">
        <v>-10.975982773147466</v>
      </c>
      <c r="J67" s="8">
        <v>-5.9174544771099962</v>
      </c>
      <c r="K67" s="8">
        <v>-0.85892618107254204</v>
      </c>
      <c r="L67" s="8">
        <v>4.1996021149649074</v>
      </c>
    </row>
    <row r="68" spans="1:12" x14ac:dyDescent="0.25">
      <c r="B68" s="45">
        <f>B67+0.01</f>
        <v>7.9999999999999988E-2</v>
      </c>
      <c r="C68" s="43">
        <v>8.8499999999999981E-2</v>
      </c>
      <c r="D68" s="8">
        <v>-38.155134564228639</v>
      </c>
      <c r="E68" s="8">
        <v>-32.870205625114522</v>
      </c>
      <c r="F68" s="8">
        <v>-27.585276686000391</v>
      </c>
      <c r="G68" s="8">
        <v>-22.300347746886246</v>
      </c>
      <c r="H68" s="8">
        <v>-17.015418807772122</v>
      </c>
      <c r="I68" s="8">
        <v>-11.730489868657994</v>
      </c>
      <c r="J68" s="8">
        <v>-6.445560929543837</v>
      </c>
      <c r="K68" s="8">
        <v>-1.160631990429712</v>
      </c>
      <c r="L68" s="8">
        <v>4.1242969486844148</v>
      </c>
    </row>
    <row r="69" spans="1:12" x14ac:dyDescent="0.25">
      <c r="B69" s="45">
        <f>B68+0.01</f>
        <v>8.9999999999999983E-2</v>
      </c>
      <c r="C69" s="43">
        <v>9.8499999999999976E-2</v>
      </c>
      <c r="D69" s="8">
        <v>-40.1103067451252</v>
      </c>
      <c r="E69" s="8">
        <v>-34.590737032237158</v>
      </c>
      <c r="F69" s="8">
        <v>-29.07116731934914</v>
      </c>
      <c r="G69" s="8">
        <v>-23.55159760646108</v>
      </c>
      <c r="H69" s="8">
        <v>-18.032027893573037</v>
      </c>
      <c r="I69" s="8">
        <v>-12.512458180684964</v>
      </c>
      <c r="J69" s="8">
        <v>-6.9928884677969432</v>
      </c>
      <c r="K69" s="8">
        <v>-1.4733187549089006</v>
      </c>
      <c r="L69" s="8">
        <v>4.0462509579791561</v>
      </c>
    </row>
    <row r="70" spans="1:12" x14ac:dyDescent="0.25">
      <c r="B70" s="45">
        <f>B69+0.01</f>
        <v>9.9999999999999978E-2</v>
      </c>
      <c r="C70" s="43">
        <v>0.10849999999999997</v>
      </c>
      <c r="D70" s="8">
        <v>-42.136023045245871</v>
      </c>
      <c r="E70" s="8">
        <v>-36.373346538618186</v>
      </c>
      <c r="F70" s="8">
        <v>-30.61067003199048</v>
      </c>
      <c r="G70" s="8">
        <v>-24.847993525362785</v>
      </c>
      <c r="H70" s="8">
        <v>-19.085317018735072</v>
      </c>
      <c r="I70" s="8">
        <v>-13.322640512107361</v>
      </c>
      <c r="J70" s="8">
        <v>-7.5599640054796655</v>
      </c>
      <c r="K70" s="8">
        <v>-1.797287498851954</v>
      </c>
      <c r="L70" s="8">
        <v>3.9653890077757588</v>
      </c>
    </row>
    <row r="72" spans="1:12" x14ac:dyDescent="0.25">
      <c r="D72" s="34" t="s">
        <v>46</v>
      </c>
    </row>
    <row r="73" spans="1:12" x14ac:dyDescent="0.25">
      <c r="D73" s="47">
        <f>E73-0.05</f>
        <v>0.34000000000000008</v>
      </c>
      <c r="E73" s="47">
        <f>F73-0.05</f>
        <v>0.39000000000000007</v>
      </c>
      <c r="F73" s="47">
        <f>G73-0.05</f>
        <v>0.44000000000000006</v>
      </c>
      <c r="G73" s="47">
        <f>H73-0.05</f>
        <v>0.49000000000000005</v>
      </c>
      <c r="H73" s="48">
        <f>C11</f>
        <v>0.54</v>
      </c>
      <c r="I73" s="47">
        <f>H73+0.05</f>
        <v>0.59000000000000008</v>
      </c>
      <c r="J73" s="47">
        <f>I73+0.05</f>
        <v>0.64000000000000012</v>
      </c>
      <c r="K73" s="47">
        <f>J73+0.05</f>
        <v>0.69000000000000017</v>
      </c>
      <c r="L73" s="47">
        <f>K73+0.05</f>
        <v>0.74000000000000021</v>
      </c>
    </row>
    <row r="74" spans="1:12" x14ac:dyDescent="0.25">
      <c r="C74" s="42">
        <f>$K$8</f>
        <v>148.39302142581562</v>
      </c>
      <c r="D74" s="49">
        <v>1.3499999999999999</v>
      </c>
      <c r="E74" s="49">
        <v>1.4</v>
      </c>
      <c r="F74" s="49">
        <v>1.45</v>
      </c>
      <c r="G74" s="49">
        <v>1.5</v>
      </c>
      <c r="H74" s="50">
        <v>1.55</v>
      </c>
      <c r="I74" s="49">
        <v>1.6</v>
      </c>
      <c r="J74" s="49">
        <v>1.6500000000000001</v>
      </c>
      <c r="K74" s="49">
        <v>1.7000000000000002</v>
      </c>
      <c r="L74" s="49">
        <v>1.7500000000000002</v>
      </c>
    </row>
    <row r="75" spans="1:12" x14ac:dyDescent="0.25">
      <c r="A75" s="34" t="s">
        <v>106</v>
      </c>
      <c r="B75" s="45">
        <f>B76-0.01</f>
        <v>1.999999999999999E-2</v>
      </c>
      <c r="C75" s="43">
        <v>2.8499999999999984E-2</v>
      </c>
      <c r="D75" s="8">
        <f t="dataTable" ref="D75:L83" dt2D="1" dtr="1" r1="C11" r2="D2" ca="1"/>
        <v>52.322829540680686</v>
      </c>
      <c r="E75" s="8">
        <v>50.348313023940989</v>
      </c>
      <c r="F75" s="8">
        <v>48.503800758185328</v>
      </c>
      <c r="G75" s="8">
        <v>46.776863348752883</v>
      </c>
      <c r="H75" s="8">
        <v>45.156606956124755</v>
      </c>
      <c r="I75" s="8">
        <v>43.633443266689646</v>
      </c>
      <c r="J75" s="8">
        <v>42.198899611319902</v>
      </c>
      <c r="K75" s="8">
        <v>40.84546128784055</v>
      </c>
      <c r="L75" s="8">
        <v>39.566439890478904</v>
      </c>
    </row>
    <row r="76" spans="1:12" x14ac:dyDescent="0.25">
      <c r="B76" s="45">
        <f>B77-0.01</f>
        <v>2.9999999999999992E-2</v>
      </c>
      <c r="C76" s="43">
        <v>3.8499999999999986E-2</v>
      </c>
      <c r="D76" s="8">
        <v>54.609322738590905</v>
      </c>
      <c r="E76" s="8">
        <v>52.546773219180452</v>
      </c>
      <c r="F76" s="8">
        <v>50.620117631596187</v>
      </c>
      <c r="G76" s="8">
        <v>48.816362334435524</v>
      </c>
      <c r="H76" s="8">
        <v>47.12411896694384</v>
      </c>
      <c r="I76" s="8">
        <v>45.533363974457878</v>
      </c>
      <c r="J76" s="8">
        <v>44.03524010472438</v>
      </c>
      <c r="K76" s="8">
        <v>42.621891570452391</v>
      </c>
      <c r="L76" s="8">
        <v>41.286326399792458</v>
      </c>
    </row>
    <row r="77" spans="1:12" x14ac:dyDescent="0.25">
      <c r="B77" s="45">
        <f>B78-0.01</f>
        <v>3.9999999999999994E-2</v>
      </c>
      <c r="C77" s="43">
        <v>4.8499999999999988E-2</v>
      </c>
      <c r="D77" s="8">
        <v>56.979272344133619</v>
      </c>
      <c r="E77" s="8">
        <v>54.825270834597347</v>
      </c>
      <c r="F77" s="8">
        <v>52.813283855051139</v>
      </c>
      <c r="G77" s="8">
        <v>50.929731365023819</v>
      </c>
      <c r="H77" s="8">
        <v>49.162711068103128</v>
      </c>
      <c r="I77" s="8">
        <v>47.501747081892574</v>
      </c>
      <c r="J77" s="8">
        <v>45.937582473495922</v>
      </c>
      <c r="K77" s="8">
        <v>44.462006980999426</v>
      </c>
      <c r="L77" s="8">
        <v>43.067713150200092</v>
      </c>
    </row>
    <row r="78" spans="1:12" ht="15.75" thickBot="1" x14ac:dyDescent="0.3">
      <c r="B78" s="45">
        <f>B79-0.01</f>
        <v>4.9999999999999996E-2</v>
      </c>
      <c r="C78" s="43">
        <v>5.849999999999999E-2</v>
      </c>
      <c r="D78" s="8">
        <v>59.435024541299384</v>
      </c>
      <c r="E78" s="8">
        <v>57.186053017962294</v>
      </c>
      <c r="F78" s="8">
        <v>55.085454267796806</v>
      </c>
      <c r="G78" s="8">
        <v>53.119039052938177</v>
      </c>
      <c r="H78" s="8">
        <v>51.274371160748736</v>
      </c>
      <c r="I78" s="8">
        <v>49.540504796160675</v>
      </c>
      <c r="J78" s="8">
        <v>47.907767807875331</v>
      </c>
      <c r="K78" s="8">
        <v>46.367581679421448</v>
      </c>
      <c r="L78" s="8">
        <v>44.912311210504704</v>
      </c>
    </row>
    <row r="79" spans="1:12" ht="15.75" thickBot="1" x14ac:dyDescent="0.3">
      <c r="B79" s="45">
        <f>sales_fcst</f>
        <v>0.06</v>
      </c>
      <c r="C79" s="44">
        <v>6.8499999999999991E-2</v>
      </c>
      <c r="D79" s="8">
        <v>61.97896971274934</v>
      </c>
      <c r="E79" s="8">
        <v>59.631409217294674</v>
      </c>
      <c r="F79" s="8">
        <v>57.438824240365413</v>
      </c>
      <c r="G79" s="8">
        <v>55.386392889941249</v>
      </c>
      <c r="H79" s="46">
        <v>53.461124479543962</v>
      </c>
      <c r="I79" s="8">
        <v>51.651585208645955</v>
      </c>
      <c r="J79" s="8">
        <v>49.947671721067721</v>
      </c>
      <c r="K79" s="8">
        <v>48.340423067900502</v>
      </c>
      <c r="L79" s="8">
        <v>46.821863684869818</v>
      </c>
    </row>
    <row r="80" spans="1:12" x14ac:dyDescent="0.25">
      <c r="B80" s="45">
        <f>B79+0.01</f>
        <v>6.9999999999999993E-2</v>
      </c>
      <c r="C80" s="43">
        <v>7.8499999999999986E-2</v>
      </c>
      <c r="D80" s="8">
        <v>64.613542855246592</v>
      </c>
      <c r="E80" s="8">
        <v>62.163671578247623</v>
      </c>
      <c r="F80" s="8">
        <v>59.875630055147404</v>
      </c>
      <c r="G80" s="8">
        <v>57.733939612013351</v>
      </c>
      <c r="H80" s="8">
        <v>55.72503394285917</v>
      </c>
      <c r="I80" s="8">
        <v>53.836972631373065</v>
      </c>
      <c r="J80" s="8">
        <v>52.059204672739803</v>
      </c>
      <c r="K80" s="8">
        <v>50.382372102198843</v>
      </c>
      <c r="L80" s="8">
        <v>48.798146012701856</v>
      </c>
    </row>
    <row r="81" spans="1:12" x14ac:dyDescent="0.25">
      <c r="B81" s="45">
        <f>B80+0.01</f>
        <v>7.9999999999999988E-2</v>
      </c>
      <c r="C81" s="43">
        <v>8.8499999999999981E-2</v>
      </c>
      <c r="D81" s="8">
        <v>67.341223995087503</v>
      </c>
      <c r="E81" s="8">
        <v>64.785215341492773</v>
      </c>
      <c r="F81" s="8">
        <v>62.3981492869638</v>
      </c>
      <c r="G81" s="8">
        <v>60.163865564227841</v>
      </c>
      <c r="H81" s="8">
        <v>58.068200502961425</v>
      </c>
      <c r="I81" s="8">
        <v>56.098687933431378</v>
      </c>
      <c r="J81" s="8">
        <v>54.24431229251708</v>
      </c>
      <c r="K81" s="8">
        <v>52.495303602996785</v>
      </c>
      <c r="L81" s="8">
        <v>50.842966268532166</v>
      </c>
    </row>
    <row r="82" spans="1:12" x14ac:dyDescent="0.25">
      <c r="B82" s="45">
        <f>B81+0.01</f>
        <v>8.9999999999999983E-2</v>
      </c>
      <c r="C82" s="43">
        <v>9.8499999999999976E-2</v>
      </c>
      <c r="D82" s="8">
        <v>70.164538603533089</v>
      </c>
      <c r="E82" s="8">
        <v>67.498459240105518</v>
      </c>
      <c r="F82" s="8">
        <v>65.008701183638877</v>
      </c>
      <c r="G82" s="8">
        <v>62.678397065626697</v>
      </c>
      <c r="H82" s="8">
        <v>60.492763496204425</v>
      </c>
      <c r="I82" s="8">
        <v>58.438788877399134</v>
      </c>
      <c r="J82" s="8">
        <v>56.504975703481264</v>
      </c>
      <c r="K82" s="8">
        <v>54.68112656723077</v>
      </c>
      <c r="L82" s="8">
        <v>52.958165461899412</v>
      </c>
    </row>
    <row r="83" spans="1:12" x14ac:dyDescent="0.25">
      <c r="B83" s="45">
        <f>B82+0.01</f>
        <v>9.9999999999999978E-2</v>
      </c>
      <c r="C83" s="43">
        <v>0.10849999999999997</v>
      </c>
      <c r="D83" s="8">
        <v>73.08605801224023</v>
      </c>
      <c r="E83" s="8">
        <v>70.305865896949612</v>
      </c>
      <c r="F83" s="8">
        <v>67.709647046572499</v>
      </c>
      <c r="G83" s="8">
        <v>65.279800774095804</v>
      </c>
      <c r="H83" s="8">
        <v>63.000900993218075</v>
      </c>
      <c r="I83" s="8">
        <v>60.859370455767291</v>
      </c>
      <c r="J83" s="8">
        <v>58.843211845667355</v>
      </c>
      <c r="K83" s="8">
        <v>56.941784479431128</v>
      </c>
      <c r="L83" s="8">
        <v>55.145617837231576</v>
      </c>
    </row>
    <row r="85" spans="1:12" x14ac:dyDescent="0.25">
      <c r="D85" s="34" t="s">
        <v>6</v>
      </c>
    </row>
    <row r="86" spans="1:12" x14ac:dyDescent="0.25">
      <c r="D86" s="45">
        <f t="shared" ref="D86:F86" si="11">E86-0.001</f>
        <v>1.0999999999999996E-2</v>
      </c>
      <c r="E86" s="45">
        <f t="shared" si="11"/>
        <v>1.1999999999999997E-2</v>
      </c>
      <c r="F86" s="45">
        <f t="shared" si="11"/>
        <v>1.2999999999999998E-2</v>
      </c>
      <c r="G86" s="45">
        <f>H86-0.001</f>
        <v>1.3999999999999999E-2</v>
      </c>
      <c r="H86" s="45">
        <f>G8</f>
        <v>1.4999999999999999E-2</v>
      </c>
      <c r="I86" s="45">
        <f>H86+0.001</f>
        <v>1.6E-2</v>
      </c>
      <c r="J86" s="45">
        <f t="shared" ref="J86:L86" si="12">I86+0.001</f>
        <v>1.7000000000000001E-2</v>
      </c>
      <c r="K86" s="45">
        <f t="shared" si="12"/>
        <v>1.8000000000000002E-2</v>
      </c>
      <c r="L86" s="45">
        <f t="shared" si="12"/>
        <v>1.9000000000000003E-2</v>
      </c>
    </row>
    <row r="87" spans="1:12" x14ac:dyDescent="0.25">
      <c r="C87" s="42">
        <f>$K$8</f>
        <v>148.39302142581562</v>
      </c>
      <c r="D87" s="43">
        <v>-3.0000000000000001E-3</v>
      </c>
      <c r="E87" s="43">
        <v>-2E-3</v>
      </c>
      <c r="F87" s="43">
        <v>-1E-3</v>
      </c>
      <c r="G87" s="43">
        <v>0</v>
      </c>
      <c r="H87" s="44">
        <v>1E-3</v>
      </c>
      <c r="I87" s="43">
        <v>2E-3</v>
      </c>
      <c r="J87" s="43">
        <v>3.0000000000000001E-3</v>
      </c>
      <c r="K87" s="43">
        <v>4.0000000000000001E-3</v>
      </c>
      <c r="L87" s="43">
        <v>5.0000000000000001E-3</v>
      </c>
    </row>
    <row r="88" spans="1:12" x14ac:dyDescent="0.25">
      <c r="A88" s="34" t="s">
        <v>106</v>
      </c>
      <c r="B88" s="45">
        <f>B89-0.01</f>
        <v>1.999999999999999E-2</v>
      </c>
      <c r="C88" s="43">
        <v>6.0000000000000019E-2</v>
      </c>
      <c r="D88" s="8">
        <f t="dataTable" ref="D88:L96" dt2D="1" dtr="1" r1="G8" r2="D2" ca="1"/>
        <v>101.25587762562499</v>
      </c>
      <c r="E88" s="8">
        <v>102.97770108196939</v>
      </c>
      <c r="F88" s="8">
        <v>104.77032975347493</v>
      </c>
      <c r="G88" s="8">
        <v>106.63822282821839</v>
      </c>
      <c r="H88" s="8">
        <v>108.58622196584859</v>
      </c>
      <c r="I88" s="8">
        <v>110.6195932026372</v>
      </c>
      <c r="J88" s="8">
        <v>112.74407448949663</v>
      </c>
      <c r="K88" s="8">
        <v>114.9659297666052</v>
      </c>
      <c r="L88" s="8">
        <v>117.29201064783534</v>
      </c>
    </row>
    <row r="89" spans="1:12" x14ac:dyDescent="0.25">
      <c r="B89" s="45">
        <f>B90-0.01</f>
        <v>2.9999999999999992E-2</v>
      </c>
      <c r="C89" s="43">
        <v>7.0000000000000021E-2</v>
      </c>
      <c r="D89" s="8">
        <v>105.62995869205012</v>
      </c>
      <c r="E89" s="8">
        <v>107.42850241922382</v>
      </c>
      <c r="F89" s="8">
        <v>109.30100626995726</v>
      </c>
      <c r="G89" s="8">
        <v>111.25212812291637</v>
      </c>
      <c r="H89" s="8">
        <v>113.28692537034321</v>
      </c>
      <c r="I89" s="8">
        <v>115.41089869029436</v>
      </c>
      <c r="J89" s="8">
        <v>117.6300417028372</v>
      </c>
      <c r="K89" s="8">
        <v>119.95089745410891</v>
      </c>
      <c r="L89" s="8">
        <v>122.38062284925321</v>
      </c>
    </row>
    <row r="90" spans="1:12" x14ac:dyDescent="0.25">
      <c r="B90" s="45">
        <f>B91-0.01</f>
        <v>3.9999999999999994E-2</v>
      </c>
      <c r="C90" s="43">
        <v>8.0000000000000016E-2</v>
      </c>
      <c r="D90" s="8">
        <v>110.16354959544115</v>
      </c>
      <c r="E90" s="8">
        <v>112.04173588028218</v>
      </c>
      <c r="F90" s="8">
        <v>113.9971573680245</v>
      </c>
      <c r="G90" s="8">
        <v>116.03467819607799</v>
      </c>
      <c r="H90" s="8">
        <v>118.15957970656559</v>
      </c>
      <c r="I90" s="8">
        <v>120.37760615687013</v>
      </c>
      <c r="J90" s="8">
        <v>122.695016574691</v>
      </c>
      <c r="K90" s="8">
        <v>125.11864374331306</v>
      </c>
      <c r="L90" s="8">
        <v>127.65596148774246</v>
      </c>
    </row>
    <row r="91" spans="1:12" ht="15.75" thickBot="1" x14ac:dyDescent="0.3">
      <c r="B91" s="45">
        <f>B92-0.01</f>
        <v>4.9999999999999996E-2</v>
      </c>
      <c r="C91" s="43">
        <v>9.0000000000000011E-2</v>
      </c>
      <c r="D91" s="8">
        <v>114.86106375058935</v>
      </c>
      <c r="E91" s="8">
        <v>116.82189757890964</v>
      </c>
      <c r="F91" s="8">
        <v>118.86336526118171</v>
      </c>
      <c r="G91" s="8">
        <v>120.99054497588857</v>
      </c>
      <c r="H91" s="8">
        <v>123.20895046486581</v>
      </c>
      <c r="I91" s="8">
        <v>125.52457875529092</v>
      </c>
      <c r="J91" s="8">
        <v>127.94396429656574</v>
      </c>
      <c r="K91" s="8">
        <v>130.47424054116766</v>
      </c>
      <c r="L91" s="8">
        <v>133.12321019163855</v>
      </c>
    </row>
    <row r="92" spans="1:12" ht="15.75" thickBot="1" x14ac:dyDescent="0.3">
      <c r="B92" s="45">
        <f>sales_fcst</f>
        <v>0.06</v>
      </c>
      <c r="C92" s="44">
        <v>0.1</v>
      </c>
      <c r="D92" s="8">
        <v>119.72699593283352</v>
      </c>
      <c r="E92" s="8">
        <v>121.77356653512737</v>
      </c>
      <c r="F92" s="8">
        <v>123.90429667846126</v>
      </c>
      <c r="G92" s="8">
        <v>126.12448658289804</v>
      </c>
      <c r="H92" s="46">
        <v>128.43989107670831</v>
      </c>
      <c r="I92" s="8">
        <v>130.85676940498743</v>
      </c>
      <c r="J92" s="8">
        <v>133.38194173365403</v>
      </c>
      <c r="K92" s="8">
        <v>136.02285342290233</v>
      </c>
      <c r="L92" s="8">
        <v>138.78764834571655</v>
      </c>
    </row>
    <row r="93" spans="1:12" x14ac:dyDescent="0.25">
      <c r="B93" s="45">
        <f>B92+0.01</f>
        <v>6.9999999999999993E-2</v>
      </c>
      <c r="C93" s="43">
        <v>0.11</v>
      </c>
      <c r="D93" s="8">
        <v>124.76592302442039</v>
      </c>
      <c r="E93" s="8">
        <v>126.90140543588467</v>
      </c>
      <c r="F93" s="8">
        <v>129.12470363999574</v>
      </c>
      <c r="G93" s="8">
        <v>131.44134812112009</v>
      </c>
      <c r="H93" s="8">
        <v>133.85734372196345</v>
      </c>
      <c r="I93" s="8">
        <v>136.37922161608765</v>
      </c>
      <c r="J93" s="8">
        <v>139.01409826668547</v>
      </c>
      <c r="K93" s="8">
        <v>141.76974249234729</v>
      </c>
      <c r="L93" s="8">
        <v>144.6546519708466</v>
      </c>
    </row>
    <row r="94" spans="1:12" x14ac:dyDescent="0.25">
      <c r="B94" s="45">
        <f>B93+0.01</f>
        <v>7.9999999999999988E-2</v>
      </c>
      <c r="C94" s="43">
        <v>0.12</v>
      </c>
      <c r="D94" s="8">
        <v>129.982504760864</v>
      </c>
      <c r="E94" s="8">
        <v>132.21016139573101</v>
      </c>
      <c r="F94" s="8">
        <v>134.52942423259034</v>
      </c>
      <c r="G94" s="8">
        <v>136.94606246913105</v>
      </c>
      <c r="H94" s="8">
        <v>139.4663401361982</v>
      </c>
      <c r="I94" s="8">
        <v>142.09707031360961</v>
      </c>
      <c r="J94" s="8">
        <v>144.84567663377854</v>
      </c>
      <c r="K94" s="8">
        <v>147.72026324225325</v>
      </c>
      <c r="L94" s="8">
        <v>150.72969460364902</v>
      </c>
    </row>
    <row r="95" spans="1:12" x14ac:dyDescent="0.25">
      <c r="B95" s="45">
        <f>B94+0.01</f>
        <v>8.9999999999999983E-2</v>
      </c>
      <c r="C95" s="43">
        <v>0.13</v>
      </c>
      <c r="D95" s="8">
        <v>135.38148447730561</v>
      </c>
      <c r="E95" s="8">
        <v>137.70466671748756</v>
      </c>
      <c r="F95" s="8">
        <v>140.12338338529545</v>
      </c>
      <c r="G95" s="8">
        <v>142.64365107116848</v>
      </c>
      <c r="H95" s="8">
        <v>145.27200241796709</v>
      </c>
      <c r="I95" s="8">
        <v>148.01554266165354</v>
      </c>
      <c r="J95" s="8">
        <v>150.88201377229197</v>
      </c>
      <c r="K95" s="8">
        <v>153.87986741461151</v>
      </c>
      <c r="L95" s="8">
        <v>157.01834817614892</v>
      </c>
    </row>
    <row r="96" spans="1:12" x14ac:dyDescent="0.25">
      <c r="B96" s="45">
        <f>B95+0.01</f>
        <v>9.9999999999999978E-2</v>
      </c>
      <c r="C96" s="43">
        <v>0.14000000000000001</v>
      </c>
      <c r="D96" s="8">
        <v>140.96768985487432</v>
      </c>
      <c r="E96" s="8">
        <v>143.38983965292016</v>
      </c>
      <c r="F96" s="8">
        <v>145.91159364497983</v>
      </c>
      <c r="G96" s="8">
        <v>148.53922472823086</v>
      </c>
      <c r="H96" s="8">
        <v>151.27954383610393</v>
      </c>
      <c r="I96" s="8">
        <v>154.13995888759612</v>
      </c>
      <c r="J96" s="8">
        <v>157.12854166067785</v>
      </c>
      <c r="K96" s="8">
        <v>160.25410386097545</v>
      </c>
      <c r="L96" s="8">
        <v>163.52628389543253</v>
      </c>
    </row>
  </sheetData>
  <conditionalFormatting sqref="C20:M20">
    <cfRule type="colorScale" priority="27">
      <colorScale>
        <cfvo type="min"/>
        <cfvo type="percentile" val="50"/>
        <cfvo type="max"/>
        <color rgb="FFF8696B"/>
        <color rgb="FFFFEB84"/>
        <color rgb="FF63BE7B"/>
      </colorScale>
    </cfRule>
  </conditionalFormatting>
  <conditionalFormatting sqref="C22:M22">
    <cfRule type="colorScale" priority="26">
      <colorScale>
        <cfvo type="min"/>
        <cfvo type="percentile" val="50"/>
        <cfvo type="max"/>
        <color rgb="FFF8696B"/>
        <color rgb="FFFFEB84"/>
        <color rgb="FF63BE7B"/>
      </colorScale>
    </cfRule>
  </conditionalFormatting>
  <conditionalFormatting sqref="C24:M24">
    <cfRule type="colorScale" priority="25">
      <colorScale>
        <cfvo type="min"/>
        <cfvo type="percentile" val="50"/>
        <cfvo type="max"/>
        <color rgb="FFF8696B"/>
        <color rgb="FFFFEB84"/>
        <color rgb="FF63BE7B"/>
      </colorScale>
    </cfRule>
  </conditionalFormatting>
  <conditionalFormatting sqref="D21:N21">
    <cfRule type="colorScale" priority="24">
      <colorScale>
        <cfvo type="min"/>
        <cfvo type="percentile" val="50"/>
        <cfvo type="max"/>
        <color rgb="FFF8696B"/>
        <color rgb="FFFFEB84"/>
        <color rgb="FF63BE7B"/>
      </colorScale>
    </cfRule>
  </conditionalFormatting>
  <conditionalFormatting sqref="C23:N23">
    <cfRule type="colorScale" priority="23">
      <colorScale>
        <cfvo type="min"/>
        <cfvo type="percentile" val="50"/>
        <cfvo type="max"/>
        <color rgb="FFF8696B"/>
        <color rgb="FFFFEB84"/>
        <color rgb="FF63BE7B"/>
      </colorScale>
    </cfRule>
  </conditionalFormatting>
  <conditionalFormatting sqref="C25:N25 N31 N26:N29">
    <cfRule type="colorScale" priority="22">
      <colorScale>
        <cfvo type="min"/>
        <cfvo type="percentile" val="50"/>
        <cfvo type="max"/>
        <color rgb="FFF8696B"/>
        <color rgb="FFFFEB84"/>
        <color rgb="FF63BE7B"/>
      </colorScale>
    </cfRule>
  </conditionalFormatting>
  <conditionalFormatting sqref="C32:M33">
    <cfRule type="colorScale" priority="21">
      <colorScale>
        <cfvo type="min"/>
        <cfvo type="percentile" val="50"/>
        <cfvo type="max"/>
        <color rgb="FFF8696B"/>
        <color rgb="FFFFEB84"/>
        <color rgb="FF63BE7B"/>
      </colorScale>
    </cfRule>
  </conditionalFormatting>
  <conditionalFormatting sqref="C34:M34">
    <cfRule type="colorScale" priority="20">
      <colorScale>
        <cfvo type="min"/>
        <cfvo type="percentile" val="50"/>
        <cfvo type="max"/>
        <color rgb="FFF8696B"/>
        <color rgb="FFFFEB84"/>
        <color rgb="FF63BE7B"/>
      </colorScale>
    </cfRule>
  </conditionalFormatting>
  <conditionalFormatting sqref="C35:N35 N30">
    <cfRule type="colorScale" priority="19">
      <colorScale>
        <cfvo type="min"/>
        <cfvo type="percentile" val="50"/>
        <cfvo type="max"/>
        <color rgb="FFF8696B"/>
        <color rgb="FFFFEB84"/>
        <color rgb="FF63BE7B"/>
      </colorScale>
    </cfRule>
  </conditionalFormatting>
  <conditionalFormatting sqref="O36:O37 C36:M36">
    <cfRule type="colorScale" priority="18">
      <colorScale>
        <cfvo type="min"/>
        <cfvo type="percentile" val="50"/>
        <cfvo type="max"/>
        <color rgb="FFF8696B"/>
        <color rgb="FFFFEB84"/>
        <color rgb="FF63BE7B"/>
      </colorScale>
    </cfRule>
  </conditionalFormatting>
  <conditionalFormatting sqref="C38:M38">
    <cfRule type="colorScale" priority="17">
      <colorScale>
        <cfvo type="min"/>
        <cfvo type="percentile" val="50"/>
        <cfvo type="max"/>
        <color rgb="FF63BE7B"/>
        <color rgb="FFFFEB84"/>
        <color rgb="FFF8696B"/>
      </colorScale>
    </cfRule>
  </conditionalFormatting>
  <conditionalFormatting sqref="D39:M39">
    <cfRule type="colorScale" priority="16">
      <colorScale>
        <cfvo type="min"/>
        <cfvo type="percentile" val="50"/>
        <cfvo type="max"/>
        <color rgb="FF63BE7B"/>
        <color rgb="FFFFEB84"/>
        <color rgb="FFF8696B"/>
      </colorScale>
    </cfRule>
  </conditionalFormatting>
  <conditionalFormatting sqref="C42:M42">
    <cfRule type="colorScale" priority="15">
      <colorScale>
        <cfvo type="min"/>
        <cfvo type="percentile" val="50"/>
        <cfvo type="max"/>
        <color rgb="FFF8696B"/>
        <color rgb="FFFFEB84"/>
        <color rgb="FF63BE7B"/>
      </colorScale>
    </cfRule>
  </conditionalFormatting>
  <conditionalFormatting sqref="C40:M41">
    <cfRule type="colorScale" priority="14">
      <colorScale>
        <cfvo type="min"/>
        <cfvo type="percentile" val="50"/>
        <cfvo type="max"/>
        <color rgb="FF63BE7B"/>
        <color rgb="FFFFEB84"/>
        <color rgb="FFF8696B"/>
      </colorScale>
    </cfRule>
  </conditionalFormatting>
  <conditionalFormatting sqref="C27:M27">
    <cfRule type="colorScale" priority="13">
      <colorScale>
        <cfvo type="min"/>
        <cfvo type="percentile" val="50"/>
        <cfvo type="max"/>
        <color rgb="FFF8696B"/>
        <color rgb="FFFFEB84"/>
        <color rgb="FF63BE7B"/>
      </colorScale>
    </cfRule>
  </conditionalFormatting>
  <conditionalFormatting sqref="C28:M28">
    <cfRule type="colorScale" priority="12">
      <colorScale>
        <cfvo type="min"/>
        <cfvo type="percentile" val="50"/>
        <cfvo type="max"/>
        <color rgb="FFF8696B"/>
        <color rgb="FFFFEB84"/>
        <color rgb="FF63BE7B"/>
      </colorScale>
    </cfRule>
  </conditionalFormatting>
  <conditionalFormatting sqref="C31:M31">
    <cfRule type="colorScale" priority="11">
      <colorScale>
        <cfvo type="min"/>
        <cfvo type="percentile" val="50"/>
        <cfvo type="max"/>
        <color rgb="FFF8696B"/>
        <color rgb="FFFFEB84"/>
        <color rgb="FF63BE7B"/>
      </colorScale>
    </cfRule>
  </conditionalFormatting>
  <conditionalFormatting sqref="C30:M30">
    <cfRule type="colorScale" priority="10">
      <colorScale>
        <cfvo type="min"/>
        <cfvo type="percentile" val="50"/>
        <cfvo type="max"/>
        <color rgb="FF63BE7B"/>
        <color rgb="FFFFEB84"/>
        <color rgb="FFF8696B"/>
      </colorScale>
    </cfRule>
  </conditionalFormatting>
  <conditionalFormatting sqref="C37:M37">
    <cfRule type="colorScale" priority="9">
      <colorScale>
        <cfvo type="min"/>
        <cfvo type="percentile" val="50"/>
        <cfvo type="max"/>
        <color rgb="FFF8696B"/>
        <color rgb="FFFFEB84"/>
        <color rgb="FF63BE7B"/>
      </colorScale>
    </cfRule>
  </conditionalFormatting>
  <conditionalFormatting sqref="C43:M43">
    <cfRule type="colorScale" priority="8">
      <colorScale>
        <cfvo type="min"/>
        <cfvo type="percentile" val="50"/>
        <cfvo type="max"/>
        <color rgb="FFF8696B"/>
        <color rgb="FFFFEB84"/>
        <color rgb="FF63BE7B"/>
      </colorScale>
    </cfRule>
  </conditionalFormatting>
  <conditionalFormatting sqref="D49:L57">
    <cfRule type="colorScale" priority="7">
      <colorScale>
        <cfvo type="min"/>
        <cfvo type="percentile" val="50"/>
        <cfvo type="max"/>
        <color rgb="FFF8696B"/>
        <color rgb="FFFFEB84"/>
        <color rgb="FF63BE7B"/>
      </colorScale>
    </cfRule>
  </conditionalFormatting>
  <conditionalFormatting sqref="D62:L70">
    <cfRule type="colorScale" priority="6">
      <colorScale>
        <cfvo type="min"/>
        <cfvo type="percentile" val="50"/>
        <cfvo type="max"/>
        <color rgb="FFF8696B"/>
        <color rgb="FFFFEB84"/>
        <color rgb="FF63BE7B"/>
      </colorScale>
    </cfRule>
  </conditionalFormatting>
  <conditionalFormatting sqref="D75:L83">
    <cfRule type="colorScale" priority="5">
      <colorScale>
        <cfvo type="min"/>
        <cfvo type="percentile" val="50"/>
        <cfvo type="max"/>
        <color rgb="FFF8696B"/>
        <color rgb="FFFFEB84"/>
        <color rgb="FF63BE7B"/>
      </colorScale>
    </cfRule>
  </conditionalFormatting>
  <conditionalFormatting sqref="D88:L96">
    <cfRule type="colorScale" priority="4">
      <colorScale>
        <cfvo type="min"/>
        <cfvo type="percentile" val="50"/>
        <cfvo type="max"/>
        <color rgb="FFF8696B"/>
        <color rgb="FFFFEB84"/>
        <color rgb="FF63BE7B"/>
      </colorScale>
    </cfRule>
  </conditionalFormatting>
  <conditionalFormatting sqref="C29:M29">
    <cfRule type="colorScale" priority="3">
      <colorScale>
        <cfvo type="min"/>
        <cfvo type="percentile" val="50"/>
        <cfvo type="max"/>
        <color rgb="FF63BE7B"/>
        <color rgb="FFFFEB84"/>
        <color rgb="FFF8696B"/>
      </colorScale>
    </cfRule>
  </conditionalFormatting>
  <conditionalFormatting sqref="C26:M26">
    <cfRule type="colorScale" priority="2">
      <colorScale>
        <cfvo type="min"/>
        <cfvo type="percentile" val="50"/>
        <cfvo type="max"/>
        <color rgb="FFF8696B"/>
        <color rgb="FFFFEB84"/>
        <color rgb="FF63BE7B"/>
      </colorScale>
    </cfRule>
  </conditionalFormatting>
  <conditionalFormatting sqref="C44:M4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D623A-C9CE-4CFC-BAB3-02639F3B1753}">
  <dimension ref="A1:H262"/>
  <sheetViews>
    <sheetView workbookViewId="0">
      <selection sqref="A1:H1048576"/>
    </sheetView>
  </sheetViews>
  <sheetFormatPr defaultRowHeight="15" x14ac:dyDescent="0.25"/>
  <sheetData>
    <row r="1" spans="1:8" x14ac:dyDescent="0.25">
      <c r="B1">
        <v>2016</v>
      </c>
      <c r="C1">
        <v>2017</v>
      </c>
      <c r="D1">
        <v>2018</v>
      </c>
      <c r="E1">
        <v>2019</v>
      </c>
      <c r="F1">
        <v>2020</v>
      </c>
      <c r="G1" t="s">
        <v>0</v>
      </c>
      <c r="H1" t="s">
        <v>51</v>
      </c>
    </row>
    <row r="2" spans="1:8" x14ac:dyDescent="0.25">
      <c r="A2" t="s">
        <v>7</v>
      </c>
      <c r="B2" t="s">
        <v>8</v>
      </c>
      <c r="C2" t="s">
        <v>8</v>
      </c>
      <c r="D2" t="s">
        <v>8</v>
      </c>
      <c r="E2" t="s">
        <v>8</v>
      </c>
      <c r="F2" t="s">
        <v>8</v>
      </c>
      <c r="G2" t="s">
        <v>8</v>
      </c>
      <c r="H2" t="s">
        <v>8</v>
      </c>
    </row>
    <row r="3" spans="1:8" x14ac:dyDescent="0.25">
      <c r="A3" t="s">
        <v>52</v>
      </c>
      <c r="B3" t="s">
        <v>53</v>
      </c>
      <c r="C3" t="s">
        <v>53</v>
      </c>
      <c r="D3" t="s">
        <v>53</v>
      </c>
      <c r="E3" t="s">
        <v>53</v>
      </c>
      <c r="F3" t="s">
        <v>53</v>
      </c>
      <c r="G3" t="s">
        <v>0</v>
      </c>
      <c r="H3" t="s">
        <v>51</v>
      </c>
    </row>
    <row r="4" spans="1:8" x14ac:dyDescent="0.25">
      <c r="A4" t="s">
        <v>54</v>
      </c>
      <c r="B4" t="s">
        <v>10</v>
      </c>
      <c r="C4" t="s">
        <v>10</v>
      </c>
      <c r="D4" t="s">
        <v>10</v>
      </c>
      <c r="E4" t="s">
        <v>10</v>
      </c>
      <c r="F4" t="s">
        <v>10</v>
      </c>
      <c r="G4" t="s">
        <v>10</v>
      </c>
      <c r="H4" t="s">
        <v>10</v>
      </c>
    </row>
    <row r="5" spans="1:8" x14ac:dyDescent="0.25">
      <c r="A5" t="s">
        <v>11</v>
      </c>
      <c r="B5" t="s">
        <v>12</v>
      </c>
      <c r="C5" t="s">
        <v>12</v>
      </c>
      <c r="D5" t="s">
        <v>12</v>
      </c>
      <c r="E5" t="s">
        <v>12</v>
      </c>
      <c r="F5" t="s">
        <v>12</v>
      </c>
      <c r="G5" t="s">
        <v>12</v>
      </c>
      <c r="H5" t="s">
        <v>12</v>
      </c>
    </row>
    <row r="6" spans="1:8" x14ac:dyDescent="0.25">
      <c r="A6" t="s">
        <v>55</v>
      </c>
      <c r="B6">
        <v>117.04</v>
      </c>
      <c r="C6">
        <v>117.04</v>
      </c>
      <c r="D6">
        <v>117.04</v>
      </c>
      <c r="E6">
        <v>117.04</v>
      </c>
      <c r="F6">
        <v>117.04</v>
      </c>
      <c r="G6">
        <v>117.04</v>
      </c>
      <c r="H6">
        <v>117.04</v>
      </c>
    </row>
    <row r="7" spans="1:8" x14ac:dyDescent="0.25">
      <c r="A7" t="s">
        <v>56</v>
      </c>
      <c r="B7">
        <v>108.65</v>
      </c>
      <c r="C7">
        <v>108.65</v>
      </c>
      <c r="D7">
        <v>108.65</v>
      </c>
      <c r="E7">
        <v>108.65</v>
      </c>
      <c r="F7">
        <v>108.65</v>
      </c>
      <c r="G7">
        <v>108.65</v>
      </c>
      <c r="H7">
        <v>108.65</v>
      </c>
    </row>
    <row r="8" spans="1:8" x14ac:dyDescent="0.25">
      <c r="A8" t="s">
        <v>57</v>
      </c>
      <c r="B8">
        <v>7.72</v>
      </c>
      <c r="C8">
        <v>7.72</v>
      </c>
      <c r="D8">
        <v>7.72</v>
      </c>
      <c r="E8">
        <v>7.72</v>
      </c>
      <c r="F8">
        <v>7.72</v>
      </c>
      <c r="G8">
        <v>7.72</v>
      </c>
      <c r="H8">
        <v>7.72</v>
      </c>
    </row>
    <row r="9" spans="1:8" x14ac:dyDescent="0.25">
      <c r="A9" t="s">
        <v>58</v>
      </c>
      <c r="B9">
        <v>118.92</v>
      </c>
      <c r="C9">
        <v>118.92</v>
      </c>
      <c r="D9">
        <v>118.92</v>
      </c>
      <c r="E9">
        <v>118.92</v>
      </c>
      <c r="F9">
        <v>118.92</v>
      </c>
      <c r="G9">
        <v>118.92</v>
      </c>
      <c r="H9">
        <v>118.92</v>
      </c>
    </row>
    <row r="10" spans="1:8" x14ac:dyDescent="0.25">
      <c r="A10" t="s">
        <v>59</v>
      </c>
      <c r="B10">
        <v>45.85</v>
      </c>
      <c r="C10">
        <v>45.85</v>
      </c>
      <c r="D10">
        <v>45.85</v>
      </c>
      <c r="E10">
        <v>45.85</v>
      </c>
      <c r="F10">
        <v>45.85</v>
      </c>
      <c r="G10">
        <v>45.85</v>
      </c>
      <c r="H10">
        <v>45.85</v>
      </c>
    </row>
    <row r="11" spans="1:8" x14ac:dyDescent="0.25">
      <c r="A11" t="s">
        <v>60</v>
      </c>
      <c r="B11">
        <v>155.2672</v>
      </c>
      <c r="C11">
        <v>155.2672</v>
      </c>
      <c r="D11">
        <v>155.2672</v>
      </c>
      <c r="E11">
        <v>155.2672</v>
      </c>
      <c r="F11">
        <v>155.2672</v>
      </c>
      <c r="G11">
        <v>155.2672</v>
      </c>
      <c r="H11">
        <v>155.2672</v>
      </c>
    </row>
    <row r="12" spans="1:8" x14ac:dyDescent="0.25">
      <c r="A12" t="s">
        <v>61</v>
      </c>
      <c r="B12">
        <v>81.489999999999995</v>
      </c>
      <c r="C12">
        <v>81.489999999999995</v>
      </c>
      <c r="D12">
        <v>81.489999999999995</v>
      </c>
      <c r="E12">
        <v>81.489999999999995</v>
      </c>
      <c r="F12">
        <v>81.489999999999995</v>
      </c>
      <c r="G12">
        <v>81.489999999999995</v>
      </c>
      <c r="H12">
        <v>81.489999999999995</v>
      </c>
    </row>
    <row r="13" spans="1:8" x14ac:dyDescent="0.25">
      <c r="A13" t="s">
        <v>62</v>
      </c>
      <c r="B13" t="s">
        <v>43</v>
      </c>
      <c r="C13" t="s">
        <v>43</v>
      </c>
      <c r="D13" t="s">
        <v>43</v>
      </c>
      <c r="E13" t="s">
        <v>43</v>
      </c>
      <c r="F13" t="s">
        <v>43</v>
      </c>
      <c r="G13" t="s">
        <v>43</v>
      </c>
      <c r="H13" t="s">
        <v>43</v>
      </c>
    </row>
    <row r="14" spans="1:8" x14ac:dyDescent="0.25">
      <c r="A14" t="s">
        <v>63</v>
      </c>
      <c r="B14" s="1">
        <v>44564.558819444443</v>
      </c>
      <c r="C14" s="1">
        <v>44564.558819444443</v>
      </c>
      <c r="D14" s="1">
        <v>44564.558819444443</v>
      </c>
      <c r="E14" s="1">
        <v>44564.558819444443</v>
      </c>
      <c r="F14" s="1">
        <v>44564.558819444443</v>
      </c>
      <c r="G14" s="1">
        <v>44564.558819444443</v>
      </c>
      <c r="H14" s="1">
        <v>44564.558819444443</v>
      </c>
    </row>
    <row r="15" spans="1:8" x14ac:dyDescent="0.25">
      <c r="A15" t="s">
        <v>64</v>
      </c>
      <c r="B15">
        <v>34.729999999999997</v>
      </c>
      <c r="C15">
        <v>34.729999999999997</v>
      </c>
      <c r="D15">
        <v>34.729999999999997</v>
      </c>
      <c r="E15">
        <v>34.729999999999997</v>
      </c>
      <c r="F15">
        <v>34.729999999999997</v>
      </c>
      <c r="G15">
        <v>32.15</v>
      </c>
      <c r="H15">
        <v>32.15</v>
      </c>
    </row>
    <row r="16" spans="1:8" x14ac:dyDescent="0.25">
      <c r="A16" t="s">
        <v>65</v>
      </c>
      <c r="B16">
        <v>52.67</v>
      </c>
      <c r="C16">
        <v>52.67</v>
      </c>
      <c r="D16">
        <v>52.67</v>
      </c>
      <c r="E16">
        <v>52.67</v>
      </c>
      <c r="F16">
        <v>52.67</v>
      </c>
      <c r="G16">
        <v>52.67</v>
      </c>
      <c r="H16">
        <v>47.61</v>
      </c>
    </row>
    <row r="17" spans="1:8" x14ac:dyDescent="0.25">
      <c r="A17" t="s">
        <v>66</v>
      </c>
      <c r="B17">
        <v>17.809999999999999</v>
      </c>
      <c r="C17">
        <v>17.809999999999999</v>
      </c>
      <c r="D17">
        <v>17.809999999999999</v>
      </c>
      <c r="E17">
        <v>17.809999999999999</v>
      </c>
      <c r="F17">
        <v>17.809999999999999</v>
      </c>
      <c r="G17">
        <v>15.73</v>
      </c>
      <c r="H17">
        <v>15.73</v>
      </c>
    </row>
    <row r="18" spans="1:8" x14ac:dyDescent="0.25">
      <c r="A18" t="s">
        <v>67</v>
      </c>
      <c r="B18">
        <v>1.79</v>
      </c>
      <c r="C18">
        <v>1.29</v>
      </c>
      <c r="D18">
        <v>1.76</v>
      </c>
      <c r="E18">
        <v>2.9</v>
      </c>
      <c r="F18">
        <v>3.37</v>
      </c>
      <c r="G18">
        <v>3.64</v>
      </c>
      <c r="H18">
        <v>1.08</v>
      </c>
    </row>
    <row r="19" spans="1:8" x14ac:dyDescent="0.25">
      <c r="A19" t="s">
        <v>68</v>
      </c>
      <c r="B19">
        <v>0</v>
      </c>
      <c r="C19">
        <v>-0.27929999999999999</v>
      </c>
      <c r="D19">
        <v>0.36430000000000001</v>
      </c>
      <c r="E19">
        <v>0.65039999999999998</v>
      </c>
      <c r="F19">
        <v>0.1608</v>
      </c>
      <c r="G19">
        <v>0.08</v>
      </c>
      <c r="H19">
        <v>0.14000000000000001</v>
      </c>
    </row>
    <row r="20" spans="1:8" x14ac:dyDescent="0.25">
      <c r="A20" t="s">
        <v>69</v>
      </c>
      <c r="B20">
        <v>0.15690000000000001</v>
      </c>
      <c r="C20">
        <v>0.15690000000000001</v>
      </c>
      <c r="D20">
        <v>0.15690000000000001</v>
      </c>
      <c r="E20">
        <v>0.15690000000000001</v>
      </c>
      <c r="F20">
        <v>0.15690000000000001</v>
      </c>
      <c r="G20">
        <v>0.15690000000000001</v>
      </c>
      <c r="H20">
        <v>0.15690000000000001</v>
      </c>
    </row>
    <row r="21" spans="1:8" x14ac:dyDescent="0.25">
      <c r="A21" t="s">
        <v>70</v>
      </c>
      <c r="B21">
        <v>3.12</v>
      </c>
      <c r="C21">
        <v>2.2400000000000002</v>
      </c>
      <c r="D21">
        <v>3.56</v>
      </c>
      <c r="E21">
        <v>3.02</v>
      </c>
      <c r="F21">
        <v>2.92</v>
      </c>
      <c r="G21">
        <v>4.24</v>
      </c>
      <c r="H21">
        <v>1.64</v>
      </c>
    </row>
    <row r="22" spans="1:8" x14ac:dyDescent="0.25">
      <c r="A22" t="s">
        <v>71</v>
      </c>
      <c r="B22">
        <v>3.5</v>
      </c>
      <c r="C22">
        <v>2.87</v>
      </c>
      <c r="D22">
        <v>2.06</v>
      </c>
      <c r="E22">
        <v>3.16</v>
      </c>
      <c r="F22">
        <v>2.48</v>
      </c>
      <c r="G22">
        <v>3.72</v>
      </c>
      <c r="H22">
        <v>3.72</v>
      </c>
    </row>
    <row r="23" spans="1:8" x14ac:dyDescent="0.25">
      <c r="A23" t="s">
        <v>72</v>
      </c>
      <c r="B23">
        <v>3.5</v>
      </c>
      <c r="C23">
        <v>2.87</v>
      </c>
      <c r="D23">
        <v>2.06</v>
      </c>
      <c r="E23">
        <v>3.16</v>
      </c>
      <c r="F23">
        <v>2.48</v>
      </c>
      <c r="G23">
        <v>3.72</v>
      </c>
      <c r="H23">
        <v>3.72</v>
      </c>
    </row>
    <row r="24" spans="1:8" x14ac:dyDescent="0.25">
      <c r="A24" t="s">
        <v>73</v>
      </c>
      <c r="B24">
        <v>0</v>
      </c>
      <c r="C24">
        <v>0</v>
      </c>
      <c r="D24">
        <v>0</v>
      </c>
      <c r="E24">
        <v>0</v>
      </c>
      <c r="F24">
        <v>0</v>
      </c>
      <c r="G24">
        <v>0</v>
      </c>
      <c r="H24">
        <v>0</v>
      </c>
    </row>
    <row r="25" spans="1:8" x14ac:dyDescent="0.25">
      <c r="A25" t="s">
        <v>74</v>
      </c>
      <c r="B25">
        <v>0</v>
      </c>
      <c r="C25">
        <v>0</v>
      </c>
      <c r="D25">
        <v>0</v>
      </c>
      <c r="E25">
        <v>0</v>
      </c>
      <c r="F25">
        <v>0</v>
      </c>
      <c r="G25">
        <v>0</v>
      </c>
      <c r="H25">
        <v>0</v>
      </c>
    </row>
    <row r="26" spans="1:8" x14ac:dyDescent="0.25">
      <c r="A26" t="s">
        <v>75</v>
      </c>
      <c r="B26">
        <v>0.2</v>
      </c>
      <c r="C26">
        <v>0.2</v>
      </c>
      <c r="D26">
        <v>0.49</v>
      </c>
      <c r="E26">
        <v>0.73</v>
      </c>
      <c r="F26">
        <v>0.65</v>
      </c>
      <c r="G26">
        <v>0.62</v>
      </c>
      <c r="H26">
        <v>0.62</v>
      </c>
    </row>
    <row r="27" spans="1:8" x14ac:dyDescent="0.25">
      <c r="A27" t="s">
        <v>76</v>
      </c>
      <c r="B27">
        <v>18.27</v>
      </c>
      <c r="C27">
        <v>19.45</v>
      </c>
      <c r="D27">
        <v>18.850000000000001</v>
      </c>
      <c r="E27">
        <v>22.24</v>
      </c>
      <c r="F27">
        <v>25.72</v>
      </c>
      <c r="G27">
        <v>27.54</v>
      </c>
      <c r="H27">
        <v>27.54</v>
      </c>
    </row>
    <row r="28" spans="1:8" x14ac:dyDescent="0.25">
      <c r="A28" t="s">
        <v>77</v>
      </c>
      <c r="B28">
        <v>8.5500000000000007E-2</v>
      </c>
      <c r="C28">
        <v>8.5500000000000007E-2</v>
      </c>
      <c r="D28">
        <v>8.5500000000000007E-2</v>
      </c>
      <c r="E28">
        <v>8.5500000000000007E-2</v>
      </c>
      <c r="F28">
        <v>8.5500000000000007E-2</v>
      </c>
      <c r="G28">
        <v>8.5500000000000007E-2</v>
      </c>
      <c r="H28">
        <v>8.5500000000000007E-2</v>
      </c>
    </row>
    <row r="29" spans="1:8" x14ac:dyDescent="0.25">
      <c r="A29" t="s">
        <v>78</v>
      </c>
      <c r="B29">
        <v>9.8199999999999996E-2</v>
      </c>
      <c r="C29">
        <v>6.6299999999999998E-2</v>
      </c>
      <c r="D29">
        <v>9.35E-2</v>
      </c>
      <c r="E29">
        <v>0.13059999999999999</v>
      </c>
      <c r="F29">
        <v>0.13109999999999999</v>
      </c>
      <c r="G29">
        <v>0.13200000000000001</v>
      </c>
      <c r="H29">
        <v>0.13200000000000001</v>
      </c>
    </row>
    <row r="30" spans="1:8" x14ac:dyDescent="0.25">
      <c r="A30" t="s">
        <v>79</v>
      </c>
      <c r="B30">
        <v>7.2300000000000003E-2</v>
      </c>
      <c r="C30">
        <v>4.7899999999999998E-2</v>
      </c>
      <c r="D30">
        <v>5.4600000000000003E-2</v>
      </c>
      <c r="E30">
        <v>6.8199999999999997E-2</v>
      </c>
      <c r="F30">
        <v>7.1800000000000003E-2</v>
      </c>
      <c r="G30">
        <v>7.4399999999999994E-2</v>
      </c>
      <c r="H30">
        <v>7.4399999999999994E-2</v>
      </c>
    </row>
    <row r="31" spans="1:8" x14ac:dyDescent="0.25">
      <c r="A31" t="s">
        <v>80</v>
      </c>
      <c r="B31">
        <v>0.62</v>
      </c>
      <c r="C31">
        <v>0.61</v>
      </c>
      <c r="D31">
        <v>0.61</v>
      </c>
      <c r="E31">
        <v>0.62</v>
      </c>
      <c r="F31">
        <v>0.61</v>
      </c>
      <c r="G31">
        <v>0.59530000000000005</v>
      </c>
      <c r="H31">
        <v>0.59389999999999998</v>
      </c>
    </row>
    <row r="32" spans="1:8" x14ac:dyDescent="0.25">
      <c r="A32" t="s">
        <v>81</v>
      </c>
      <c r="B32">
        <v>0.14000000000000001</v>
      </c>
      <c r="C32">
        <v>0.09</v>
      </c>
      <c r="D32">
        <v>0.11</v>
      </c>
      <c r="E32">
        <v>0.17</v>
      </c>
      <c r="F32">
        <v>0.17</v>
      </c>
      <c r="G32">
        <v>0.1777</v>
      </c>
      <c r="H32">
        <v>0.20799999999999999</v>
      </c>
    </row>
    <row r="33" spans="1:8" x14ac:dyDescent="0.25">
      <c r="A33" t="s">
        <v>82</v>
      </c>
      <c r="B33">
        <v>0.2</v>
      </c>
      <c r="C33">
        <v>0.16</v>
      </c>
      <c r="D33">
        <v>0.15</v>
      </c>
      <c r="E33">
        <v>0.2</v>
      </c>
      <c r="F33">
        <v>0.22</v>
      </c>
      <c r="G33">
        <v>0.22339999999999999</v>
      </c>
      <c r="H33">
        <v>0.24079999999999999</v>
      </c>
    </row>
    <row r="34" spans="1:8" x14ac:dyDescent="0.25">
      <c r="A34" t="s">
        <v>83</v>
      </c>
      <c r="B34">
        <v>2.34</v>
      </c>
      <c r="C34">
        <v>2.4900000000000002</v>
      </c>
      <c r="D34">
        <v>2.71</v>
      </c>
      <c r="E34">
        <v>2.89</v>
      </c>
      <c r="F34">
        <v>3.2</v>
      </c>
      <c r="G34">
        <v>3.4021499999999998</v>
      </c>
      <c r="H34">
        <v>0.86033000000000004</v>
      </c>
    </row>
    <row r="35" spans="1:8" x14ac:dyDescent="0.25">
      <c r="A35" t="s">
        <v>84</v>
      </c>
      <c r="B35">
        <v>7.7700000000000005E-2</v>
      </c>
      <c r="C35">
        <v>7.7700000000000005E-2</v>
      </c>
      <c r="D35">
        <v>7.7700000000000005E-2</v>
      </c>
      <c r="E35">
        <v>7.7700000000000005E-2</v>
      </c>
      <c r="F35">
        <v>7.7700000000000005E-2</v>
      </c>
      <c r="G35">
        <v>7.7700000000000005E-2</v>
      </c>
      <c r="H35">
        <v>7.7700000000000005E-2</v>
      </c>
    </row>
    <row r="36" spans="1:8" x14ac:dyDescent="0.25">
      <c r="A36" t="s">
        <v>85</v>
      </c>
      <c r="B36">
        <v>0.31613000000000002</v>
      </c>
      <c r="C36">
        <v>0.22277</v>
      </c>
      <c r="D36">
        <v>0.29837000000000002</v>
      </c>
      <c r="E36">
        <v>0.47804000000000002</v>
      </c>
      <c r="F36">
        <v>0.55705000000000005</v>
      </c>
      <c r="G36">
        <v>0.60448999999999997</v>
      </c>
      <c r="H36">
        <v>0.17892</v>
      </c>
    </row>
    <row r="37" spans="1:8" x14ac:dyDescent="0.25">
      <c r="A37" t="s">
        <v>86</v>
      </c>
      <c r="B37">
        <v>0.1384</v>
      </c>
      <c r="C37">
        <v>0.1384</v>
      </c>
      <c r="D37">
        <v>0.1384</v>
      </c>
      <c r="E37">
        <v>0.1384</v>
      </c>
      <c r="F37">
        <v>0.1384</v>
      </c>
      <c r="G37">
        <v>0.1384</v>
      </c>
      <c r="H37">
        <v>0.1384</v>
      </c>
    </row>
    <row r="38" spans="1:8" x14ac:dyDescent="0.25">
      <c r="A38" t="s">
        <v>87</v>
      </c>
      <c r="B38">
        <v>0.55001</v>
      </c>
      <c r="C38">
        <v>0.38621</v>
      </c>
      <c r="D38">
        <v>0.60258999999999996</v>
      </c>
      <c r="E38">
        <v>0.49623</v>
      </c>
      <c r="F38">
        <v>0.48313</v>
      </c>
      <c r="G38">
        <v>0.70577000000000001</v>
      </c>
      <c r="H38">
        <v>0.27349000000000001</v>
      </c>
    </row>
    <row r="39" spans="1:8" x14ac:dyDescent="0.25">
      <c r="A39" t="s">
        <v>88</v>
      </c>
      <c r="B39">
        <v>5.11E-2</v>
      </c>
      <c r="C39">
        <v>5.11E-2</v>
      </c>
      <c r="D39">
        <v>5.11E-2</v>
      </c>
      <c r="E39">
        <v>5.11E-2</v>
      </c>
      <c r="F39">
        <v>5.11E-2</v>
      </c>
      <c r="G39">
        <v>5.11E-2</v>
      </c>
      <c r="H39">
        <v>5.11E-2</v>
      </c>
    </row>
    <row r="40" spans="1:8" x14ac:dyDescent="0.25">
      <c r="A40" t="s">
        <v>89</v>
      </c>
      <c r="B40">
        <v>3.22</v>
      </c>
      <c r="C40">
        <v>3.36</v>
      </c>
      <c r="D40">
        <v>3.19</v>
      </c>
      <c r="E40">
        <v>3.66</v>
      </c>
      <c r="F40">
        <v>4.25</v>
      </c>
      <c r="G40">
        <v>4.58</v>
      </c>
      <c r="H40">
        <v>4.58</v>
      </c>
    </row>
    <row r="41" spans="1:8" x14ac:dyDescent="0.25">
      <c r="A41" t="s">
        <v>90</v>
      </c>
      <c r="B41">
        <v>0.64009000000000005</v>
      </c>
      <c r="C41">
        <v>0.66291</v>
      </c>
      <c r="D41">
        <v>1.56063</v>
      </c>
      <c r="E41">
        <v>2.6694599999999999</v>
      </c>
      <c r="F41">
        <v>2.7747999999999999</v>
      </c>
      <c r="G41">
        <v>2.84456</v>
      </c>
      <c r="H41">
        <v>2.84456</v>
      </c>
    </row>
    <row r="42" spans="1:8" x14ac:dyDescent="0.25">
      <c r="A42" t="s">
        <v>91</v>
      </c>
      <c r="B42">
        <v>0.86629999999999996</v>
      </c>
      <c r="C42">
        <v>0.80098000000000003</v>
      </c>
      <c r="D42">
        <v>1.01</v>
      </c>
      <c r="E42">
        <v>1.06</v>
      </c>
      <c r="F42">
        <v>1.22</v>
      </c>
      <c r="G42">
        <v>1.3087500000000001</v>
      </c>
      <c r="H42">
        <v>0.38973999999999998</v>
      </c>
    </row>
    <row r="43" spans="1:8" x14ac:dyDescent="0.25">
      <c r="A43" t="s">
        <v>92</v>
      </c>
      <c r="B43">
        <v>-0.46943000000000001</v>
      </c>
      <c r="C43">
        <v>-0.45917000000000002</v>
      </c>
      <c r="D43">
        <v>-0.50653000000000004</v>
      </c>
      <c r="E43">
        <v>-1.67</v>
      </c>
      <c r="F43">
        <v>-1.04</v>
      </c>
      <c r="G43">
        <v>-0.42087999999999998</v>
      </c>
      <c r="H43">
        <v>0.39298</v>
      </c>
    </row>
    <row r="44" spans="1:8" x14ac:dyDescent="0.25">
      <c r="A44" t="s">
        <v>93</v>
      </c>
      <c r="B44">
        <v>0</v>
      </c>
      <c r="C44">
        <v>0</v>
      </c>
      <c r="D44">
        <v>0</v>
      </c>
      <c r="E44">
        <v>0</v>
      </c>
      <c r="F44">
        <v>0</v>
      </c>
      <c r="G44">
        <v>0</v>
      </c>
      <c r="H44">
        <v>0</v>
      </c>
    </row>
    <row r="45" spans="1:8" x14ac:dyDescent="0.25">
      <c r="A45" t="s">
        <v>94</v>
      </c>
      <c r="B45">
        <v>-0.37379000000000001</v>
      </c>
      <c r="C45">
        <v>-0.36119000000000001</v>
      </c>
      <c r="D45">
        <v>-0.75</v>
      </c>
      <c r="E45">
        <v>-0.33451999999999998</v>
      </c>
      <c r="F45">
        <v>-0.19359000000000001</v>
      </c>
      <c r="G45">
        <v>-0.32377</v>
      </c>
      <c r="H45">
        <v>-9.6839999999999996E-2</v>
      </c>
    </row>
    <row r="46" spans="1:8" x14ac:dyDescent="0.25">
      <c r="A46" t="s">
        <v>95</v>
      </c>
      <c r="B46">
        <v>-0.35426999999999997</v>
      </c>
      <c r="C46">
        <v>-0.36501</v>
      </c>
      <c r="D46">
        <v>0.23361000000000001</v>
      </c>
      <c r="E46">
        <v>-3.5680000000000003E-2</v>
      </c>
      <c r="F46">
        <v>-0.22364000000000001</v>
      </c>
      <c r="G46">
        <v>-0.36386000000000002</v>
      </c>
      <c r="H46">
        <v>-9.3160000000000007E-2</v>
      </c>
    </row>
    <row r="47" spans="1:8" x14ac:dyDescent="0.25">
      <c r="A47" t="s">
        <v>96</v>
      </c>
      <c r="B47">
        <v>21.010978399999999</v>
      </c>
      <c r="C47">
        <v>21.010978399999999</v>
      </c>
      <c r="D47">
        <v>21.010978399999999</v>
      </c>
      <c r="E47">
        <v>21.010978399999999</v>
      </c>
      <c r="F47">
        <v>21.010978399999999</v>
      </c>
      <c r="G47">
        <v>20.390652800000002</v>
      </c>
      <c r="H47">
        <v>20.390652800000002</v>
      </c>
    </row>
    <row r="48" spans="1:8" x14ac:dyDescent="0.25">
      <c r="A48" t="s">
        <v>97</v>
      </c>
      <c r="B48">
        <v>0.17621999999999999</v>
      </c>
      <c r="C48">
        <v>0.17271</v>
      </c>
      <c r="D48">
        <v>0.16919000000000001</v>
      </c>
      <c r="E48">
        <v>0.16456999999999999</v>
      </c>
      <c r="F48">
        <v>0.16521</v>
      </c>
      <c r="G48">
        <v>0.16632</v>
      </c>
      <c r="H48">
        <v>0.16632</v>
      </c>
    </row>
    <row r="49" spans="1:8" x14ac:dyDescent="0.25">
      <c r="A49" t="s">
        <v>98</v>
      </c>
      <c r="B49">
        <v>8.81</v>
      </c>
      <c r="C49">
        <v>8.1199999999999992</v>
      </c>
      <c r="D49">
        <v>7.31</v>
      </c>
      <c r="E49">
        <v>6.66</v>
      </c>
      <c r="F49">
        <v>6.04</v>
      </c>
      <c r="G49">
        <v>5.6</v>
      </c>
      <c r="H49">
        <v>5.6</v>
      </c>
    </row>
    <row r="50" spans="1:8" x14ac:dyDescent="0.25">
      <c r="A50" t="s">
        <v>99</v>
      </c>
      <c r="B50">
        <v>6.41</v>
      </c>
      <c r="C50">
        <v>6.02</v>
      </c>
      <c r="D50">
        <v>6.21</v>
      </c>
      <c r="E50">
        <v>5.26</v>
      </c>
      <c r="F50">
        <v>4.55</v>
      </c>
      <c r="G50">
        <v>4.16</v>
      </c>
      <c r="H50">
        <v>4.16</v>
      </c>
    </row>
    <row r="51" spans="1:8" x14ac:dyDescent="0.25">
      <c r="A51" t="s">
        <v>100</v>
      </c>
      <c r="B51">
        <v>772.37</v>
      </c>
      <c r="C51">
        <v>851.72</v>
      </c>
      <c r="D51">
        <v>692.61</v>
      </c>
      <c r="E51">
        <v>678.6</v>
      </c>
      <c r="F51">
        <v>590.4</v>
      </c>
      <c r="G51">
        <v>14.56</v>
      </c>
      <c r="H51">
        <v>14.56</v>
      </c>
    </row>
    <row r="52" spans="1:8" x14ac:dyDescent="0.25">
      <c r="A52" t="s">
        <v>101</v>
      </c>
      <c r="B52">
        <v>0.36</v>
      </c>
      <c r="C52">
        <v>0.38</v>
      </c>
      <c r="D52">
        <v>0.71</v>
      </c>
      <c r="E52">
        <v>0.92</v>
      </c>
      <c r="F52">
        <v>0.83</v>
      </c>
      <c r="G52">
        <v>0.77</v>
      </c>
      <c r="H52">
        <v>0.77</v>
      </c>
    </row>
    <row r="53" spans="1:8" x14ac:dyDescent="0.25">
      <c r="A53" t="s">
        <v>102</v>
      </c>
      <c r="B53">
        <v>1.35</v>
      </c>
      <c r="C53">
        <v>1.21</v>
      </c>
      <c r="D53">
        <v>0.65</v>
      </c>
      <c r="E53">
        <v>0.4</v>
      </c>
      <c r="F53">
        <v>0.44</v>
      </c>
      <c r="G53">
        <v>0.46</v>
      </c>
      <c r="H53">
        <v>0.46</v>
      </c>
    </row>
    <row r="54" spans="1:8" x14ac:dyDescent="0.25">
      <c r="A54" t="s">
        <v>103</v>
      </c>
      <c r="B54">
        <v>0.37</v>
      </c>
      <c r="C54">
        <v>0.32</v>
      </c>
      <c r="D54">
        <v>0.37</v>
      </c>
      <c r="E54">
        <v>0.37</v>
      </c>
      <c r="F54">
        <v>0.38</v>
      </c>
      <c r="G54">
        <v>0.38</v>
      </c>
      <c r="H54">
        <v>0.38</v>
      </c>
    </row>
    <row r="55" spans="1:8" x14ac:dyDescent="0.25">
      <c r="A55" t="s">
        <v>104</v>
      </c>
      <c r="B55">
        <v>2.31</v>
      </c>
      <c r="C55">
        <v>1.75</v>
      </c>
      <c r="D55">
        <v>0.83</v>
      </c>
      <c r="E55">
        <v>1.53</v>
      </c>
      <c r="F55">
        <v>1.61</v>
      </c>
      <c r="G55">
        <v>1.79</v>
      </c>
      <c r="H55">
        <v>1.79</v>
      </c>
    </row>
    <row r="56" spans="1:8" x14ac:dyDescent="0.25">
      <c r="A56" t="s">
        <v>105</v>
      </c>
      <c r="B56">
        <v>2.74</v>
      </c>
      <c r="C56">
        <v>3.6</v>
      </c>
      <c r="D56">
        <v>3.39</v>
      </c>
      <c r="E56">
        <v>2.2200000000000002</v>
      </c>
      <c r="F56">
        <v>2.19</v>
      </c>
      <c r="G56">
        <v>2.17</v>
      </c>
      <c r="H56">
        <v>2.17</v>
      </c>
    </row>
    <row r="57" spans="1:8" x14ac:dyDescent="0.25">
      <c r="A57" t="s">
        <v>7</v>
      </c>
      <c r="B57" t="s">
        <v>8</v>
      </c>
      <c r="C57" t="s">
        <v>8</v>
      </c>
      <c r="D57" t="s">
        <v>8</v>
      </c>
      <c r="E57" t="s">
        <v>8</v>
      </c>
      <c r="F57" t="s">
        <v>8</v>
      </c>
      <c r="G57" t="s">
        <v>8</v>
      </c>
      <c r="H57" t="s">
        <v>8</v>
      </c>
    </row>
    <row r="58" spans="1:8" x14ac:dyDescent="0.25">
      <c r="A58" t="s">
        <v>52</v>
      </c>
      <c r="B58" t="s">
        <v>53</v>
      </c>
      <c r="C58" t="s">
        <v>53</v>
      </c>
      <c r="D58" t="s">
        <v>53</v>
      </c>
      <c r="E58" t="s">
        <v>53</v>
      </c>
      <c r="F58" t="s">
        <v>53</v>
      </c>
      <c r="G58" t="s">
        <v>0</v>
      </c>
      <c r="H58" t="s">
        <v>51</v>
      </c>
    </row>
    <row r="59" spans="1:8" x14ac:dyDescent="0.25">
      <c r="A59" t="s">
        <v>54</v>
      </c>
      <c r="B59" t="s">
        <v>10</v>
      </c>
      <c r="C59" t="s">
        <v>10</v>
      </c>
      <c r="D59" t="s">
        <v>10</v>
      </c>
      <c r="E59" t="s">
        <v>10</v>
      </c>
      <c r="F59" t="s">
        <v>10</v>
      </c>
      <c r="G59" t="s">
        <v>10</v>
      </c>
      <c r="H59" t="s">
        <v>10</v>
      </c>
    </row>
    <row r="60" spans="1:8" x14ac:dyDescent="0.25">
      <c r="A60" t="s">
        <v>55</v>
      </c>
      <c r="B60">
        <v>117.04</v>
      </c>
      <c r="C60">
        <v>117.04</v>
      </c>
      <c r="D60">
        <v>117.04</v>
      </c>
      <c r="E60">
        <v>117.04</v>
      </c>
      <c r="F60">
        <v>117.04</v>
      </c>
      <c r="G60">
        <v>117.04</v>
      </c>
      <c r="H60">
        <v>117.04</v>
      </c>
    </row>
    <row r="61" spans="1:8" x14ac:dyDescent="0.25">
      <c r="A61" t="s">
        <v>83</v>
      </c>
      <c r="B61">
        <v>2.34</v>
      </c>
      <c r="C61">
        <v>2.4900000000000002</v>
      </c>
      <c r="D61">
        <v>2.71</v>
      </c>
      <c r="E61">
        <v>2.89</v>
      </c>
      <c r="F61">
        <v>3.2</v>
      </c>
      <c r="G61">
        <v>3.4021499999999998</v>
      </c>
      <c r="H61">
        <v>0.86033000000000004</v>
      </c>
    </row>
    <row r="62" spans="1:8" x14ac:dyDescent="0.25">
      <c r="A62" t="s">
        <v>106</v>
      </c>
      <c r="B62">
        <v>0</v>
      </c>
      <c r="C62">
        <v>6.3700000000000007E-2</v>
      </c>
      <c r="D62">
        <v>9.06E-2</v>
      </c>
      <c r="E62">
        <v>6.6000000000000003E-2</v>
      </c>
      <c r="F62">
        <v>0.1052</v>
      </c>
      <c r="G62">
        <v>6.3200000000000006E-2</v>
      </c>
      <c r="H62">
        <v>0.09</v>
      </c>
    </row>
    <row r="63" spans="1:8" x14ac:dyDescent="0.25">
      <c r="A63" t="s">
        <v>107</v>
      </c>
      <c r="B63">
        <v>0.90142</v>
      </c>
      <c r="C63">
        <v>0.98287000000000002</v>
      </c>
      <c r="D63">
        <v>1.07</v>
      </c>
      <c r="E63">
        <v>1.1000000000000001</v>
      </c>
      <c r="F63">
        <v>1.26</v>
      </c>
      <c r="G63">
        <v>1.37687</v>
      </c>
      <c r="H63">
        <v>0.34937000000000001</v>
      </c>
    </row>
    <row r="64" spans="1:8" x14ac:dyDescent="0.25">
      <c r="A64" t="s">
        <v>108</v>
      </c>
      <c r="B64">
        <v>0</v>
      </c>
      <c r="C64">
        <v>9.0399999999999994E-2</v>
      </c>
      <c r="D64">
        <v>8.5400000000000004E-2</v>
      </c>
      <c r="E64">
        <v>3.56E-2</v>
      </c>
      <c r="F64">
        <v>0.13830000000000001</v>
      </c>
      <c r="G64">
        <v>0.09</v>
      </c>
      <c r="H64">
        <v>0.11</v>
      </c>
    </row>
    <row r="65" spans="1:8" x14ac:dyDescent="0.25">
      <c r="A65" t="s">
        <v>109</v>
      </c>
      <c r="B65">
        <v>0.56711999999999996</v>
      </c>
      <c r="C65">
        <v>0.61055999999999999</v>
      </c>
      <c r="D65">
        <v>0.63229000000000002</v>
      </c>
      <c r="E65">
        <v>0.66412000000000004</v>
      </c>
      <c r="F65">
        <v>0.77919000000000005</v>
      </c>
      <c r="G65">
        <v>0.84023000000000003</v>
      </c>
      <c r="H65">
        <v>0.20963000000000001</v>
      </c>
    </row>
    <row r="66" spans="1:8" x14ac:dyDescent="0.25">
      <c r="A66" t="s">
        <v>110</v>
      </c>
      <c r="B66">
        <v>0.33429999999999999</v>
      </c>
      <c r="C66">
        <v>0.37230999999999997</v>
      </c>
      <c r="D66">
        <v>0.43452000000000002</v>
      </c>
      <c r="E66">
        <v>0.44067000000000001</v>
      </c>
      <c r="F66">
        <v>0.47838999999999998</v>
      </c>
      <c r="G66">
        <v>0.53664999999999996</v>
      </c>
      <c r="H66">
        <v>0.13975000000000001</v>
      </c>
    </row>
    <row r="67" spans="1:8" x14ac:dyDescent="0.25">
      <c r="A67" t="s">
        <v>111</v>
      </c>
      <c r="B67">
        <v>0.30765999999999999</v>
      </c>
      <c r="C67">
        <v>0.34140999999999999</v>
      </c>
      <c r="D67">
        <v>0.40121000000000001</v>
      </c>
      <c r="E67">
        <v>0.40209</v>
      </c>
      <c r="F67">
        <v>0.43634000000000001</v>
      </c>
      <c r="G67">
        <v>0.49030000000000001</v>
      </c>
      <c r="H67">
        <v>0.12778999999999999</v>
      </c>
    </row>
    <row r="68" spans="1:8" x14ac:dyDescent="0.25">
      <c r="A68" t="s">
        <v>112</v>
      </c>
      <c r="B68">
        <v>2.664E-2</v>
      </c>
      <c r="C68">
        <v>3.09E-2</v>
      </c>
      <c r="D68">
        <v>3.3309999999999999E-2</v>
      </c>
      <c r="E68">
        <v>3.8580000000000003E-2</v>
      </c>
      <c r="F68">
        <v>4.2049999999999997E-2</v>
      </c>
      <c r="G68">
        <v>4.6339999999999999E-2</v>
      </c>
      <c r="H68">
        <v>1.196E-2</v>
      </c>
    </row>
    <row r="69" spans="1:8" x14ac:dyDescent="0.25">
      <c r="A69" t="s">
        <v>113</v>
      </c>
      <c r="B69">
        <v>1.44</v>
      </c>
      <c r="C69">
        <v>1.51</v>
      </c>
      <c r="D69">
        <v>1.65</v>
      </c>
      <c r="E69">
        <v>1.79</v>
      </c>
      <c r="F69">
        <v>1.94</v>
      </c>
      <c r="G69">
        <v>2.02529</v>
      </c>
      <c r="H69">
        <v>0.51095999999999997</v>
      </c>
    </row>
    <row r="70" spans="1:8" x14ac:dyDescent="0.25">
      <c r="A70" t="s">
        <v>114</v>
      </c>
      <c r="B70">
        <v>0</v>
      </c>
      <c r="C70">
        <v>4.6899999999999997E-2</v>
      </c>
      <c r="D70">
        <v>9.3899999999999997E-2</v>
      </c>
      <c r="E70">
        <v>8.5699999999999998E-2</v>
      </c>
      <c r="F70">
        <v>8.48E-2</v>
      </c>
      <c r="G70">
        <v>0.04</v>
      </c>
      <c r="H70">
        <v>7.0000000000000007E-2</v>
      </c>
    </row>
    <row r="71" spans="1:8" x14ac:dyDescent="0.25">
      <c r="A71" t="s">
        <v>115</v>
      </c>
      <c r="B71">
        <v>0</v>
      </c>
      <c r="C71">
        <v>0</v>
      </c>
      <c r="D71">
        <v>0</v>
      </c>
      <c r="E71">
        <v>0</v>
      </c>
      <c r="F71">
        <v>0.60680000000000001</v>
      </c>
      <c r="G71">
        <v>0.63</v>
      </c>
      <c r="H71">
        <v>0.59</v>
      </c>
    </row>
    <row r="72" spans="1:8" x14ac:dyDescent="0.25">
      <c r="A72" t="s">
        <v>116</v>
      </c>
      <c r="B72">
        <v>0.96680999999999995</v>
      </c>
      <c r="C72">
        <v>1.1100000000000001</v>
      </c>
      <c r="D72">
        <v>1.24</v>
      </c>
      <c r="E72">
        <v>1.21</v>
      </c>
      <c r="F72">
        <v>1.24</v>
      </c>
      <c r="G72">
        <v>1.2652699999999999</v>
      </c>
      <c r="H72">
        <v>0.30381000000000002</v>
      </c>
    </row>
    <row r="73" spans="1:8" x14ac:dyDescent="0.25">
      <c r="A73" t="s">
        <v>117</v>
      </c>
      <c r="B73">
        <v>0</v>
      </c>
      <c r="C73">
        <v>0.14899999999999999</v>
      </c>
      <c r="D73">
        <v>0.1144</v>
      </c>
      <c r="E73">
        <v>-2.1899999999999999E-2</v>
      </c>
      <c r="F73">
        <v>2.3199999999999998E-2</v>
      </c>
      <c r="G73">
        <v>0.02</v>
      </c>
      <c r="H73">
        <v>0.03</v>
      </c>
    </row>
    <row r="74" spans="1:8" x14ac:dyDescent="0.25">
      <c r="A74" t="s">
        <v>118</v>
      </c>
      <c r="B74">
        <v>0.16763</v>
      </c>
      <c r="C74">
        <v>0.22242999999999999</v>
      </c>
      <c r="D74">
        <v>0.24617</v>
      </c>
      <c r="E74">
        <v>0.26136999999999999</v>
      </c>
      <c r="F74">
        <v>0.26932</v>
      </c>
      <c r="G74">
        <v>0.30943999999999999</v>
      </c>
      <c r="H74">
        <v>8.2900000000000001E-2</v>
      </c>
    </row>
    <row r="75" spans="1:8" x14ac:dyDescent="0.25">
      <c r="A75" t="s">
        <v>119</v>
      </c>
      <c r="B75">
        <v>0.79918999999999996</v>
      </c>
      <c r="C75">
        <v>0.88841000000000003</v>
      </c>
      <c r="D75">
        <v>0.99180000000000001</v>
      </c>
      <c r="E75">
        <v>0.94947000000000004</v>
      </c>
      <c r="F75">
        <v>0.96958</v>
      </c>
      <c r="G75">
        <v>0.95584999999999998</v>
      </c>
      <c r="H75">
        <v>0.22091</v>
      </c>
    </row>
    <row r="76" spans="1:8" x14ac:dyDescent="0.25">
      <c r="A76" t="s">
        <v>120</v>
      </c>
      <c r="B76">
        <v>0</v>
      </c>
      <c r="C76">
        <v>0</v>
      </c>
      <c r="D76">
        <v>0</v>
      </c>
      <c r="E76">
        <v>0</v>
      </c>
      <c r="F76">
        <v>0</v>
      </c>
      <c r="G76">
        <v>0</v>
      </c>
      <c r="H76">
        <v>0</v>
      </c>
    </row>
    <row r="77" spans="1:8" x14ac:dyDescent="0.25">
      <c r="A77" t="s">
        <v>121</v>
      </c>
      <c r="B77">
        <v>0.10562000000000001</v>
      </c>
      <c r="C77">
        <v>0.25563999999999998</v>
      </c>
      <c r="D77">
        <v>0.25519999999999998</v>
      </c>
      <c r="E77">
        <v>0.19957</v>
      </c>
      <c r="F77">
        <v>0.32384000000000002</v>
      </c>
      <c r="G77">
        <v>3.8330000000000003E-2</v>
      </c>
      <c r="H77">
        <v>1.8799999999999999E-3</v>
      </c>
    </row>
    <row r="78" spans="1:8" x14ac:dyDescent="0.25">
      <c r="A78" t="s">
        <v>122</v>
      </c>
      <c r="B78">
        <v>0.36619000000000002</v>
      </c>
      <c r="C78">
        <v>-0.25563999999999998</v>
      </c>
      <c r="D78">
        <v>0.1545</v>
      </c>
      <c r="E78">
        <v>0.37841999999999998</v>
      </c>
      <c r="F78">
        <v>0.37783</v>
      </c>
      <c r="G78">
        <v>-3.8330000000000003E-2</v>
      </c>
      <c r="H78">
        <v>-1.8799999999999999E-3</v>
      </c>
    </row>
    <row r="79" spans="1:8" x14ac:dyDescent="0.25">
      <c r="A79" t="s">
        <v>123</v>
      </c>
      <c r="B79">
        <v>9.7189999999999999E-2</v>
      </c>
      <c r="C79">
        <v>0.17549000000000001</v>
      </c>
      <c r="D79">
        <v>0.20485</v>
      </c>
      <c r="E79">
        <v>0.16907</v>
      </c>
      <c r="F79">
        <v>0.27825</v>
      </c>
      <c r="G79">
        <v>7.4320000000000002E-3</v>
      </c>
      <c r="H79">
        <v>3.64E-3</v>
      </c>
    </row>
    <row r="80" spans="1:8" x14ac:dyDescent="0.25">
      <c r="A80" t="s">
        <v>124</v>
      </c>
      <c r="B80">
        <v>1.47E-2</v>
      </c>
      <c r="C80">
        <v>1.7860000000000001E-2</v>
      </c>
      <c r="D80">
        <v>2.6939999999999999E-2</v>
      </c>
      <c r="E80">
        <v>3.4360000000000002E-2</v>
      </c>
      <c r="F80">
        <v>2.912E-2</v>
      </c>
      <c r="G80">
        <v>1.8460000000000001E-2</v>
      </c>
      <c r="H80">
        <v>2.8700000000000002E-3</v>
      </c>
    </row>
    <row r="81" spans="1:8" x14ac:dyDescent="0.25">
      <c r="A81" t="s">
        <v>125</v>
      </c>
      <c r="B81">
        <v>0</v>
      </c>
      <c r="C81">
        <v>0</v>
      </c>
      <c r="D81">
        <v>0</v>
      </c>
      <c r="E81">
        <v>0</v>
      </c>
      <c r="F81">
        <v>0</v>
      </c>
      <c r="G81">
        <v>0</v>
      </c>
      <c r="H81">
        <v>0</v>
      </c>
    </row>
    <row r="82" spans="1:8" x14ac:dyDescent="0.25">
      <c r="A82" t="s">
        <v>126</v>
      </c>
      <c r="B82">
        <v>1.864E-2</v>
      </c>
      <c r="C82">
        <v>1.8839999999999999E-2</v>
      </c>
      <c r="D82">
        <v>4.3200000000000002E-2</v>
      </c>
      <c r="E82">
        <v>4.9360000000000001E-2</v>
      </c>
      <c r="F82">
        <v>6.9120000000000001E-2</v>
      </c>
      <c r="G82">
        <v>7.1349999999999997E-2</v>
      </c>
      <c r="H82">
        <v>1.814E-2</v>
      </c>
    </row>
    <row r="83" spans="1:8" x14ac:dyDescent="0.25">
      <c r="A83" t="s">
        <v>127</v>
      </c>
      <c r="B83">
        <v>0</v>
      </c>
      <c r="C83">
        <v>1.0800000000000001E-2</v>
      </c>
      <c r="D83">
        <v>1.2931999999999999</v>
      </c>
      <c r="E83">
        <v>0.1426</v>
      </c>
      <c r="F83">
        <v>0.4002</v>
      </c>
      <c r="G83">
        <v>0.03</v>
      </c>
      <c r="H83">
        <v>0.05</v>
      </c>
    </row>
    <row r="84" spans="1:8" x14ac:dyDescent="0.25">
      <c r="A84" t="s">
        <v>128</v>
      </c>
      <c r="B84">
        <v>2.2040000000000001E-2</v>
      </c>
      <c r="C84">
        <v>2.283E-2</v>
      </c>
      <c r="D84">
        <v>4.7739999999999998E-2</v>
      </c>
      <c r="E84">
        <v>5.5570000000000001E-2</v>
      </c>
      <c r="F84">
        <v>7.3450000000000001E-2</v>
      </c>
      <c r="G84">
        <v>7.5359999999999996E-2</v>
      </c>
      <c r="H84">
        <v>1.908E-2</v>
      </c>
    </row>
    <row r="85" spans="1:8" x14ac:dyDescent="0.25">
      <c r="A85" t="s">
        <v>129</v>
      </c>
      <c r="B85">
        <v>3.3999999999999998E-3</v>
      </c>
      <c r="C85">
        <v>3.9899999999999996E-3</v>
      </c>
      <c r="D85">
        <v>4.5300000000000002E-3</v>
      </c>
      <c r="E85">
        <v>6.1999999999999998E-3</v>
      </c>
      <c r="F85">
        <v>4.3299999999999996E-3</v>
      </c>
      <c r="G85">
        <v>4.0049999999999999E-3</v>
      </c>
      <c r="H85">
        <v>9.3700000000000001E-4</v>
      </c>
    </row>
    <row r="86" spans="1:8" x14ac:dyDescent="0.25">
      <c r="A86" t="s">
        <v>130</v>
      </c>
      <c r="B86">
        <v>0.45945000000000003</v>
      </c>
      <c r="C86">
        <v>0.31419000000000002</v>
      </c>
      <c r="D86">
        <v>0.34309000000000001</v>
      </c>
      <c r="E86">
        <v>0.53247999999999995</v>
      </c>
      <c r="F86">
        <v>0.61607999999999996</v>
      </c>
      <c r="G86">
        <v>0.67620000000000002</v>
      </c>
      <c r="H86">
        <v>0.19363</v>
      </c>
    </row>
    <row r="87" spans="1:8" x14ac:dyDescent="0.25">
      <c r="A87" t="s">
        <v>131</v>
      </c>
      <c r="B87">
        <v>0</v>
      </c>
      <c r="C87">
        <v>-0.31619999999999998</v>
      </c>
      <c r="D87">
        <v>9.1999999999999998E-2</v>
      </c>
      <c r="E87">
        <v>0.55200000000000005</v>
      </c>
      <c r="F87">
        <v>0.157</v>
      </c>
      <c r="G87">
        <v>0.1</v>
      </c>
      <c r="H87">
        <v>0.15</v>
      </c>
    </row>
    <row r="88" spans="1:8" x14ac:dyDescent="0.25">
      <c r="A88" t="s">
        <v>132</v>
      </c>
      <c r="B88">
        <v>0</v>
      </c>
      <c r="C88">
        <v>0</v>
      </c>
      <c r="D88">
        <v>0</v>
      </c>
      <c r="E88">
        <v>0</v>
      </c>
      <c r="F88">
        <v>0.19259999999999999</v>
      </c>
      <c r="G88">
        <v>0.21</v>
      </c>
      <c r="H88">
        <v>0.23</v>
      </c>
    </row>
    <row r="89" spans="1:8" x14ac:dyDescent="0.25">
      <c r="A89" t="s">
        <v>133</v>
      </c>
      <c r="B89">
        <v>0.14330999999999999</v>
      </c>
      <c r="C89">
        <v>9.1429999999999997E-2</v>
      </c>
      <c r="D89">
        <v>4.4720000000000003E-2</v>
      </c>
      <c r="E89">
        <v>5.3350000000000002E-2</v>
      </c>
      <c r="F89">
        <v>4.5920000000000002E-2</v>
      </c>
      <c r="G89">
        <v>4.7719999999999999E-2</v>
      </c>
      <c r="H89">
        <v>1.3650000000000001E-2</v>
      </c>
    </row>
    <row r="90" spans="1:8" x14ac:dyDescent="0.25">
      <c r="A90" t="s">
        <v>134</v>
      </c>
      <c r="B90">
        <v>9.5269999999999994E-2</v>
      </c>
      <c r="C90">
        <v>4.7E-2</v>
      </c>
      <c r="D90">
        <v>-1.907E-2</v>
      </c>
      <c r="E90">
        <v>3.3E-3</v>
      </c>
      <c r="F90">
        <v>1.014E-2</v>
      </c>
      <c r="G90">
        <v>0</v>
      </c>
      <c r="H90">
        <v>0</v>
      </c>
    </row>
    <row r="91" spans="1:8" x14ac:dyDescent="0.25">
      <c r="A91" t="s">
        <v>135</v>
      </c>
      <c r="B91">
        <v>3.9949999999999999E-2</v>
      </c>
      <c r="C91">
        <v>5.1240000000000001E-2</v>
      </c>
      <c r="D91">
        <v>6.4269999999999994E-2</v>
      </c>
      <c r="E91">
        <v>7.1290000000000006E-2</v>
      </c>
      <c r="F91">
        <v>7.6160000000000005E-2</v>
      </c>
      <c r="G91">
        <v>0</v>
      </c>
      <c r="H91">
        <v>0</v>
      </c>
    </row>
    <row r="92" spans="1:8" x14ac:dyDescent="0.25">
      <c r="A92" t="s">
        <v>136</v>
      </c>
      <c r="B92">
        <v>4.1799999999999997E-3</v>
      </c>
      <c r="C92">
        <v>-2.4499999999999999E-3</v>
      </c>
      <c r="D92">
        <v>6.6600000000000001E-3</v>
      </c>
      <c r="E92">
        <v>-2.6200000000000001E-2</v>
      </c>
      <c r="F92">
        <v>-3.4349999999999999E-2</v>
      </c>
      <c r="G92">
        <v>0</v>
      </c>
      <c r="H92">
        <v>0</v>
      </c>
    </row>
    <row r="93" spans="1:8" x14ac:dyDescent="0.25">
      <c r="A93" t="s">
        <v>137</v>
      </c>
      <c r="B93">
        <v>3.9199999999999999E-3</v>
      </c>
      <c r="C93">
        <v>-4.3699999999999998E-3</v>
      </c>
      <c r="D93">
        <v>-7.1399999999999996E-3</v>
      </c>
      <c r="E93">
        <v>4.9699999999999996E-3</v>
      </c>
      <c r="F93">
        <v>-6.0200000000000002E-3</v>
      </c>
      <c r="G93">
        <v>0</v>
      </c>
      <c r="H93">
        <v>0</v>
      </c>
    </row>
    <row r="94" spans="1:8" x14ac:dyDescent="0.25">
      <c r="A94" t="s">
        <v>138</v>
      </c>
      <c r="B94">
        <v>0</v>
      </c>
      <c r="C94">
        <v>0</v>
      </c>
      <c r="D94">
        <v>0</v>
      </c>
      <c r="E94">
        <v>0</v>
      </c>
      <c r="F94">
        <v>0</v>
      </c>
      <c r="G94">
        <v>0</v>
      </c>
      <c r="H94">
        <v>0</v>
      </c>
    </row>
    <row r="95" spans="1:8" x14ac:dyDescent="0.25">
      <c r="A95" t="s">
        <v>139</v>
      </c>
      <c r="B95">
        <v>0</v>
      </c>
      <c r="C95">
        <v>0</v>
      </c>
      <c r="D95">
        <v>0</v>
      </c>
      <c r="E95">
        <v>-1.1000000000000001E-3</v>
      </c>
      <c r="F95">
        <v>-1.311E-2</v>
      </c>
      <c r="G95">
        <v>-2.4008000000000002E-2</v>
      </c>
      <c r="H95">
        <v>-1.06E-3</v>
      </c>
    </row>
    <row r="96" spans="1:8" x14ac:dyDescent="0.25">
      <c r="A96" t="s">
        <v>140</v>
      </c>
      <c r="B96">
        <v>0</v>
      </c>
      <c r="C96">
        <v>0</v>
      </c>
      <c r="D96">
        <v>0</v>
      </c>
      <c r="E96">
        <v>0</v>
      </c>
      <c r="F96">
        <v>0</v>
      </c>
      <c r="G96">
        <v>0</v>
      </c>
      <c r="H96">
        <v>0</v>
      </c>
    </row>
    <row r="97" spans="1:8" x14ac:dyDescent="0.25">
      <c r="A97" t="s">
        <v>141</v>
      </c>
      <c r="B97">
        <v>0.31613000000000002</v>
      </c>
      <c r="C97">
        <v>0.22277</v>
      </c>
      <c r="D97">
        <v>0.29837000000000002</v>
      </c>
      <c r="E97">
        <v>0.47804000000000002</v>
      </c>
      <c r="F97">
        <v>0.55705000000000005</v>
      </c>
      <c r="G97">
        <v>0.60448999999999997</v>
      </c>
      <c r="H97">
        <v>0.17892</v>
      </c>
    </row>
    <row r="98" spans="1:8" x14ac:dyDescent="0.25">
      <c r="A98" t="s">
        <v>142</v>
      </c>
      <c r="B98">
        <v>0</v>
      </c>
      <c r="C98">
        <v>0</v>
      </c>
      <c r="D98">
        <v>0</v>
      </c>
      <c r="E98">
        <v>0</v>
      </c>
      <c r="F98">
        <v>0</v>
      </c>
      <c r="G98">
        <v>0</v>
      </c>
      <c r="H98">
        <v>0</v>
      </c>
    </row>
    <row r="99" spans="1:8" x14ac:dyDescent="0.25">
      <c r="A99" t="s">
        <v>85</v>
      </c>
      <c r="B99">
        <v>0.31613000000000002</v>
      </c>
      <c r="C99">
        <v>0.22277</v>
      </c>
      <c r="D99">
        <v>0.29837000000000002</v>
      </c>
      <c r="E99">
        <v>0.47804000000000002</v>
      </c>
      <c r="F99">
        <v>0.55705000000000005</v>
      </c>
      <c r="G99">
        <v>0.60448999999999997</v>
      </c>
      <c r="H99">
        <v>0.17892</v>
      </c>
    </row>
    <row r="100" spans="1:8" x14ac:dyDescent="0.25">
      <c r="A100" t="s">
        <v>143</v>
      </c>
      <c r="B100">
        <v>0</v>
      </c>
      <c r="C100">
        <v>-0.29530000000000001</v>
      </c>
      <c r="D100">
        <v>0.33939999999999998</v>
      </c>
      <c r="E100">
        <v>0.60209999999999997</v>
      </c>
      <c r="F100">
        <v>0.1653</v>
      </c>
      <c r="G100">
        <v>0.23649999999999999</v>
      </c>
      <c r="H100">
        <v>0.13</v>
      </c>
    </row>
    <row r="101" spans="1:8" x14ac:dyDescent="0.25">
      <c r="A101" t="s">
        <v>144</v>
      </c>
      <c r="B101">
        <v>0</v>
      </c>
      <c r="C101">
        <v>0</v>
      </c>
      <c r="D101">
        <v>0</v>
      </c>
      <c r="E101">
        <v>0</v>
      </c>
      <c r="F101">
        <v>0.17419999999999999</v>
      </c>
      <c r="G101">
        <v>0.19</v>
      </c>
      <c r="H101">
        <v>0.01</v>
      </c>
    </row>
    <row r="102" spans="1:8" x14ac:dyDescent="0.25">
      <c r="A102" t="s">
        <v>145</v>
      </c>
      <c r="B102">
        <v>0</v>
      </c>
      <c r="C102">
        <v>0</v>
      </c>
      <c r="D102">
        <v>0</v>
      </c>
      <c r="E102">
        <v>0</v>
      </c>
      <c r="F102">
        <v>0</v>
      </c>
      <c r="G102">
        <v>0</v>
      </c>
      <c r="H102">
        <v>0</v>
      </c>
    </row>
    <row r="103" spans="1:8" x14ac:dyDescent="0.25">
      <c r="A103" t="s">
        <v>146</v>
      </c>
      <c r="B103">
        <v>0</v>
      </c>
      <c r="C103">
        <v>0</v>
      </c>
      <c r="D103">
        <v>0</v>
      </c>
      <c r="E103">
        <v>0</v>
      </c>
      <c r="F103">
        <v>0</v>
      </c>
      <c r="G103">
        <v>0</v>
      </c>
      <c r="H103">
        <v>0</v>
      </c>
    </row>
    <row r="104" spans="1:8" x14ac:dyDescent="0.25">
      <c r="A104" t="s">
        <v>147</v>
      </c>
      <c r="B104">
        <v>0</v>
      </c>
      <c r="C104">
        <v>0</v>
      </c>
      <c r="D104">
        <v>0</v>
      </c>
      <c r="E104">
        <v>0</v>
      </c>
      <c r="F104">
        <v>0</v>
      </c>
      <c r="G104">
        <v>0</v>
      </c>
      <c r="H104">
        <v>0</v>
      </c>
    </row>
    <row r="105" spans="1:8" x14ac:dyDescent="0.25">
      <c r="A105" t="s">
        <v>148</v>
      </c>
      <c r="B105">
        <v>0</v>
      </c>
      <c r="C105">
        <v>0</v>
      </c>
      <c r="D105">
        <v>0</v>
      </c>
      <c r="E105">
        <v>0</v>
      </c>
      <c r="F105">
        <v>0</v>
      </c>
      <c r="G105">
        <v>0</v>
      </c>
      <c r="H105">
        <v>0</v>
      </c>
    </row>
    <row r="106" spans="1:8" x14ac:dyDescent="0.25">
      <c r="A106" t="s">
        <v>149</v>
      </c>
      <c r="B106">
        <v>0.31613000000000002</v>
      </c>
      <c r="C106">
        <v>0.22277</v>
      </c>
      <c r="D106">
        <v>0.29837000000000002</v>
      </c>
      <c r="E106">
        <v>0.47804000000000002</v>
      </c>
      <c r="F106">
        <v>0.55705000000000005</v>
      </c>
      <c r="G106">
        <v>0.60448999999999997</v>
      </c>
      <c r="H106">
        <v>0.17892</v>
      </c>
    </row>
    <row r="107" spans="1:8" x14ac:dyDescent="0.25">
      <c r="A107" t="s">
        <v>150</v>
      </c>
      <c r="B107">
        <v>0</v>
      </c>
      <c r="C107">
        <v>0</v>
      </c>
      <c r="D107">
        <v>0</v>
      </c>
      <c r="E107">
        <v>0</v>
      </c>
      <c r="F107">
        <v>0</v>
      </c>
      <c r="G107">
        <v>0</v>
      </c>
      <c r="H107">
        <v>0</v>
      </c>
    </row>
    <row r="108" spans="1:8" x14ac:dyDescent="0.25">
      <c r="A108" t="s">
        <v>151</v>
      </c>
      <c r="B108">
        <v>0.31613000000000002</v>
      </c>
      <c r="C108">
        <v>0.22277</v>
      </c>
      <c r="D108">
        <v>0.29837000000000002</v>
      </c>
      <c r="E108">
        <v>0.47804000000000002</v>
      </c>
      <c r="F108">
        <v>0.55705000000000005</v>
      </c>
      <c r="G108">
        <v>0.60448999999999997</v>
      </c>
      <c r="H108">
        <v>0.17892</v>
      </c>
    </row>
    <row r="109" spans="1:8" x14ac:dyDescent="0.25">
      <c r="A109" t="s">
        <v>152</v>
      </c>
      <c r="B109">
        <v>1.81</v>
      </c>
      <c r="C109">
        <v>1.3</v>
      </c>
      <c r="D109">
        <v>1.78</v>
      </c>
      <c r="E109">
        <v>2.94</v>
      </c>
      <c r="F109">
        <v>3.43</v>
      </c>
      <c r="G109">
        <v>3.71</v>
      </c>
      <c r="H109">
        <v>1.1000000000000001</v>
      </c>
    </row>
    <row r="110" spans="1:8" x14ac:dyDescent="0.25">
      <c r="A110" t="s">
        <v>153</v>
      </c>
      <c r="B110">
        <v>0</v>
      </c>
      <c r="C110">
        <v>-0.28179999999999999</v>
      </c>
      <c r="D110">
        <v>0.36919999999999997</v>
      </c>
      <c r="E110">
        <v>0.65059999999999996</v>
      </c>
      <c r="F110">
        <v>0.1668</v>
      </c>
      <c r="G110">
        <v>0.08</v>
      </c>
      <c r="H110">
        <v>0.13</v>
      </c>
    </row>
    <row r="111" spans="1:8" x14ac:dyDescent="0.25">
      <c r="A111" t="s">
        <v>154</v>
      </c>
      <c r="B111">
        <v>0.17491999999999999</v>
      </c>
      <c r="C111">
        <v>0.17155999999999999</v>
      </c>
      <c r="D111">
        <v>0.16730999999999999</v>
      </c>
      <c r="E111">
        <v>0.16270999999999999</v>
      </c>
      <c r="F111">
        <v>0.16249</v>
      </c>
      <c r="G111">
        <v>0.16277</v>
      </c>
      <c r="H111">
        <v>0.16277</v>
      </c>
    </row>
    <row r="112" spans="1:8" x14ac:dyDescent="0.25">
      <c r="A112" t="s">
        <v>67</v>
      </c>
      <c r="B112">
        <v>1.79</v>
      </c>
      <c r="C112">
        <v>1.29</v>
      </c>
      <c r="D112">
        <v>1.76</v>
      </c>
      <c r="E112">
        <v>2.9</v>
      </c>
      <c r="F112">
        <v>3.37</v>
      </c>
      <c r="G112">
        <v>3.64</v>
      </c>
      <c r="H112">
        <v>1.08</v>
      </c>
    </row>
    <row r="113" spans="1:8" x14ac:dyDescent="0.25">
      <c r="A113" t="s">
        <v>68</v>
      </c>
      <c r="B113">
        <v>0</v>
      </c>
      <c r="C113">
        <v>-0.27929999999999999</v>
      </c>
      <c r="D113">
        <v>0.36430000000000001</v>
      </c>
      <c r="E113">
        <v>0.65039999999999998</v>
      </c>
      <c r="F113">
        <v>0.1608</v>
      </c>
      <c r="G113">
        <v>0.08</v>
      </c>
      <c r="H113">
        <v>0.14000000000000001</v>
      </c>
    </row>
    <row r="114" spans="1:8" x14ac:dyDescent="0.25">
      <c r="A114" t="s">
        <v>97</v>
      </c>
      <c r="B114">
        <v>0.17621999999999999</v>
      </c>
      <c r="C114">
        <v>0.17271</v>
      </c>
      <c r="D114">
        <v>0.16919000000000001</v>
      </c>
      <c r="E114">
        <v>0.16456999999999999</v>
      </c>
      <c r="F114">
        <v>0.16521</v>
      </c>
      <c r="G114">
        <v>0.16632</v>
      </c>
      <c r="H114">
        <v>0.16632</v>
      </c>
    </row>
    <row r="115" spans="1:8" x14ac:dyDescent="0.25">
      <c r="A115" t="s">
        <v>155</v>
      </c>
      <c r="B115">
        <v>0.82708000000000004</v>
      </c>
      <c r="C115">
        <v>0.72321000000000002</v>
      </c>
      <c r="D115">
        <v>0.84775</v>
      </c>
      <c r="E115">
        <v>1.0557799999999999</v>
      </c>
      <c r="F115">
        <v>1.1796</v>
      </c>
      <c r="G115">
        <v>1.2966500000000001</v>
      </c>
      <c r="H115">
        <v>0.34688999999999998</v>
      </c>
    </row>
    <row r="116" spans="1:8" x14ac:dyDescent="0.25">
      <c r="A116" t="s">
        <v>156</v>
      </c>
      <c r="B116">
        <v>0</v>
      </c>
      <c r="C116">
        <v>-4.7699999999999999E-2</v>
      </c>
      <c r="D116">
        <v>9.98E-2</v>
      </c>
      <c r="E116">
        <v>0.20660000000000001</v>
      </c>
      <c r="F116">
        <v>0.15840000000000001</v>
      </c>
      <c r="G116">
        <v>0.1</v>
      </c>
      <c r="H116">
        <v>0.15</v>
      </c>
    </row>
    <row r="117" spans="1:8" x14ac:dyDescent="0.25">
      <c r="A117" t="s">
        <v>157</v>
      </c>
      <c r="B117">
        <v>0.35345299145299203</v>
      </c>
      <c r="C117">
        <v>0.29044578313253</v>
      </c>
      <c r="D117">
        <v>0.31282287822878202</v>
      </c>
      <c r="E117">
        <v>0.365321799307958</v>
      </c>
      <c r="F117">
        <v>0.36862499999999998</v>
      </c>
      <c r="G117">
        <v>0.41</v>
      </c>
      <c r="H117">
        <v>0.4</v>
      </c>
    </row>
    <row r="118" spans="1:8" x14ac:dyDescent="0.25">
      <c r="A118" t="s">
        <v>7</v>
      </c>
      <c r="B118" t="s">
        <v>8</v>
      </c>
      <c r="C118" t="s">
        <v>8</v>
      </c>
      <c r="D118" t="s">
        <v>8</v>
      </c>
      <c r="E118" t="s">
        <v>8</v>
      </c>
      <c r="F118" t="s">
        <v>8</v>
      </c>
      <c r="G118" t="s">
        <v>8</v>
      </c>
      <c r="H118" t="s">
        <v>8</v>
      </c>
    </row>
    <row r="119" spans="1:8" x14ac:dyDescent="0.25">
      <c r="A119" t="s">
        <v>52</v>
      </c>
      <c r="B119" t="s">
        <v>53</v>
      </c>
      <c r="C119" t="s">
        <v>53</v>
      </c>
      <c r="D119" t="s">
        <v>53</v>
      </c>
      <c r="E119" t="s">
        <v>53</v>
      </c>
      <c r="F119" t="s">
        <v>53</v>
      </c>
      <c r="G119" t="s">
        <v>0</v>
      </c>
      <c r="H119" t="s">
        <v>51</v>
      </c>
    </row>
    <row r="120" spans="1:8" x14ac:dyDescent="0.25">
      <c r="A120" t="s">
        <v>54</v>
      </c>
      <c r="B120" t="s">
        <v>10</v>
      </c>
      <c r="C120" t="s">
        <v>10</v>
      </c>
      <c r="D120" t="s">
        <v>10</v>
      </c>
      <c r="E120" t="s">
        <v>10</v>
      </c>
      <c r="F120" t="s">
        <v>10</v>
      </c>
      <c r="G120" t="s">
        <v>10</v>
      </c>
      <c r="H120" t="s">
        <v>10</v>
      </c>
    </row>
    <row r="121" spans="1:8" x14ac:dyDescent="0.25">
      <c r="A121" t="s">
        <v>55</v>
      </c>
      <c r="B121">
        <v>117.04</v>
      </c>
      <c r="C121">
        <v>117.04</v>
      </c>
      <c r="D121">
        <v>117.04</v>
      </c>
      <c r="E121">
        <v>117.04</v>
      </c>
      <c r="F121">
        <v>117.04</v>
      </c>
      <c r="G121">
        <v>117.04</v>
      </c>
      <c r="H121">
        <v>117.04</v>
      </c>
    </row>
    <row r="122" spans="1:8" x14ac:dyDescent="0.25">
      <c r="A122" t="s">
        <v>158</v>
      </c>
      <c r="B122">
        <v>0.83701999999999999</v>
      </c>
      <c r="C122">
        <v>0.71194000000000002</v>
      </c>
      <c r="D122">
        <v>1.89</v>
      </c>
      <c r="E122">
        <v>1.54</v>
      </c>
      <c r="F122">
        <v>1.1000000000000001</v>
      </c>
      <c r="G122">
        <v>1.92</v>
      </c>
      <c r="H122">
        <v>1.92</v>
      </c>
    </row>
    <row r="123" spans="1:8" x14ac:dyDescent="0.25">
      <c r="A123" t="s">
        <v>159</v>
      </c>
      <c r="B123">
        <v>0</v>
      </c>
      <c r="C123">
        <v>-0.14940000000000001</v>
      </c>
      <c r="D123">
        <v>1.6577</v>
      </c>
      <c r="E123">
        <v>-0.18770000000000001</v>
      </c>
      <c r="F123">
        <v>-0.28560000000000002</v>
      </c>
      <c r="G123">
        <v>0.75</v>
      </c>
      <c r="H123">
        <v>0.75</v>
      </c>
    </row>
    <row r="124" spans="1:8" x14ac:dyDescent="0.25">
      <c r="A124" t="s">
        <v>160</v>
      </c>
      <c r="B124">
        <v>0.32417000000000001</v>
      </c>
      <c r="C124">
        <v>0.31337999999999999</v>
      </c>
      <c r="D124">
        <v>1.04</v>
      </c>
      <c r="E124">
        <v>0.39374999999999999</v>
      </c>
      <c r="F124">
        <v>0.35292000000000001</v>
      </c>
      <c r="G124">
        <v>1.26</v>
      </c>
      <c r="H124">
        <v>1.26</v>
      </c>
    </row>
    <row r="125" spans="1:8" x14ac:dyDescent="0.25">
      <c r="A125" t="s">
        <v>161</v>
      </c>
      <c r="B125">
        <v>0.51285000000000003</v>
      </c>
      <c r="C125">
        <v>0.39855000000000002</v>
      </c>
      <c r="D125">
        <v>0.85565000000000002</v>
      </c>
      <c r="E125">
        <v>1.1399999999999999</v>
      </c>
      <c r="F125">
        <v>0.74516000000000004</v>
      </c>
      <c r="G125">
        <v>0</v>
      </c>
      <c r="H125">
        <v>0</v>
      </c>
    </row>
    <row r="126" spans="1:8" x14ac:dyDescent="0.25">
      <c r="A126" t="s">
        <v>162</v>
      </c>
      <c r="B126">
        <v>0.19139999999999999</v>
      </c>
      <c r="C126">
        <v>0.15310000000000001</v>
      </c>
      <c r="D126">
        <v>0.34639999999999999</v>
      </c>
      <c r="E126">
        <v>0.21940000000000001</v>
      </c>
      <c r="F126">
        <v>0.1414</v>
      </c>
      <c r="G126">
        <v>0.24</v>
      </c>
      <c r="H126">
        <v>0.24</v>
      </c>
    </row>
    <row r="127" spans="1:8" x14ac:dyDescent="0.25">
      <c r="A127" t="s">
        <v>163</v>
      </c>
      <c r="B127">
        <v>0.36859999999999998</v>
      </c>
      <c r="C127">
        <v>0.46145999999999998</v>
      </c>
      <c r="D127">
        <v>0.47988999999999998</v>
      </c>
      <c r="E127">
        <v>0.55193999999999999</v>
      </c>
      <c r="F127">
        <v>0.66005000000000003</v>
      </c>
      <c r="G127">
        <v>0.66008999999999995</v>
      </c>
      <c r="H127">
        <v>0.66008999999999995</v>
      </c>
    </row>
    <row r="128" spans="1:8" x14ac:dyDescent="0.25">
      <c r="A128" t="s">
        <v>164</v>
      </c>
      <c r="B128">
        <v>0</v>
      </c>
      <c r="C128">
        <v>0.25190000000000001</v>
      </c>
      <c r="D128">
        <v>3.9899999999999998E-2</v>
      </c>
      <c r="E128">
        <v>0.15010000000000001</v>
      </c>
      <c r="F128">
        <v>0.19589999999999999</v>
      </c>
      <c r="G128">
        <v>5.3E-3</v>
      </c>
      <c r="H128">
        <v>5.3E-3</v>
      </c>
    </row>
    <row r="129" spans="1:8" x14ac:dyDescent="0.25">
      <c r="A129" t="s">
        <v>165</v>
      </c>
      <c r="B129">
        <v>0.36859999999999998</v>
      </c>
      <c r="C129">
        <v>0.46145999999999998</v>
      </c>
      <c r="D129">
        <v>0.47988999999999998</v>
      </c>
      <c r="E129">
        <v>0.55193999999999999</v>
      </c>
      <c r="F129">
        <v>0.66005000000000003</v>
      </c>
      <c r="G129">
        <v>0.66008999999999995</v>
      </c>
      <c r="H129">
        <v>0.66008999999999995</v>
      </c>
    </row>
    <row r="130" spans="1:8" x14ac:dyDescent="0.25">
      <c r="A130" t="s">
        <v>166</v>
      </c>
      <c r="B130">
        <v>0.37474000000000002</v>
      </c>
      <c r="C130">
        <v>0.46273999999999998</v>
      </c>
      <c r="D130">
        <v>0.48142000000000001</v>
      </c>
      <c r="E130">
        <v>0.55381999999999998</v>
      </c>
      <c r="F130">
        <v>0.66186999999999996</v>
      </c>
      <c r="G130">
        <v>0.66235999999999995</v>
      </c>
      <c r="H130">
        <v>0.66235999999999995</v>
      </c>
    </row>
    <row r="131" spans="1:8" x14ac:dyDescent="0.25">
      <c r="A131" t="s">
        <v>167</v>
      </c>
      <c r="B131">
        <v>-6.1500000000000001E-3</v>
      </c>
      <c r="C131">
        <v>-1.2800000000000001E-3</v>
      </c>
      <c r="D131">
        <v>-1.5299999999999999E-3</v>
      </c>
      <c r="E131">
        <v>-1.8799999999999999E-3</v>
      </c>
      <c r="F131">
        <v>-1.82E-3</v>
      </c>
      <c r="G131">
        <v>-2.2699999999999999E-3</v>
      </c>
      <c r="H131">
        <v>-2.2699999999999999E-3</v>
      </c>
    </row>
    <row r="132" spans="1:8" x14ac:dyDescent="0.25">
      <c r="A132" t="s">
        <v>168</v>
      </c>
      <c r="B132">
        <v>0</v>
      </c>
      <c r="C132">
        <v>0</v>
      </c>
      <c r="D132">
        <v>0</v>
      </c>
      <c r="E132">
        <v>0</v>
      </c>
      <c r="F132">
        <v>0</v>
      </c>
      <c r="G132">
        <v>0</v>
      </c>
      <c r="H132">
        <v>0</v>
      </c>
    </row>
    <row r="133" spans="1:8" x14ac:dyDescent="0.25">
      <c r="A133" t="s">
        <v>169</v>
      </c>
      <c r="B133">
        <v>6.35</v>
      </c>
      <c r="C133">
        <v>5.39</v>
      </c>
      <c r="D133">
        <v>5.66</v>
      </c>
      <c r="E133">
        <v>5.24</v>
      </c>
      <c r="F133">
        <v>4.8499999999999996</v>
      </c>
      <c r="G133">
        <v>1.3</v>
      </c>
      <c r="H133">
        <v>1.3</v>
      </c>
    </row>
    <row r="134" spans="1:8" x14ac:dyDescent="0.25">
      <c r="A134" t="s">
        <v>170</v>
      </c>
      <c r="B134">
        <v>0</v>
      </c>
      <c r="C134">
        <v>0</v>
      </c>
      <c r="D134">
        <v>0</v>
      </c>
      <c r="E134">
        <v>0</v>
      </c>
      <c r="F134">
        <v>0</v>
      </c>
      <c r="G134">
        <v>0</v>
      </c>
      <c r="H134">
        <v>0</v>
      </c>
    </row>
    <row r="135" spans="1:8" x14ac:dyDescent="0.25">
      <c r="A135" t="s">
        <v>171</v>
      </c>
      <c r="B135">
        <v>0</v>
      </c>
      <c r="C135">
        <v>0</v>
      </c>
      <c r="D135">
        <v>0</v>
      </c>
      <c r="E135">
        <v>0</v>
      </c>
      <c r="F135">
        <v>0</v>
      </c>
      <c r="G135">
        <v>0</v>
      </c>
      <c r="H135">
        <v>0</v>
      </c>
    </row>
    <row r="136" spans="1:8" x14ac:dyDescent="0.25">
      <c r="A136" t="s">
        <v>172</v>
      </c>
      <c r="B136">
        <v>0</v>
      </c>
      <c r="C136">
        <v>0</v>
      </c>
      <c r="D136">
        <v>0</v>
      </c>
      <c r="E136">
        <v>0</v>
      </c>
      <c r="F136">
        <v>0</v>
      </c>
      <c r="G136">
        <v>0</v>
      </c>
      <c r="H136">
        <v>0</v>
      </c>
    </row>
    <row r="137" spans="1:8" x14ac:dyDescent="0.25">
      <c r="A137" t="s">
        <v>173</v>
      </c>
      <c r="B137">
        <v>0</v>
      </c>
      <c r="C137">
        <v>0</v>
      </c>
      <c r="D137">
        <v>0</v>
      </c>
      <c r="E137">
        <v>0</v>
      </c>
      <c r="F137">
        <v>0</v>
      </c>
      <c r="G137">
        <v>0</v>
      </c>
      <c r="H137">
        <v>0</v>
      </c>
    </row>
    <row r="138" spans="1:8" x14ac:dyDescent="0.25">
      <c r="A138" t="s">
        <v>174</v>
      </c>
      <c r="B138">
        <v>0</v>
      </c>
      <c r="C138">
        <v>0</v>
      </c>
      <c r="D138">
        <v>0</v>
      </c>
      <c r="E138">
        <v>0</v>
      </c>
      <c r="F138">
        <v>0</v>
      </c>
      <c r="G138">
        <v>0</v>
      </c>
      <c r="H138">
        <v>0</v>
      </c>
    </row>
    <row r="139" spans="1:8" x14ac:dyDescent="0.25">
      <c r="A139" t="s">
        <v>175</v>
      </c>
      <c r="B139">
        <v>0.1043</v>
      </c>
      <c r="C139">
        <v>0.13780999999999999</v>
      </c>
      <c r="D139">
        <v>0.12141</v>
      </c>
      <c r="E139">
        <v>9.7670000000000007E-2</v>
      </c>
      <c r="F139">
        <v>0.11688999999999999</v>
      </c>
      <c r="G139">
        <v>0.14219999999999999</v>
      </c>
      <c r="H139">
        <v>0.14219999999999999</v>
      </c>
    </row>
    <row r="140" spans="1:8" x14ac:dyDescent="0.25">
      <c r="A140" t="s">
        <v>176</v>
      </c>
      <c r="B140">
        <v>3.8609999999999998E-2</v>
      </c>
      <c r="C140">
        <v>2.93E-2</v>
      </c>
      <c r="D140">
        <v>1.8710000000000001E-2</v>
      </c>
      <c r="E140">
        <v>1.7600000000000001E-2</v>
      </c>
      <c r="F140">
        <v>2.0459999999999999E-2</v>
      </c>
      <c r="G140">
        <v>0.14219999999999999</v>
      </c>
      <c r="H140">
        <v>0.14219999999999999</v>
      </c>
    </row>
    <row r="141" spans="1:8" x14ac:dyDescent="0.25">
      <c r="A141" t="s">
        <v>177</v>
      </c>
      <c r="B141">
        <v>1.31</v>
      </c>
      <c r="C141">
        <v>1.31</v>
      </c>
      <c r="D141">
        <v>2.4900000000000002</v>
      </c>
      <c r="E141">
        <v>2.19</v>
      </c>
      <c r="F141">
        <v>1.88</v>
      </c>
      <c r="G141">
        <v>2.72</v>
      </c>
      <c r="H141">
        <v>2.72</v>
      </c>
    </row>
    <row r="142" spans="1:8" x14ac:dyDescent="0.25">
      <c r="A142" t="s">
        <v>178</v>
      </c>
      <c r="B142">
        <v>0.80101999999999995</v>
      </c>
      <c r="C142">
        <v>0.86253999999999997</v>
      </c>
      <c r="D142">
        <v>0.91061999999999999</v>
      </c>
      <c r="E142">
        <v>1.91</v>
      </c>
      <c r="F142">
        <v>2.27</v>
      </c>
      <c r="G142">
        <v>2.36</v>
      </c>
      <c r="H142">
        <v>2.36</v>
      </c>
    </row>
    <row r="143" spans="1:8" x14ac:dyDescent="0.25">
      <c r="A143" t="s">
        <v>179</v>
      </c>
      <c r="B143">
        <v>2.08</v>
      </c>
      <c r="C143">
        <v>2.35</v>
      </c>
      <c r="D143">
        <v>2.59</v>
      </c>
      <c r="E143">
        <v>3.79</v>
      </c>
      <c r="F143">
        <v>4.3099999999999996</v>
      </c>
      <c r="G143">
        <v>0</v>
      </c>
      <c r="H143">
        <v>0</v>
      </c>
    </row>
    <row r="144" spans="1:8" x14ac:dyDescent="0.25">
      <c r="A144" t="s">
        <v>180</v>
      </c>
      <c r="B144">
        <v>0</v>
      </c>
      <c r="C144">
        <v>0</v>
      </c>
      <c r="D144">
        <v>0</v>
      </c>
      <c r="E144">
        <v>0</v>
      </c>
      <c r="F144">
        <v>0</v>
      </c>
      <c r="G144">
        <v>0</v>
      </c>
      <c r="H144">
        <v>0</v>
      </c>
    </row>
    <row r="145" spans="1:8" x14ac:dyDescent="0.25">
      <c r="A145" t="s">
        <v>181</v>
      </c>
      <c r="B145">
        <v>0</v>
      </c>
      <c r="C145">
        <v>0</v>
      </c>
      <c r="D145">
        <v>0</v>
      </c>
      <c r="E145">
        <v>0</v>
      </c>
      <c r="F145">
        <v>0</v>
      </c>
      <c r="G145">
        <v>0</v>
      </c>
      <c r="H145">
        <v>0</v>
      </c>
    </row>
    <row r="146" spans="1:8" x14ac:dyDescent="0.25">
      <c r="A146" t="s">
        <v>182</v>
      </c>
      <c r="B146">
        <v>1.88</v>
      </c>
      <c r="C146">
        <v>2.12</v>
      </c>
      <c r="D146">
        <v>2.3199999999999998</v>
      </c>
      <c r="E146">
        <v>2.69</v>
      </c>
      <c r="F146">
        <v>3.18</v>
      </c>
      <c r="G146">
        <v>0</v>
      </c>
      <c r="H146">
        <v>0</v>
      </c>
    </row>
    <row r="147" spans="1:8" x14ac:dyDescent="0.25">
      <c r="A147" t="s">
        <v>183</v>
      </c>
      <c r="B147">
        <v>0.20646</v>
      </c>
      <c r="C147">
        <v>0.22796</v>
      </c>
      <c r="D147">
        <v>0.26806999999999997</v>
      </c>
      <c r="E147">
        <v>0.33914</v>
      </c>
      <c r="F147">
        <v>0.34177999999999997</v>
      </c>
      <c r="G147">
        <v>0</v>
      </c>
      <c r="H147">
        <v>0</v>
      </c>
    </row>
    <row r="148" spans="1:8" x14ac:dyDescent="0.25">
      <c r="A148" t="s">
        <v>184</v>
      </c>
      <c r="B148">
        <v>1.28</v>
      </c>
      <c r="C148">
        <v>1.48</v>
      </c>
      <c r="D148">
        <v>1.68</v>
      </c>
      <c r="E148">
        <v>1.88</v>
      </c>
      <c r="F148">
        <v>2.04</v>
      </c>
      <c r="G148">
        <v>0</v>
      </c>
      <c r="H148">
        <v>0</v>
      </c>
    </row>
    <row r="149" spans="1:8" x14ac:dyDescent="0.25">
      <c r="A149" t="s">
        <v>185</v>
      </c>
      <c r="B149">
        <v>0.77930999999999995</v>
      </c>
      <c r="C149">
        <v>0.56759000000000004</v>
      </c>
      <c r="D149">
        <v>0.20907000000000001</v>
      </c>
      <c r="E149">
        <v>0.83538000000000001</v>
      </c>
      <c r="F149">
        <v>1.4</v>
      </c>
      <c r="G149">
        <v>0.83506999999999998</v>
      </c>
      <c r="H149">
        <v>0.83506999999999998</v>
      </c>
    </row>
    <row r="150" spans="1:8" x14ac:dyDescent="0.25">
      <c r="A150" t="s">
        <v>186</v>
      </c>
      <c r="B150">
        <v>0.77930999999999995</v>
      </c>
      <c r="C150">
        <v>0.56759000000000004</v>
      </c>
      <c r="D150">
        <v>0.20907000000000001</v>
      </c>
      <c r="E150">
        <v>0.83538000000000001</v>
      </c>
      <c r="F150">
        <v>1.4</v>
      </c>
      <c r="G150">
        <v>0.83506999999999998</v>
      </c>
      <c r="H150">
        <v>0.83506999999999998</v>
      </c>
    </row>
    <row r="151" spans="1:8" x14ac:dyDescent="0.25">
      <c r="A151" t="s">
        <v>187</v>
      </c>
      <c r="B151">
        <v>0</v>
      </c>
      <c r="C151">
        <v>0</v>
      </c>
      <c r="D151">
        <v>0</v>
      </c>
      <c r="E151">
        <v>0</v>
      </c>
      <c r="F151">
        <v>0</v>
      </c>
      <c r="G151">
        <v>0</v>
      </c>
      <c r="H151">
        <v>0</v>
      </c>
    </row>
    <row r="152" spans="1:8" x14ac:dyDescent="0.25">
      <c r="A152" t="s">
        <v>188</v>
      </c>
      <c r="B152">
        <v>1.38</v>
      </c>
      <c r="C152">
        <v>1.7</v>
      </c>
      <c r="D152">
        <v>1.66</v>
      </c>
      <c r="E152">
        <v>1.78</v>
      </c>
      <c r="F152">
        <v>1.91</v>
      </c>
      <c r="G152">
        <v>1.88</v>
      </c>
      <c r="H152">
        <v>1.88</v>
      </c>
    </row>
    <row r="153" spans="1:8" x14ac:dyDescent="0.25">
      <c r="A153" t="s">
        <v>189</v>
      </c>
      <c r="B153">
        <v>1.23</v>
      </c>
      <c r="C153">
        <v>1.5</v>
      </c>
      <c r="D153">
        <v>1.49</v>
      </c>
      <c r="E153">
        <v>1.6</v>
      </c>
      <c r="F153">
        <v>1.67</v>
      </c>
      <c r="G153">
        <v>1.68</v>
      </c>
      <c r="H153">
        <v>1.68</v>
      </c>
    </row>
    <row r="154" spans="1:8" x14ac:dyDescent="0.25">
      <c r="A154" t="s">
        <v>190</v>
      </c>
      <c r="B154">
        <v>0.14946000000000001</v>
      </c>
      <c r="C154">
        <v>0.20125999999999999</v>
      </c>
      <c r="D154">
        <v>0.16835</v>
      </c>
      <c r="E154">
        <v>0.17943000000000001</v>
      </c>
      <c r="F154">
        <v>0.23472000000000001</v>
      </c>
      <c r="G154">
        <v>0.2036</v>
      </c>
      <c r="H154">
        <v>0.2036</v>
      </c>
    </row>
    <row r="155" spans="1:8" x14ac:dyDescent="0.25">
      <c r="A155" t="s">
        <v>191</v>
      </c>
      <c r="B155">
        <v>9.5949999999999994E-2</v>
      </c>
      <c r="C155">
        <v>0.17141000000000001</v>
      </c>
      <c r="D155">
        <v>0.15801999999999999</v>
      </c>
      <c r="E155">
        <v>0.21807000000000001</v>
      </c>
      <c r="F155">
        <v>0.20208000000000001</v>
      </c>
      <c r="G155">
        <v>0.17609</v>
      </c>
      <c r="H155">
        <v>0.17609</v>
      </c>
    </row>
    <row r="156" spans="1:8" x14ac:dyDescent="0.25">
      <c r="A156" t="s">
        <v>192</v>
      </c>
      <c r="B156">
        <v>4.37</v>
      </c>
      <c r="C156">
        <v>4.6500000000000004</v>
      </c>
      <c r="D156">
        <v>5.46</v>
      </c>
      <c r="E156">
        <v>7.01</v>
      </c>
      <c r="F156">
        <v>7.76</v>
      </c>
      <c r="G156">
        <v>8.1199999999999992</v>
      </c>
      <c r="H156">
        <v>8.1199999999999992</v>
      </c>
    </row>
    <row r="157" spans="1:8" x14ac:dyDescent="0.25">
      <c r="A157" t="s">
        <v>193</v>
      </c>
      <c r="B157">
        <v>0</v>
      </c>
      <c r="C157">
        <v>6.3100000000000003E-2</v>
      </c>
      <c r="D157">
        <v>0.17480000000000001</v>
      </c>
      <c r="E157">
        <v>0.28289999999999998</v>
      </c>
      <c r="F157">
        <v>0.1081</v>
      </c>
      <c r="G157">
        <v>2.46E-2</v>
      </c>
      <c r="H157">
        <v>2.46E-2</v>
      </c>
    </row>
    <row r="158" spans="1:8" x14ac:dyDescent="0.25">
      <c r="A158" t="s">
        <v>194</v>
      </c>
      <c r="B158">
        <v>0</v>
      </c>
      <c r="C158">
        <v>0</v>
      </c>
      <c r="D158">
        <v>0.68654999999999999</v>
      </c>
      <c r="E158">
        <v>0.13946</v>
      </c>
      <c r="F158">
        <v>0.15479999999999999</v>
      </c>
      <c r="G158">
        <v>0.16456000000000001</v>
      </c>
      <c r="H158">
        <v>0.16456000000000001</v>
      </c>
    </row>
    <row r="159" spans="1:8" x14ac:dyDescent="0.25">
      <c r="A159" t="s">
        <v>195</v>
      </c>
      <c r="B159">
        <v>0</v>
      </c>
      <c r="C159">
        <v>0</v>
      </c>
      <c r="D159">
        <v>0</v>
      </c>
      <c r="E159">
        <v>0.13946</v>
      </c>
      <c r="F159">
        <v>0.15479999999999999</v>
      </c>
      <c r="G159">
        <v>0.16456000000000001</v>
      </c>
      <c r="H159">
        <v>0.16456000000000001</v>
      </c>
    </row>
    <row r="160" spans="1:8" x14ac:dyDescent="0.25">
      <c r="A160" t="s">
        <v>196</v>
      </c>
      <c r="B160">
        <v>0</v>
      </c>
      <c r="C160">
        <v>0</v>
      </c>
      <c r="D160">
        <v>0.68654999999999999</v>
      </c>
      <c r="E160">
        <v>0</v>
      </c>
      <c r="F160">
        <v>0</v>
      </c>
      <c r="G160">
        <v>0</v>
      </c>
      <c r="H160">
        <v>0</v>
      </c>
    </row>
    <row r="161" spans="1:8" x14ac:dyDescent="0.25">
      <c r="A161" t="s">
        <v>197</v>
      </c>
      <c r="B161">
        <v>1.8489999999999999E-2</v>
      </c>
      <c r="C161">
        <v>3.3230000000000003E-2</v>
      </c>
      <c r="D161">
        <v>4.224E-2</v>
      </c>
      <c r="E161">
        <v>8.77E-3</v>
      </c>
      <c r="F161">
        <v>3.9210000000000002E-2</v>
      </c>
      <c r="G161">
        <v>-2.6870000000000002E-2</v>
      </c>
      <c r="H161">
        <v>6.6799999999999998E-2</v>
      </c>
    </row>
    <row r="162" spans="1:8" x14ac:dyDescent="0.25">
      <c r="A162" t="s">
        <v>198</v>
      </c>
      <c r="B162">
        <v>0</v>
      </c>
      <c r="C162">
        <v>5.4600000000000003E-2</v>
      </c>
      <c r="D162">
        <v>0.23430000000000001</v>
      </c>
      <c r="E162">
        <v>0.4022</v>
      </c>
      <c r="F162">
        <v>-0.14680000000000001</v>
      </c>
      <c r="G162" s="2">
        <v>1.5073000000000001</v>
      </c>
      <c r="H162">
        <v>0.01</v>
      </c>
    </row>
    <row r="163" spans="1:8" x14ac:dyDescent="0.25">
      <c r="A163" t="s">
        <v>199</v>
      </c>
      <c r="B163">
        <v>0</v>
      </c>
      <c r="C163">
        <v>0</v>
      </c>
      <c r="D163">
        <v>0</v>
      </c>
      <c r="E163">
        <v>4.0340000000000001E-2</v>
      </c>
      <c r="F163">
        <v>5.0810000000000001E-2</v>
      </c>
      <c r="G163">
        <v>0</v>
      </c>
      <c r="H163">
        <v>0</v>
      </c>
    </row>
    <row r="164" spans="1:8" x14ac:dyDescent="0.25">
      <c r="A164" t="s">
        <v>200</v>
      </c>
      <c r="B164">
        <v>0.29847000000000001</v>
      </c>
      <c r="C164">
        <v>0.37641999999999998</v>
      </c>
      <c r="D164">
        <v>0.42507</v>
      </c>
      <c r="E164">
        <v>0.37458999999999998</v>
      </c>
      <c r="F164">
        <v>0.43401000000000001</v>
      </c>
      <c r="G164">
        <v>0.46858</v>
      </c>
      <c r="H164">
        <v>0.46858</v>
      </c>
    </row>
    <row r="165" spans="1:8" x14ac:dyDescent="0.25">
      <c r="A165" t="s">
        <v>201</v>
      </c>
      <c r="B165">
        <v>0</v>
      </c>
      <c r="C165">
        <v>0</v>
      </c>
      <c r="D165">
        <v>0</v>
      </c>
      <c r="E165">
        <v>0</v>
      </c>
      <c r="F165">
        <v>0</v>
      </c>
      <c r="G165">
        <v>0</v>
      </c>
      <c r="H165">
        <v>0</v>
      </c>
    </row>
    <row r="166" spans="1:8" x14ac:dyDescent="0.25">
      <c r="A166" t="s">
        <v>202</v>
      </c>
      <c r="B166">
        <v>0.11142000000000001</v>
      </c>
      <c r="C166">
        <v>0.15078</v>
      </c>
      <c r="D166">
        <v>0.18029999999999999</v>
      </c>
      <c r="E166">
        <v>0.19072</v>
      </c>
      <c r="F166">
        <v>0.21859000000000001</v>
      </c>
      <c r="G166">
        <v>0</v>
      </c>
      <c r="H166">
        <v>0</v>
      </c>
    </row>
    <row r="167" spans="1:8" x14ac:dyDescent="0.25">
      <c r="A167" t="s">
        <v>203</v>
      </c>
      <c r="B167">
        <v>0.18704999999999999</v>
      </c>
      <c r="C167">
        <v>0.22563</v>
      </c>
      <c r="D167">
        <v>0.24476999999999999</v>
      </c>
      <c r="E167">
        <v>0.18387000000000001</v>
      </c>
      <c r="F167">
        <v>0.21542</v>
      </c>
      <c r="G167">
        <v>0.46858</v>
      </c>
      <c r="H167">
        <v>0.46858</v>
      </c>
    </row>
    <row r="168" spans="1:8" x14ac:dyDescent="0.25">
      <c r="A168" t="s">
        <v>204</v>
      </c>
      <c r="B168">
        <v>0.37458999999999998</v>
      </c>
      <c r="C168">
        <v>0.45668999999999998</v>
      </c>
      <c r="D168">
        <v>1.21</v>
      </c>
      <c r="E168">
        <v>0.69333999999999996</v>
      </c>
      <c r="F168">
        <v>0.75817000000000001</v>
      </c>
      <c r="G168">
        <v>0.73143999999999998</v>
      </c>
      <c r="H168">
        <v>0.73143999999999998</v>
      </c>
    </row>
    <row r="169" spans="1:8" x14ac:dyDescent="0.25">
      <c r="A169" t="s">
        <v>205</v>
      </c>
      <c r="B169">
        <v>0.64009000000000005</v>
      </c>
      <c r="C169">
        <v>0.66291</v>
      </c>
      <c r="D169">
        <v>0.87407999999999997</v>
      </c>
      <c r="E169">
        <v>2.5299999999999998</v>
      </c>
      <c r="F169">
        <v>2.62</v>
      </c>
      <c r="G169">
        <v>2.68</v>
      </c>
      <c r="H169">
        <v>2.68</v>
      </c>
    </row>
    <row r="170" spans="1:8" x14ac:dyDescent="0.25">
      <c r="A170" t="s">
        <v>206</v>
      </c>
      <c r="B170">
        <v>0.64009000000000005</v>
      </c>
      <c r="C170">
        <v>0.66291</v>
      </c>
      <c r="D170">
        <v>0.87407999999999997</v>
      </c>
      <c r="E170">
        <v>1.84</v>
      </c>
      <c r="F170">
        <v>1.91</v>
      </c>
      <c r="G170">
        <v>1.96</v>
      </c>
      <c r="H170">
        <v>1.96</v>
      </c>
    </row>
    <row r="171" spans="1:8" x14ac:dyDescent="0.25">
      <c r="A171" t="s">
        <v>207</v>
      </c>
      <c r="B171">
        <v>0.64009000000000005</v>
      </c>
      <c r="C171">
        <v>0.66291</v>
      </c>
      <c r="D171">
        <v>0.87407999999999997</v>
      </c>
      <c r="E171">
        <v>1.84</v>
      </c>
      <c r="F171">
        <v>1.91</v>
      </c>
      <c r="G171">
        <v>0</v>
      </c>
      <c r="H171">
        <v>0</v>
      </c>
    </row>
    <row r="172" spans="1:8" x14ac:dyDescent="0.25">
      <c r="A172" t="s">
        <v>208</v>
      </c>
      <c r="B172">
        <v>0</v>
      </c>
      <c r="C172">
        <v>0</v>
      </c>
      <c r="D172">
        <v>0</v>
      </c>
      <c r="E172">
        <v>0</v>
      </c>
      <c r="F172">
        <v>0</v>
      </c>
      <c r="G172">
        <v>0</v>
      </c>
      <c r="H172">
        <v>0</v>
      </c>
    </row>
    <row r="173" spans="1:8" x14ac:dyDescent="0.25">
      <c r="A173" t="s">
        <v>209</v>
      </c>
      <c r="B173">
        <v>0</v>
      </c>
      <c r="C173">
        <v>0</v>
      </c>
      <c r="D173">
        <v>0</v>
      </c>
      <c r="E173">
        <v>0</v>
      </c>
      <c r="F173">
        <v>0</v>
      </c>
      <c r="G173">
        <v>0</v>
      </c>
      <c r="H173">
        <v>0</v>
      </c>
    </row>
    <row r="174" spans="1:8" x14ac:dyDescent="0.25">
      <c r="A174" t="s">
        <v>210</v>
      </c>
      <c r="B174">
        <v>0</v>
      </c>
      <c r="C174">
        <v>0</v>
      </c>
      <c r="D174">
        <v>0</v>
      </c>
      <c r="E174">
        <v>0</v>
      </c>
      <c r="F174">
        <v>0</v>
      </c>
      <c r="G174">
        <v>0</v>
      </c>
      <c r="H174">
        <v>0</v>
      </c>
    </row>
    <row r="175" spans="1:8" x14ac:dyDescent="0.25">
      <c r="A175" t="s">
        <v>211</v>
      </c>
      <c r="B175">
        <v>7.3099999999999997E-3</v>
      </c>
      <c r="C175">
        <v>-7.2399999999999999E-3</v>
      </c>
      <c r="D175">
        <v>2.3400000000000001E-3</v>
      </c>
      <c r="E175">
        <v>9.3300000000000002E-4</v>
      </c>
      <c r="F175">
        <v>-3.3820000000000003E-2</v>
      </c>
      <c r="G175">
        <v>-4.1610000000000001E-2</v>
      </c>
      <c r="H175">
        <v>-3.7560000000000003E-2</v>
      </c>
    </row>
    <row r="176" spans="1:8" x14ac:dyDescent="0.25">
      <c r="A176" t="s">
        <v>212</v>
      </c>
      <c r="B176">
        <v>8.4879999999999997E-2</v>
      </c>
      <c r="C176">
        <v>0.10464</v>
      </c>
      <c r="D176">
        <v>8.3599999999999994E-2</v>
      </c>
      <c r="E176">
        <v>6.0389999999999999E-2</v>
      </c>
      <c r="F176">
        <v>3.746E-2</v>
      </c>
      <c r="G176">
        <v>3.533E-2</v>
      </c>
      <c r="H176">
        <v>3.533E-2</v>
      </c>
    </row>
    <row r="177" spans="1:8" x14ac:dyDescent="0.25">
      <c r="A177" t="s">
        <v>213</v>
      </c>
      <c r="B177">
        <v>8.9800000000000001E-3</v>
      </c>
      <c r="C177">
        <v>3.6229999999999998E-2</v>
      </c>
      <c r="D177">
        <v>3.4909999999999997E-2</v>
      </c>
      <c r="E177">
        <v>7.6530000000000001E-2</v>
      </c>
      <c r="F177">
        <v>0.10692</v>
      </c>
      <c r="G177">
        <v>0.13630999999999999</v>
      </c>
      <c r="H177">
        <v>0.13630999999999999</v>
      </c>
    </row>
    <row r="178" spans="1:8" x14ac:dyDescent="0.25">
      <c r="A178" t="s">
        <v>214</v>
      </c>
      <c r="B178">
        <v>4.922E-2</v>
      </c>
      <c r="C178">
        <v>6.2199999999999998E-2</v>
      </c>
      <c r="D178">
        <v>0.10152</v>
      </c>
      <c r="E178">
        <v>6.3229999999999995E-2</v>
      </c>
      <c r="F178">
        <v>9.5100000000000004E-2</v>
      </c>
      <c r="G178">
        <v>8.541E-2</v>
      </c>
      <c r="H178">
        <v>8.541E-2</v>
      </c>
    </row>
    <row r="179" spans="1:8" x14ac:dyDescent="0.25">
      <c r="A179" t="s">
        <v>215</v>
      </c>
      <c r="B179">
        <v>4.546E-2</v>
      </c>
      <c r="C179">
        <v>5.6140000000000002E-2</v>
      </c>
      <c r="D179">
        <v>9.6960000000000005E-2</v>
      </c>
      <c r="E179">
        <v>5.8860000000000003E-2</v>
      </c>
      <c r="F179">
        <v>8.9829999999999993E-2</v>
      </c>
      <c r="G179">
        <v>8.0049999999999996E-2</v>
      </c>
      <c r="H179">
        <v>8.0049999999999996E-2</v>
      </c>
    </row>
    <row r="180" spans="1:8" x14ac:dyDescent="0.25">
      <c r="A180" t="s">
        <v>216</v>
      </c>
      <c r="B180">
        <v>3.7599999999999999E-3</v>
      </c>
      <c r="C180">
        <v>6.0600000000000003E-3</v>
      </c>
      <c r="D180">
        <v>4.5599999999999998E-3</v>
      </c>
      <c r="E180">
        <v>4.3699999999999998E-3</v>
      </c>
      <c r="F180">
        <v>5.2599999999999999E-3</v>
      </c>
      <c r="G180">
        <v>5.3600000000000002E-3</v>
      </c>
      <c r="H180">
        <v>5.3600000000000002E-3</v>
      </c>
    </row>
    <row r="181" spans="1:8" x14ac:dyDescent="0.25">
      <c r="A181" t="s">
        <v>217</v>
      </c>
      <c r="B181">
        <v>1.1499999999999999</v>
      </c>
      <c r="C181">
        <v>1.29</v>
      </c>
      <c r="D181">
        <v>2.27</v>
      </c>
      <c r="E181">
        <v>3.35</v>
      </c>
      <c r="F181">
        <v>3.51</v>
      </c>
      <c r="G181">
        <v>3.53</v>
      </c>
      <c r="H181">
        <v>3.53</v>
      </c>
    </row>
    <row r="182" spans="1:8" x14ac:dyDescent="0.25">
      <c r="A182" t="s">
        <v>218</v>
      </c>
      <c r="B182">
        <v>0</v>
      </c>
      <c r="C182">
        <v>0</v>
      </c>
      <c r="D182">
        <v>0</v>
      </c>
      <c r="E182">
        <v>0</v>
      </c>
      <c r="F182">
        <v>0</v>
      </c>
      <c r="G182">
        <v>0</v>
      </c>
      <c r="H182">
        <v>0</v>
      </c>
    </row>
    <row r="183" spans="1:8" x14ac:dyDescent="0.25">
      <c r="A183" t="s">
        <v>219</v>
      </c>
      <c r="B183">
        <v>0.26269999999999999</v>
      </c>
      <c r="C183">
        <v>0.2767</v>
      </c>
      <c r="D183">
        <v>0.41560000000000002</v>
      </c>
      <c r="E183">
        <v>0.47789999999999999</v>
      </c>
      <c r="F183">
        <v>0.45240000000000002</v>
      </c>
      <c r="G183">
        <v>0.43530000000000002</v>
      </c>
      <c r="H183">
        <v>0.43530000000000002</v>
      </c>
    </row>
    <row r="184" spans="1:8" x14ac:dyDescent="0.25">
      <c r="A184" t="s">
        <v>220</v>
      </c>
      <c r="B184">
        <v>0</v>
      </c>
      <c r="C184">
        <v>0</v>
      </c>
      <c r="D184">
        <v>0</v>
      </c>
      <c r="E184">
        <v>0</v>
      </c>
      <c r="F184">
        <v>0</v>
      </c>
      <c r="G184">
        <v>0</v>
      </c>
      <c r="H184">
        <v>0</v>
      </c>
    </row>
    <row r="185" spans="1:8" x14ac:dyDescent="0.25">
      <c r="A185" t="s">
        <v>221</v>
      </c>
      <c r="B185">
        <v>0</v>
      </c>
      <c r="C185">
        <v>0</v>
      </c>
      <c r="D185">
        <v>0</v>
      </c>
      <c r="E185">
        <v>0</v>
      </c>
      <c r="F185">
        <v>0</v>
      </c>
      <c r="G185">
        <v>0</v>
      </c>
      <c r="H185">
        <v>0</v>
      </c>
    </row>
    <row r="186" spans="1:8" x14ac:dyDescent="0.25">
      <c r="A186" t="s">
        <v>222</v>
      </c>
      <c r="B186">
        <v>0</v>
      </c>
      <c r="C186">
        <v>0</v>
      </c>
      <c r="D186">
        <v>0</v>
      </c>
      <c r="E186">
        <v>0</v>
      </c>
      <c r="F186">
        <v>0</v>
      </c>
      <c r="G186">
        <v>0</v>
      </c>
      <c r="H186">
        <v>0</v>
      </c>
    </row>
    <row r="187" spans="1:8" x14ac:dyDescent="0.25">
      <c r="A187" t="s">
        <v>223</v>
      </c>
      <c r="B187">
        <v>3.22</v>
      </c>
      <c r="C187">
        <v>3.36</v>
      </c>
      <c r="D187">
        <v>3.19</v>
      </c>
      <c r="E187">
        <v>3.66</v>
      </c>
      <c r="F187">
        <v>4.25</v>
      </c>
      <c r="G187">
        <v>4.58</v>
      </c>
      <c r="H187">
        <v>4.58</v>
      </c>
    </row>
    <row r="188" spans="1:8" x14ac:dyDescent="0.25">
      <c r="A188" t="s">
        <v>224</v>
      </c>
      <c r="B188">
        <v>0.73729999999999996</v>
      </c>
      <c r="C188">
        <v>0.72330000000000005</v>
      </c>
      <c r="D188">
        <v>0.58440000000000003</v>
      </c>
      <c r="E188">
        <v>0.52210000000000001</v>
      </c>
      <c r="F188">
        <v>0.54759999999999998</v>
      </c>
      <c r="G188">
        <v>0.56469999999999998</v>
      </c>
      <c r="H188">
        <v>0.56469999999999998</v>
      </c>
    </row>
    <row r="189" spans="1:8" x14ac:dyDescent="0.25">
      <c r="A189" t="s">
        <v>225</v>
      </c>
      <c r="B189">
        <v>1.73E-3</v>
      </c>
      <c r="C189">
        <v>1.6999999999999999E-3</v>
      </c>
      <c r="D189">
        <v>1.6299999999999999E-3</v>
      </c>
      <c r="E189">
        <v>1.6199999999999999E-3</v>
      </c>
      <c r="F189">
        <v>1.6299999999999999E-3</v>
      </c>
      <c r="G189">
        <v>1.65E-3</v>
      </c>
      <c r="H189">
        <v>1.65E-3</v>
      </c>
    </row>
    <row r="190" spans="1:8" x14ac:dyDescent="0.25">
      <c r="A190" t="s">
        <v>226</v>
      </c>
      <c r="B190">
        <v>-0.96072999999999997</v>
      </c>
      <c r="C190">
        <v>-0.69066000000000005</v>
      </c>
      <c r="D190">
        <v>-0.43089</v>
      </c>
      <c r="E190">
        <v>4.8000000000000001E-2</v>
      </c>
      <c r="F190">
        <v>0.60504999999999998</v>
      </c>
      <c r="G190">
        <v>1.1000000000000001</v>
      </c>
      <c r="H190">
        <v>1.1000000000000001</v>
      </c>
    </row>
    <row r="191" spans="1:8" x14ac:dyDescent="0.25">
      <c r="A191" t="s">
        <v>227</v>
      </c>
      <c r="B191">
        <v>0</v>
      </c>
      <c r="C191">
        <v>0</v>
      </c>
      <c r="D191">
        <v>0</v>
      </c>
      <c r="E191">
        <v>0</v>
      </c>
      <c r="F191">
        <v>0</v>
      </c>
      <c r="G191">
        <v>0</v>
      </c>
      <c r="H191">
        <v>0</v>
      </c>
    </row>
    <row r="192" spans="1:8" x14ac:dyDescent="0.25">
      <c r="A192" t="s">
        <v>228</v>
      </c>
      <c r="B192">
        <v>-5.9020000000000003E-2</v>
      </c>
      <c r="C192">
        <v>-2.4320000000000001E-2</v>
      </c>
      <c r="D192">
        <v>-5.1900000000000002E-2</v>
      </c>
      <c r="E192">
        <v>-5.2920000000000002E-2</v>
      </c>
      <c r="F192">
        <v>-3.3300000000000003E-2</v>
      </c>
      <c r="G192">
        <v>-6.1740000000000003E-2</v>
      </c>
      <c r="H192">
        <v>-6.1740000000000003E-2</v>
      </c>
    </row>
    <row r="193" spans="1:8" x14ac:dyDescent="0.25">
      <c r="A193" t="s">
        <v>229</v>
      </c>
      <c r="B193">
        <v>2.8E-3</v>
      </c>
      <c r="C193">
        <v>2.3900000000000002E-3</v>
      </c>
      <c r="D193">
        <v>2.99E-3</v>
      </c>
      <c r="E193">
        <v>7.7799999999999996E-3</v>
      </c>
      <c r="F193">
        <v>1.3089999999999999E-2</v>
      </c>
      <c r="G193">
        <v>8.0099999999999998E-3</v>
      </c>
      <c r="H193">
        <v>8.0099999999999998E-3</v>
      </c>
    </row>
    <row r="194" spans="1:8" x14ac:dyDescent="0.25">
      <c r="A194" t="s">
        <v>230</v>
      </c>
      <c r="B194">
        <v>0</v>
      </c>
      <c r="C194">
        <v>0</v>
      </c>
      <c r="D194">
        <v>0</v>
      </c>
      <c r="E194">
        <v>0</v>
      </c>
      <c r="F194">
        <v>0</v>
      </c>
      <c r="G194">
        <v>0</v>
      </c>
      <c r="H194">
        <v>0</v>
      </c>
    </row>
    <row r="195" spans="1:8" x14ac:dyDescent="0.25">
      <c r="A195" t="s">
        <v>231</v>
      </c>
      <c r="B195">
        <v>0</v>
      </c>
      <c r="C195">
        <v>0</v>
      </c>
      <c r="D195">
        <v>0</v>
      </c>
      <c r="E195">
        <v>0</v>
      </c>
      <c r="F195">
        <v>0</v>
      </c>
      <c r="G195">
        <v>-0.25125999999999998</v>
      </c>
      <c r="H195">
        <v>-0.25125999999999998</v>
      </c>
    </row>
    <row r="196" spans="1:8" x14ac:dyDescent="0.25">
      <c r="A196" t="s">
        <v>232</v>
      </c>
      <c r="B196">
        <v>3.22</v>
      </c>
      <c r="C196">
        <v>3.36</v>
      </c>
      <c r="D196">
        <v>3.19</v>
      </c>
      <c r="E196">
        <v>3.66</v>
      </c>
      <c r="F196">
        <v>4.25</v>
      </c>
      <c r="G196">
        <v>4.58</v>
      </c>
      <c r="H196">
        <v>4.58</v>
      </c>
    </row>
    <row r="197" spans="1:8" x14ac:dyDescent="0.25">
      <c r="A197" t="s">
        <v>233</v>
      </c>
      <c r="B197">
        <v>0.73729999999999996</v>
      </c>
      <c r="C197">
        <v>0.72330000000000005</v>
      </c>
      <c r="D197">
        <v>0.58440000000000003</v>
      </c>
      <c r="E197">
        <v>0.52210000000000001</v>
      </c>
      <c r="F197">
        <v>0.54759999999999998</v>
      </c>
      <c r="G197">
        <v>0.56469999999999998</v>
      </c>
      <c r="H197">
        <v>0.56469999999999998</v>
      </c>
    </row>
    <row r="198" spans="1:8" x14ac:dyDescent="0.25">
      <c r="A198" t="s">
        <v>234</v>
      </c>
      <c r="B198">
        <v>0</v>
      </c>
      <c r="C198">
        <v>0</v>
      </c>
      <c r="D198">
        <v>0</v>
      </c>
      <c r="E198">
        <v>0</v>
      </c>
      <c r="F198">
        <v>0</v>
      </c>
      <c r="G198">
        <v>0</v>
      </c>
      <c r="H198">
        <v>0</v>
      </c>
    </row>
    <row r="199" spans="1:8" x14ac:dyDescent="0.25">
      <c r="A199" t="s">
        <v>89</v>
      </c>
      <c r="B199">
        <v>3.22</v>
      </c>
      <c r="C199">
        <v>3.36</v>
      </c>
      <c r="D199">
        <v>3.19</v>
      </c>
      <c r="E199">
        <v>3.66</v>
      </c>
      <c r="F199">
        <v>4.25</v>
      </c>
      <c r="G199">
        <v>4.58</v>
      </c>
      <c r="H199">
        <v>4.58</v>
      </c>
    </row>
    <row r="200" spans="1:8" x14ac:dyDescent="0.25">
      <c r="A200" t="s">
        <v>235</v>
      </c>
      <c r="B200">
        <v>4.37</v>
      </c>
      <c r="C200">
        <v>4.6500000000000004</v>
      </c>
      <c r="D200">
        <v>5.46</v>
      </c>
      <c r="E200">
        <v>7.01</v>
      </c>
      <c r="F200">
        <v>7.76</v>
      </c>
      <c r="G200">
        <v>8.1199999999999992</v>
      </c>
      <c r="H200">
        <v>8.1199999999999992</v>
      </c>
    </row>
    <row r="201" spans="1:8" x14ac:dyDescent="0.25">
      <c r="A201" t="s">
        <v>7</v>
      </c>
      <c r="B201" t="s">
        <v>8</v>
      </c>
      <c r="C201" t="s">
        <v>8</v>
      </c>
      <c r="D201" t="s">
        <v>8</v>
      </c>
      <c r="E201" t="s">
        <v>8</v>
      </c>
      <c r="F201" t="s">
        <v>8</v>
      </c>
      <c r="G201" t="s">
        <v>8</v>
      </c>
      <c r="H201" t="s">
        <v>8</v>
      </c>
    </row>
    <row r="202" spans="1:8" x14ac:dyDescent="0.25">
      <c r="A202" t="s">
        <v>52</v>
      </c>
      <c r="B202" t="s">
        <v>53</v>
      </c>
      <c r="C202" t="s">
        <v>53</v>
      </c>
      <c r="D202" t="s">
        <v>53</v>
      </c>
      <c r="E202" t="s">
        <v>53</v>
      </c>
      <c r="F202" t="s">
        <v>53</v>
      </c>
      <c r="G202" t="s">
        <v>0</v>
      </c>
      <c r="H202" t="s">
        <v>51</v>
      </c>
    </row>
    <row r="203" spans="1:8" x14ac:dyDescent="0.25">
      <c r="A203" t="s">
        <v>54</v>
      </c>
      <c r="B203" t="s">
        <v>10</v>
      </c>
      <c r="C203" t="s">
        <v>10</v>
      </c>
      <c r="D203" t="s">
        <v>10</v>
      </c>
      <c r="E203" t="s">
        <v>10</v>
      </c>
      <c r="F203" t="s">
        <v>10</v>
      </c>
      <c r="G203" t="s">
        <v>10</v>
      </c>
      <c r="H203" t="s">
        <v>10</v>
      </c>
    </row>
    <row r="204" spans="1:8" x14ac:dyDescent="0.25">
      <c r="A204" t="s">
        <v>55</v>
      </c>
      <c r="B204">
        <v>117.04</v>
      </c>
      <c r="C204">
        <v>117.04</v>
      </c>
      <c r="D204">
        <v>117.04</v>
      </c>
      <c r="E204">
        <v>117.04</v>
      </c>
      <c r="F204">
        <v>117.04</v>
      </c>
      <c r="G204">
        <v>117.04</v>
      </c>
      <c r="H204">
        <v>117.04</v>
      </c>
    </row>
    <row r="205" spans="1:8" x14ac:dyDescent="0.25">
      <c r="A205" t="s">
        <v>236</v>
      </c>
      <c r="B205">
        <v>0.31613000000000002</v>
      </c>
      <c r="C205">
        <v>0.22277</v>
      </c>
      <c r="D205">
        <v>0.29837000000000002</v>
      </c>
      <c r="E205">
        <v>0.47804000000000002</v>
      </c>
      <c r="F205">
        <v>0.55705000000000005</v>
      </c>
      <c r="G205">
        <v>0.60448999999999997</v>
      </c>
      <c r="H205">
        <v>0.17892</v>
      </c>
    </row>
    <row r="206" spans="1:8" x14ac:dyDescent="0.25">
      <c r="A206" t="s">
        <v>143</v>
      </c>
      <c r="B206">
        <v>0</v>
      </c>
      <c r="C206">
        <v>-0.29530000000000001</v>
      </c>
      <c r="D206">
        <v>0.33939999999999998</v>
      </c>
      <c r="E206">
        <v>0.60209999999999997</v>
      </c>
      <c r="F206">
        <v>0.1653</v>
      </c>
      <c r="G206">
        <v>0.23649999999999999</v>
      </c>
      <c r="H206">
        <v>0.13</v>
      </c>
    </row>
    <row r="207" spans="1:8" x14ac:dyDescent="0.25">
      <c r="A207" t="s">
        <v>237</v>
      </c>
      <c r="B207">
        <v>0.33429999999999999</v>
      </c>
      <c r="C207">
        <v>0.37230999999999997</v>
      </c>
      <c r="D207">
        <v>0.43452000000000002</v>
      </c>
      <c r="E207">
        <v>0.44067000000000001</v>
      </c>
      <c r="F207">
        <v>0.47838999999999998</v>
      </c>
      <c r="G207">
        <v>0.53664999999999996</v>
      </c>
      <c r="H207">
        <v>0.13975000000000001</v>
      </c>
    </row>
    <row r="208" spans="1:8" x14ac:dyDescent="0.25">
      <c r="A208" t="s">
        <v>238</v>
      </c>
      <c r="B208">
        <v>0.30765999999999999</v>
      </c>
      <c r="C208">
        <v>0.34140999999999999</v>
      </c>
      <c r="D208">
        <v>0.40121000000000001</v>
      </c>
      <c r="E208">
        <v>0.40209</v>
      </c>
      <c r="F208">
        <v>0.43634000000000001</v>
      </c>
      <c r="G208">
        <v>0.49030000000000001</v>
      </c>
      <c r="H208">
        <v>0.12778999999999999</v>
      </c>
    </row>
    <row r="209" spans="1:8" x14ac:dyDescent="0.25">
      <c r="A209" t="s">
        <v>239</v>
      </c>
      <c r="B209">
        <v>2.664E-2</v>
      </c>
      <c r="C209">
        <v>3.09E-2</v>
      </c>
      <c r="D209">
        <v>3.3309999999999999E-2</v>
      </c>
      <c r="E209">
        <v>3.8580000000000003E-2</v>
      </c>
      <c r="F209">
        <v>4.2049999999999997E-2</v>
      </c>
      <c r="G209">
        <v>4.6339999999999999E-2</v>
      </c>
      <c r="H209">
        <v>1.196E-2</v>
      </c>
    </row>
    <row r="210" spans="1:8" x14ac:dyDescent="0.25">
      <c r="A210" t="s">
        <v>240</v>
      </c>
      <c r="B210">
        <v>7.3099999999999997E-3</v>
      </c>
      <c r="C210">
        <v>-7.2399999999999999E-3</v>
      </c>
      <c r="D210">
        <v>2.3400000000000001E-3</v>
      </c>
      <c r="E210">
        <v>9.3300000000000002E-4</v>
      </c>
      <c r="F210">
        <v>-3.3820000000000003E-2</v>
      </c>
      <c r="G210">
        <v>0</v>
      </c>
      <c r="H210">
        <v>0</v>
      </c>
    </row>
    <row r="211" spans="1:8" x14ac:dyDescent="0.25">
      <c r="A211" t="s">
        <v>211</v>
      </c>
      <c r="B211">
        <v>7.3099999999999997E-3</v>
      </c>
      <c r="C211">
        <v>-7.2399999999999999E-3</v>
      </c>
      <c r="D211">
        <v>2.3400000000000001E-3</v>
      </c>
      <c r="E211">
        <v>9.3300000000000002E-4</v>
      </c>
      <c r="F211">
        <v>-3.3820000000000003E-2</v>
      </c>
      <c r="G211">
        <v>-4.1610000000000001E-2</v>
      </c>
      <c r="H211">
        <v>-3.7560000000000003E-2</v>
      </c>
    </row>
    <row r="212" spans="1:8" x14ac:dyDescent="0.25">
      <c r="A212" t="s">
        <v>241</v>
      </c>
      <c r="B212">
        <v>0</v>
      </c>
      <c r="C212">
        <v>0</v>
      </c>
      <c r="D212">
        <v>0</v>
      </c>
      <c r="E212">
        <v>0</v>
      </c>
      <c r="F212">
        <v>0</v>
      </c>
      <c r="G212">
        <v>0</v>
      </c>
      <c r="H212">
        <v>0</v>
      </c>
    </row>
    <row r="213" spans="1:8" x14ac:dyDescent="0.25">
      <c r="A213" t="s">
        <v>242</v>
      </c>
      <c r="B213">
        <v>-4.0030000000000003E-2</v>
      </c>
      <c r="C213">
        <v>-5.9490000000000001E-2</v>
      </c>
      <c r="D213">
        <v>-6.9389999999999993E-2</v>
      </c>
      <c r="E213">
        <v>-7.6819999999999999E-2</v>
      </c>
      <c r="F213">
        <v>-8.9829999999999993E-2</v>
      </c>
      <c r="G213">
        <v>-0.10100000000000001</v>
      </c>
      <c r="H213">
        <v>-1.214E-2</v>
      </c>
    </row>
    <row r="214" spans="1:8" x14ac:dyDescent="0.25">
      <c r="A214" t="s">
        <v>243</v>
      </c>
      <c r="B214">
        <v>0.82594999999999996</v>
      </c>
      <c r="C214">
        <v>0.81301999999999996</v>
      </c>
      <c r="D214">
        <v>0.97802</v>
      </c>
      <c r="E214">
        <v>1.1599999999999999</v>
      </c>
      <c r="F214">
        <v>1.28</v>
      </c>
      <c r="G214">
        <v>1.3876299999999999</v>
      </c>
      <c r="H214">
        <v>0.34505000000000002</v>
      </c>
    </row>
    <row r="215" spans="1:8" x14ac:dyDescent="0.25">
      <c r="A215" t="s">
        <v>244</v>
      </c>
      <c r="B215">
        <v>0</v>
      </c>
      <c r="C215">
        <v>0</v>
      </c>
      <c r="D215">
        <v>0</v>
      </c>
      <c r="E215">
        <v>0</v>
      </c>
      <c r="F215">
        <v>0</v>
      </c>
      <c r="G215">
        <v>0</v>
      </c>
      <c r="H215">
        <v>0</v>
      </c>
    </row>
    <row r="216" spans="1:8" x14ac:dyDescent="0.25">
      <c r="A216" t="s">
        <v>245</v>
      </c>
      <c r="B216">
        <v>4.0349999999999997E-2</v>
      </c>
      <c r="C216">
        <v>-1.2030000000000001E-2</v>
      </c>
      <c r="D216">
        <v>3.031E-2</v>
      </c>
      <c r="E216">
        <v>-0.10285999999999999</v>
      </c>
      <c r="F216">
        <v>-6.9879999999999998E-2</v>
      </c>
      <c r="G216">
        <v>-7.8879000000000005E-2</v>
      </c>
      <c r="H216">
        <v>4.4690000000000001E-2</v>
      </c>
    </row>
    <row r="217" spans="1:8" x14ac:dyDescent="0.25">
      <c r="A217" t="s">
        <v>246</v>
      </c>
      <c r="B217">
        <v>3.3600000000000001E-3</v>
      </c>
      <c r="C217">
        <v>-5.0049999999999997E-2</v>
      </c>
      <c r="D217">
        <v>-3.0450000000000001E-2</v>
      </c>
      <c r="E217">
        <v>-6.447E-2</v>
      </c>
      <c r="F217">
        <v>-9.0380000000000002E-2</v>
      </c>
      <c r="G217">
        <v>-2.0160000000000001E-2</v>
      </c>
      <c r="H217">
        <v>-1.082E-2</v>
      </c>
    </row>
    <row r="218" spans="1:8" x14ac:dyDescent="0.25">
      <c r="A218" t="s">
        <v>197</v>
      </c>
      <c r="B218">
        <v>1.8489999999999999E-2</v>
      </c>
      <c r="C218">
        <v>3.3230000000000003E-2</v>
      </c>
      <c r="D218">
        <v>4.224E-2</v>
      </c>
      <c r="E218">
        <v>8.77E-3</v>
      </c>
      <c r="F218">
        <v>3.9210000000000002E-2</v>
      </c>
      <c r="G218">
        <v>-2.6870000000000002E-2</v>
      </c>
      <c r="H218">
        <v>6.6799999999999998E-2</v>
      </c>
    </row>
    <row r="219" spans="1:8" x14ac:dyDescent="0.25">
      <c r="A219" t="s">
        <v>247</v>
      </c>
      <c r="B219">
        <v>1.8509999999999999E-2</v>
      </c>
      <c r="C219">
        <v>4.79E-3</v>
      </c>
      <c r="D219">
        <v>1.8509999999999999E-2</v>
      </c>
      <c r="E219">
        <v>-4.7160000000000001E-2</v>
      </c>
      <c r="F219">
        <v>-1.8710000000000001E-2</v>
      </c>
      <c r="G219">
        <v>-3.184E-2</v>
      </c>
      <c r="H219">
        <v>-1.129E-2</v>
      </c>
    </row>
    <row r="220" spans="1:8" x14ac:dyDescent="0.25">
      <c r="A220" t="s">
        <v>91</v>
      </c>
      <c r="B220">
        <v>0.86629999999999996</v>
      </c>
      <c r="C220">
        <v>0.80098000000000003</v>
      </c>
      <c r="D220">
        <v>1.01</v>
      </c>
      <c r="E220">
        <v>1.06</v>
      </c>
      <c r="F220">
        <v>1.22</v>
      </c>
      <c r="G220">
        <v>1.3087500000000001</v>
      </c>
      <c r="H220">
        <v>0.38973999999999998</v>
      </c>
    </row>
    <row r="221" spans="1:8" x14ac:dyDescent="0.25">
      <c r="A221" t="s">
        <v>248</v>
      </c>
      <c r="B221">
        <v>0</v>
      </c>
      <c r="C221">
        <v>-7.5399999999999995E-2</v>
      </c>
      <c r="D221">
        <v>0.25890000000000002</v>
      </c>
      <c r="E221">
        <v>4.9599999999999998E-2</v>
      </c>
      <c r="F221">
        <v>0.14810000000000001</v>
      </c>
      <c r="G221">
        <v>7.0000000000000007E-2</v>
      </c>
      <c r="H221">
        <v>-0.03</v>
      </c>
    </row>
    <row r="222" spans="1:8" x14ac:dyDescent="0.25">
      <c r="A222" t="s">
        <v>249</v>
      </c>
      <c r="B222">
        <v>0.37019999999999997</v>
      </c>
      <c r="C222">
        <v>0.32179999999999997</v>
      </c>
      <c r="D222">
        <v>0.3715</v>
      </c>
      <c r="E222">
        <v>0.36570000000000003</v>
      </c>
      <c r="F222">
        <v>0.37990000000000002</v>
      </c>
      <c r="G222">
        <v>0.38</v>
      </c>
      <c r="H222">
        <v>0.45</v>
      </c>
    </row>
    <row r="223" spans="1:8" x14ac:dyDescent="0.25">
      <c r="A223" t="s">
        <v>250</v>
      </c>
      <c r="B223">
        <v>-0.31629000000000002</v>
      </c>
      <c r="C223">
        <v>-0.41477999999999998</v>
      </c>
      <c r="D223">
        <v>-0.40573999999999999</v>
      </c>
      <c r="E223">
        <v>-0.56208000000000002</v>
      </c>
      <c r="F223">
        <v>-0.73187000000000002</v>
      </c>
      <c r="G223">
        <v>-0.60299000000000003</v>
      </c>
      <c r="H223">
        <v>-0.11625000000000001</v>
      </c>
    </row>
    <row r="224" spans="1:8" x14ac:dyDescent="0.25">
      <c r="A224" t="s">
        <v>251</v>
      </c>
      <c r="B224">
        <v>0</v>
      </c>
      <c r="C224">
        <v>-0.31140000000000001</v>
      </c>
      <c r="D224">
        <v>2.18E-2</v>
      </c>
      <c r="E224">
        <v>-0.38529999999999998</v>
      </c>
      <c r="F224">
        <v>-0.30209999999999998</v>
      </c>
      <c r="G224">
        <v>-0.18</v>
      </c>
      <c r="H224">
        <v>-0.49</v>
      </c>
    </row>
    <row r="225" spans="1:8" x14ac:dyDescent="0.25">
      <c r="A225" t="s">
        <v>252</v>
      </c>
      <c r="B225">
        <v>-0.13519999999999999</v>
      </c>
      <c r="C225">
        <v>-0.1666</v>
      </c>
      <c r="D225">
        <v>-0.14949999999999999</v>
      </c>
      <c r="E225">
        <v>-0.19420000000000001</v>
      </c>
      <c r="F225">
        <v>-0.2288</v>
      </c>
      <c r="G225">
        <v>-0.18</v>
      </c>
      <c r="H225">
        <v>-0.14000000000000001</v>
      </c>
    </row>
    <row r="226" spans="1:8" x14ac:dyDescent="0.25">
      <c r="A226" t="s">
        <v>253</v>
      </c>
      <c r="B226">
        <v>-0.31629000000000002</v>
      </c>
      <c r="C226">
        <v>-0.41477999999999998</v>
      </c>
      <c r="D226">
        <v>-0.40573999999999999</v>
      </c>
      <c r="E226">
        <v>-0.56208000000000002</v>
      </c>
      <c r="F226">
        <v>-0.73187000000000002</v>
      </c>
      <c r="G226">
        <v>-0.60299000000000003</v>
      </c>
      <c r="H226">
        <v>-0.11625000000000001</v>
      </c>
    </row>
    <row r="227" spans="1:8" x14ac:dyDescent="0.25">
      <c r="A227" t="s">
        <v>254</v>
      </c>
      <c r="B227">
        <v>0</v>
      </c>
      <c r="C227">
        <v>0</v>
      </c>
      <c r="D227">
        <v>0</v>
      </c>
      <c r="E227">
        <v>0</v>
      </c>
      <c r="F227">
        <v>0</v>
      </c>
      <c r="G227">
        <v>0</v>
      </c>
      <c r="H227">
        <v>0</v>
      </c>
    </row>
    <row r="228" spans="1:8" x14ac:dyDescent="0.25">
      <c r="A228" t="s">
        <v>255</v>
      </c>
      <c r="B228">
        <v>-9.5439999999999997E-2</v>
      </c>
      <c r="C228">
        <v>-0.36907000000000001</v>
      </c>
      <c r="D228" s="3">
        <v>-7.8999999999999996E-5</v>
      </c>
      <c r="E228">
        <v>-0.16533</v>
      </c>
      <c r="F228">
        <v>-0.16438</v>
      </c>
      <c r="G228">
        <v>-0.14363999999999999</v>
      </c>
      <c r="H228">
        <v>0</v>
      </c>
    </row>
    <row r="229" spans="1:8" x14ac:dyDescent="0.25">
      <c r="A229" t="s">
        <v>256</v>
      </c>
      <c r="B229">
        <v>0</v>
      </c>
      <c r="C229">
        <v>0</v>
      </c>
      <c r="D229">
        <v>0</v>
      </c>
      <c r="E229">
        <v>0</v>
      </c>
      <c r="F229">
        <v>0</v>
      </c>
      <c r="G229">
        <v>-1.06E-4</v>
      </c>
      <c r="H229">
        <v>0</v>
      </c>
    </row>
    <row r="230" spans="1:8" x14ac:dyDescent="0.25">
      <c r="A230" t="s">
        <v>257</v>
      </c>
      <c r="B230">
        <v>-5.8479999999999997E-2</v>
      </c>
      <c r="C230">
        <v>0.32627</v>
      </c>
      <c r="D230">
        <v>-9.8650000000000002E-2</v>
      </c>
      <c r="E230">
        <v>-0.94093000000000004</v>
      </c>
      <c r="F230">
        <v>-0.15484999999999999</v>
      </c>
      <c r="G230">
        <v>0.31740000000000002</v>
      </c>
      <c r="H230">
        <v>0.51068000000000002</v>
      </c>
    </row>
    <row r="231" spans="1:8" x14ac:dyDescent="0.25">
      <c r="A231" t="s">
        <v>258</v>
      </c>
      <c r="B231">
        <v>-0.78105999999999998</v>
      </c>
      <c r="C231">
        <v>-0.32650000000000001</v>
      </c>
      <c r="D231">
        <v>-0.87370000000000003</v>
      </c>
      <c r="E231">
        <v>-2.0299999999999998</v>
      </c>
      <c r="F231">
        <v>-1.78</v>
      </c>
      <c r="G231">
        <v>-1.2410600000000001</v>
      </c>
      <c r="H231">
        <v>-0.22950000000000001</v>
      </c>
    </row>
    <row r="232" spans="1:8" x14ac:dyDescent="0.25">
      <c r="A232" t="s">
        <v>259</v>
      </c>
      <c r="B232">
        <v>0.72258</v>
      </c>
      <c r="C232">
        <v>0.65276999999999996</v>
      </c>
      <c r="D232">
        <v>0.77505000000000002</v>
      </c>
      <c r="E232">
        <v>1.0900000000000001</v>
      </c>
      <c r="F232">
        <v>1.63</v>
      </c>
      <c r="G232">
        <v>1.55847</v>
      </c>
      <c r="H232">
        <v>0.74017999999999995</v>
      </c>
    </row>
    <row r="233" spans="1:8" x14ac:dyDescent="0.25">
      <c r="A233" t="s">
        <v>260</v>
      </c>
      <c r="B233">
        <v>-4.555E-2</v>
      </c>
      <c r="C233">
        <v>-5.9490000000000001E-2</v>
      </c>
      <c r="D233">
        <v>-6.9389999999999993E-2</v>
      </c>
      <c r="E233">
        <v>-7.6819999999999999E-2</v>
      </c>
      <c r="F233">
        <v>-8.9829999999999993E-2</v>
      </c>
      <c r="G233">
        <v>-0.10100000000000001</v>
      </c>
      <c r="H233">
        <v>-1.214E-2</v>
      </c>
    </row>
    <row r="234" spans="1:8" x14ac:dyDescent="0.25">
      <c r="A234" t="s">
        <v>261</v>
      </c>
      <c r="B234">
        <v>5.5100000000000001E-3</v>
      </c>
      <c r="C234">
        <v>0</v>
      </c>
      <c r="D234">
        <v>0</v>
      </c>
      <c r="E234">
        <v>0</v>
      </c>
      <c r="F234">
        <v>0</v>
      </c>
      <c r="G234">
        <v>0</v>
      </c>
      <c r="H234">
        <v>0</v>
      </c>
    </row>
    <row r="235" spans="1:8" x14ac:dyDescent="0.25">
      <c r="A235" t="s">
        <v>92</v>
      </c>
      <c r="B235">
        <v>-0.46943000000000001</v>
      </c>
      <c r="C235">
        <v>-0.45917000000000002</v>
      </c>
      <c r="D235">
        <v>-0.50653000000000004</v>
      </c>
      <c r="E235">
        <v>-1.67</v>
      </c>
      <c r="F235">
        <v>-1.04</v>
      </c>
      <c r="G235">
        <v>-0.42087999999999998</v>
      </c>
      <c r="H235">
        <v>0.39298</v>
      </c>
    </row>
    <row r="236" spans="1:8" x14ac:dyDescent="0.25">
      <c r="A236" t="s">
        <v>262</v>
      </c>
      <c r="B236">
        <v>0</v>
      </c>
      <c r="C236">
        <v>2.1899999999999999E-2</v>
      </c>
      <c r="D236">
        <v>-0.1032</v>
      </c>
      <c r="E236">
        <v>-2.2928000000000002</v>
      </c>
      <c r="F236">
        <v>0.37469999999999998</v>
      </c>
      <c r="G236">
        <v>-0.6</v>
      </c>
      <c r="H236">
        <v>-2.75</v>
      </c>
    </row>
    <row r="237" spans="1:8" x14ac:dyDescent="0.25">
      <c r="A237" t="s">
        <v>263</v>
      </c>
      <c r="B237">
        <v>-0.2006</v>
      </c>
      <c r="C237">
        <v>-0.1845</v>
      </c>
      <c r="D237">
        <v>-0.18659999999999999</v>
      </c>
      <c r="E237">
        <v>-0.57640000000000002</v>
      </c>
      <c r="F237">
        <v>-0.3261</v>
      </c>
      <c r="G237">
        <v>-0.12</v>
      </c>
      <c r="H237">
        <v>0.46</v>
      </c>
    </row>
    <row r="238" spans="1:8" x14ac:dyDescent="0.25">
      <c r="A238" t="s">
        <v>93</v>
      </c>
      <c r="B238">
        <v>0</v>
      </c>
      <c r="C238">
        <v>0</v>
      </c>
      <c r="D238">
        <v>0</v>
      </c>
      <c r="E238">
        <v>0</v>
      </c>
      <c r="F238">
        <v>0</v>
      </c>
      <c r="G238">
        <v>0</v>
      </c>
      <c r="H238">
        <v>0</v>
      </c>
    </row>
    <row r="239" spans="1:8" x14ac:dyDescent="0.25">
      <c r="A239" t="s">
        <v>264</v>
      </c>
      <c r="B239">
        <v>0</v>
      </c>
      <c r="C239">
        <v>0</v>
      </c>
      <c r="D239">
        <v>0</v>
      </c>
      <c r="E239">
        <v>0</v>
      </c>
      <c r="F239">
        <v>0</v>
      </c>
      <c r="G239">
        <v>0</v>
      </c>
      <c r="H239">
        <v>0</v>
      </c>
    </row>
    <row r="240" spans="1:8" x14ac:dyDescent="0.25">
      <c r="A240" t="s">
        <v>150</v>
      </c>
      <c r="B240">
        <v>0</v>
      </c>
      <c r="C240">
        <v>0</v>
      </c>
      <c r="D240">
        <v>0</v>
      </c>
      <c r="E240">
        <v>0</v>
      </c>
      <c r="F240">
        <v>0</v>
      </c>
      <c r="G240">
        <v>0</v>
      </c>
      <c r="H240">
        <v>0</v>
      </c>
    </row>
    <row r="241" spans="1:8" x14ac:dyDescent="0.25">
      <c r="A241" t="s">
        <v>265</v>
      </c>
      <c r="B241">
        <v>-0.31423000000000001</v>
      </c>
      <c r="C241">
        <v>-0.30551</v>
      </c>
      <c r="D241">
        <v>-0.56745000000000001</v>
      </c>
      <c r="E241">
        <v>-9.2259999999999995E-2</v>
      </c>
      <c r="F241">
        <v>-0.13381000000000001</v>
      </c>
      <c r="G241">
        <v>-0.26285999999999998</v>
      </c>
      <c r="H241">
        <v>-8.1019999999999995E-2</v>
      </c>
    </row>
    <row r="242" spans="1:8" x14ac:dyDescent="0.25">
      <c r="A242" t="s">
        <v>94</v>
      </c>
      <c r="B242">
        <v>-0.37379000000000001</v>
      </c>
      <c r="C242">
        <v>-0.36119000000000001</v>
      </c>
      <c r="D242">
        <v>-0.75</v>
      </c>
      <c r="E242">
        <v>-0.33451999999999998</v>
      </c>
      <c r="F242">
        <v>-0.19359000000000001</v>
      </c>
      <c r="G242">
        <v>-0.32377</v>
      </c>
      <c r="H242">
        <v>-9.6839999999999996E-2</v>
      </c>
    </row>
    <row r="243" spans="1:8" x14ac:dyDescent="0.25">
      <c r="A243" t="s">
        <v>266</v>
      </c>
      <c r="B243">
        <v>5.9560000000000002E-2</v>
      </c>
      <c r="C243">
        <v>5.568E-2</v>
      </c>
      <c r="D243">
        <v>0.18254999999999999</v>
      </c>
      <c r="E243">
        <v>0.24226</v>
      </c>
      <c r="F243">
        <v>5.978E-2</v>
      </c>
      <c r="G243">
        <v>6.0900000000000003E-2</v>
      </c>
      <c r="H243">
        <v>1.5820000000000001E-2</v>
      </c>
    </row>
    <row r="244" spans="1:8" x14ac:dyDescent="0.25">
      <c r="A244" t="s">
        <v>267</v>
      </c>
      <c r="B244">
        <v>0</v>
      </c>
      <c r="C244">
        <v>0</v>
      </c>
      <c r="D244">
        <v>0</v>
      </c>
      <c r="E244">
        <v>0</v>
      </c>
      <c r="F244">
        <v>0</v>
      </c>
      <c r="G244">
        <v>0</v>
      </c>
      <c r="H244">
        <v>0</v>
      </c>
    </row>
    <row r="245" spans="1:8" x14ac:dyDescent="0.25">
      <c r="A245" t="s">
        <v>268</v>
      </c>
      <c r="B245">
        <v>5.9560000000000002E-2</v>
      </c>
      <c r="C245">
        <v>5.568E-2</v>
      </c>
      <c r="D245">
        <v>0.18254999999999999</v>
      </c>
      <c r="E245">
        <v>0.24226</v>
      </c>
      <c r="F245">
        <v>5.978E-2</v>
      </c>
      <c r="G245">
        <v>6.0900000000000003E-2</v>
      </c>
      <c r="H245">
        <v>1.5820000000000001E-2</v>
      </c>
    </row>
    <row r="246" spans="1:8" x14ac:dyDescent="0.25">
      <c r="A246" t="s">
        <v>269</v>
      </c>
      <c r="B246">
        <v>0</v>
      </c>
      <c r="C246">
        <v>0</v>
      </c>
      <c r="D246">
        <v>0.87044999999999995</v>
      </c>
      <c r="E246">
        <v>0.13339999999999999</v>
      </c>
      <c r="F246">
        <v>0</v>
      </c>
      <c r="G246">
        <v>0</v>
      </c>
      <c r="H246">
        <v>0</v>
      </c>
    </row>
    <row r="247" spans="1:8" x14ac:dyDescent="0.25">
      <c r="A247" t="s">
        <v>270</v>
      </c>
      <c r="B247">
        <v>0</v>
      </c>
      <c r="C247">
        <v>0</v>
      </c>
      <c r="D247">
        <v>0</v>
      </c>
      <c r="E247">
        <v>0</v>
      </c>
      <c r="F247">
        <v>0</v>
      </c>
      <c r="G247">
        <v>0</v>
      </c>
      <c r="H247">
        <v>0</v>
      </c>
    </row>
    <row r="248" spans="1:8" x14ac:dyDescent="0.25">
      <c r="A248" t="s">
        <v>271</v>
      </c>
      <c r="B248">
        <v>0</v>
      </c>
      <c r="C248">
        <v>0</v>
      </c>
      <c r="D248">
        <v>0.87044999999999995</v>
      </c>
      <c r="E248">
        <v>0.13339999999999999</v>
      </c>
      <c r="F248">
        <v>0</v>
      </c>
      <c r="G248">
        <v>0</v>
      </c>
      <c r="H248">
        <v>0</v>
      </c>
    </row>
    <row r="249" spans="1:8" x14ac:dyDescent="0.25">
      <c r="A249" t="s">
        <v>272</v>
      </c>
      <c r="B249">
        <v>0</v>
      </c>
      <c r="C249">
        <v>0</v>
      </c>
      <c r="D249">
        <v>1.1299999999999999</v>
      </c>
      <c r="E249">
        <v>1.1399999999999999</v>
      </c>
      <c r="F249">
        <v>0</v>
      </c>
      <c r="G249">
        <v>0</v>
      </c>
      <c r="H249">
        <v>0</v>
      </c>
    </row>
    <row r="250" spans="1:8" x14ac:dyDescent="0.25">
      <c r="A250" t="s">
        <v>273</v>
      </c>
      <c r="B250">
        <v>0</v>
      </c>
      <c r="C250">
        <v>0</v>
      </c>
      <c r="D250">
        <v>-0.26173999999999997</v>
      </c>
      <c r="E250">
        <v>-1</v>
      </c>
      <c r="F250">
        <v>0</v>
      </c>
      <c r="G250">
        <v>0</v>
      </c>
      <c r="H250">
        <v>0</v>
      </c>
    </row>
    <row r="251" spans="1:8" x14ac:dyDescent="0.25">
      <c r="A251" t="s">
        <v>242</v>
      </c>
      <c r="B251">
        <v>-4.0030000000000003E-2</v>
      </c>
      <c r="C251">
        <v>-5.9490000000000001E-2</v>
      </c>
      <c r="D251">
        <v>-6.9389999999999993E-2</v>
      </c>
      <c r="E251">
        <v>-7.6819999999999999E-2</v>
      </c>
      <c r="F251">
        <v>-8.9829999999999993E-2</v>
      </c>
      <c r="G251">
        <v>-0.10100000000000001</v>
      </c>
      <c r="H251">
        <v>-1.214E-2</v>
      </c>
    </row>
    <row r="252" spans="1:8" x14ac:dyDescent="0.25">
      <c r="A252" t="s">
        <v>260</v>
      </c>
      <c r="B252">
        <v>-4.555E-2</v>
      </c>
      <c r="C252">
        <v>-5.9490000000000001E-2</v>
      </c>
      <c r="D252">
        <v>-6.9389999999999993E-2</v>
      </c>
      <c r="E252">
        <v>-7.6819999999999999E-2</v>
      </c>
      <c r="F252">
        <v>-8.9829999999999993E-2</v>
      </c>
      <c r="G252">
        <v>-0.10100000000000001</v>
      </c>
      <c r="H252">
        <v>-1.214E-2</v>
      </c>
    </row>
    <row r="253" spans="1:8" x14ac:dyDescent="0.25">
      <c r="A253" t="s">
        <v>261</v>
      </c>
      <c r="B253">
        <v>5.5100000000000001E-3</v>
      </c>
      <c r="C253">
        <v>0</v>
      </c>
      <c r="D253">
        <v>0</v>
      </c>
      <c r="E253">
        <v>0</v>
      </c>
      <c r="F253">
        <v>0</v>
      </c>
      <c r="G253">
        <v>0</v>
      </c>
      <c r="H253">
        <v>0</v>
      </c>
    </row>
    <row r="254" spans="1:8" x14ac:dyDescent="0.25">
      <c r="A254" t="s">
        <v>95</v>
      </c>
      <c r="B254">
        <v>-0.35426999999999997</v>
      </c>
      <c r="C254">
        <v>-0.36501</v>
      </c>
      <c r="D254">
        <v>0.23361000000000001</v>
      </c>
      <c r="E254">
        <v>-3.5680000000000003E-2</v>
      </c>
      <c r="F254">
        <v>-0.22364000000000001</v>
      </c>
      <c r="G254">
        <v>-0.36386000000000002</v>
      </c>
      <c r="H254">
        <v>-9.3160000000000007E-2</v>
      </c>
    </row>
    <row r="255" spans="1:8" x14ac:dyDescent="0.25">
      <c r="A255" t="s">
        <v>274</v>
      </c>
      <c r="B255">
        <v>0</v>
      </c>
      <c r="C255">
        <v>-3.0300000000000001E-2</v>
      </c>
      <c r="D255">
        <v>1.64</v>
      </c>
      <c r="E255">
        <v>-1.1527000000000001</v>
      </c>
      <c r="F255">
        <v>-5.2685000000000004</v>
      </c>
      <c r="G255">
        <v>0.63</v>
      </c>
      <c r="H255">
        <v>7.82</v>
      </c>
    </row>
    <row r="256" spans="1:8" x14ac:dyDescent="0.25">
      <c r="A256" t="s">
        <v>275</v>
      </c>
      <c r="B256">
        <v>-0.15140000000000001</v>
      </c>
      <c r="C256">
        <v>-0.14660000000000001</v>
      </c>
      <c r="D256">
        <v>8.6099999999999996E-2</v>
      </c>
      <c r="E256">
        <v>-1.23E-2</v>
      </c>
      <c r="F256">
        <v>-6.9900000000000004E-2</v>
      </c>
      <c r="G256">
        <v>-0.11</v>
      </c>
      <c r="H256">
        <v>-0.11</v>
      </c>
    </row>
    <row r="257" spans="1:8" x14ac:dyDescent="0.25">
      <c r="A257" t="s">
        <v>276</v>
      </c>
      <c r="B257">
        <v>-7.9100000000000004E-3</v>
      </c>
      <c r="C257">
        <v>1.299E-2</v>
      </c>
      <c r="D257">
        <v>-1.2840000000000001E-2</v>
      </c>
      <c r="E257">
        <v>2.47E-3</v>
      </c>
      <c r="F257">
        <v>1.094E-2</v>
      </c>
    </row>
    <row r="258" spans="1:8" x14ac:dyDescent="0.25">
      <c r="A258" t="s">
        <v>277</v>
      </c>
      <c r="B258">
        <v>0</v>
      </c>
      <c r="C258">
        <v>0</v>
      </c>
      <c r="D258">
        <v>0</v>
      </c>
      <c r="E258">
        <v>0</v>
      </c>
      <c r="F258">
        <v>0</v>
      </c>
      <c r="G258">
        <v>0</v>
      </c>
      <c r="H258">
        <v>0</v>
      </c>
    </row>
    <row r="259" spans="1:8" x14ac:dyDescent="0.25">
      <c r="A259" t="s">
        <v>278</v>
      </c>
      <c r="B259">
        <v>3.4700000000000002E-2</v>
      </c>
      <c r="C259">
        <v>-1.0200000000000001E-2</v>
      </c>
      <c r="D259">
        <v>0.72255999999999998</v>
      </c>
      <c r="E259">
        <v>-0.64283999999999997</v>
      </c>
      <c r="F259">
        <v>-4.0680000000000001E-2</v>
      </c>
      <c r="G259">
        <v>0.52219000000000004</v>
      </c>
      <c r="H259">
        <v>0.68447999999999998</v>
      </c>
    </row>
    <row r="260" spans="1:8" x14ac:dyDescent="0.25">
      <c r="A260" t="s">
        <v>87</v>
      </c>
      <c r="B260">
        <v>0.55001</v>
      </c>
      <c r="C260">
        <v>0.38621</v>
      </c>
      <c r="D260">
        <v>0.60258999999999996</v>
      </c>
      <c r="E260">
        <v>0.49623</v>
      </c>
      <c r="F260">
        <v>0.48313</v>
      </c>
      <c r="G260">
        <v>0.70577000000000001</v>
      </c>
      <c r="H260">
        <v>0.27349000000000001</v>
      </c>
    </row>
    <row r="261" spans="1:8" x14ac:dyDescent="0.25">
      <c r="A261" t="s">
        <v>279</v>
      </c>
      <c r="B261">
        <v>0</v>
      </c>
      <c r="C261">
        <v>-0.29780000000000001</v>
      </c>
      <c r="D261">
        <v>0.56030000000000002</v>
      </c>
      <c r="E261">
        <v>-0.17649999999999999</v>
      </c>
      <c r="F261">
        <v>-2.64E-2</v>
      </c>
      <c r="G261">
        <v>0.46</v>
      </c>
      <c r="H261">
        <v>0.57999999999999996</v>
      </c>
    </row>
    <row r="262" spans="1:8" x14ac:dyDescent="0.25">
      <c r="A262" t="s">
        <v>280</v>
      </c>
      <c r="B262">
        <v>0</v>
      </c>
      <c r="C262">
        <v>0</v>
      </c>
      <c r="D262">
        <v>0</v>
      </c>
      <c r="E262">
        <v>0</v>
      </c>
      <c r="F262">
        <v>2.79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CCD8C-08F5-4CFC-B88F-AC99AB621825}">
  <dimension ref="A1:M41"/>
  <sheetViews>
    <sheetView workbookViewId="0">
      <selection sqref="A1:M1048576"/>
    </sheetView>
  </sheetViews>
  <sheetFormatPr defaultRowHeight="15" x14ac:dyDescent="0.25"/>
  <sheetData>
    <row r="1" spans="1:13" x14ac:dyDescent="0.25">
      <c r="B1">
        <v>2016</v>
      </c>
      <c r="C1">
        <v>2017</v>
      </c>
      <c r="D1">
        <v>2018</v>
      </c>
      <c r="E1">
        <v>2019</v>
      </c>
      <c r="F1">
        <v>2020</v>
      </c>
      <c r="G1" t="s">
        <v>0</v>
      </c>
      <c r="H1" t="s">
        <v>1</v>
      </c>
      <c r="I1" t="s">
        <v>2</v>
      </c>
      <c r="J1" t="s">
        <v>3</v>
      </c>
      <c r="K1" t="s">
        <v>4</v>
      </c>
      <c r="L1" t="s">
        <v>5</v>
      </c>
      <c r="M1" t="s">
        <v>6</v>
      </c>
    </row>
    <row r="2" spans="1:13" x14ac:dyDescent="0.25">
      <c r="A2" t="s">
        <v>7</v>
      </c>
      <c r="B2" t="s">
        <v>8</v>
      </c>
      <c r="C2" t="s">
        <v>8</v>
      </c>
      <c r="D2" t="s">
        <v>8</v>
      </c>
      <c r="E2" t="s">
        <v>8</v>
      </c>
      <c r="F2" t="s">
        <v>8</v>
      </c>
      <c r="G2" t="s">
        <v>8</v>
      </c>
      <c r="H2" t="s">
        <v>8</v>
      </c>
      <c r="I2" t="s">
        <v>8</v>
      </c>
      <c r="J2" t="s">
        <v>8</v>
      </c>
      <c r="K2" t="s">
        <v>8</v>
      </c>
      <c r="L2" t="s">
        <v>8</v>
      </c>
      <c r="M2" t="s">
        <v>8</v>
      </c>
    </row>
    <row r="3" spans="1:13" x14ac:dyDescent="0.25">
      <c r="A3" t="s">
        <v>9</v>
      </c>
      <c r="B3" t="s">
        <v>10</v>
      </c>
      <c r="C3" t="s">
        <v>10</v>
      </c>
      <c r="D3" t="s">
        <v>10</v>
      </c>
      <c r="E3" t="s">
        <v>10</v>
      </c>
      <c r="F3" t="s">
        <v>10</v>
      </c>
      <c r="G3" t="s">
        <v>10</v>
      </c>
      <c r="H3" t="s">
        <v>10</v>
      </c>
      <c r="I3" t="s">
        <v>10</v>
      </c>
      <c r="J3" t="s">
        <v>10</v>
      </c>
      <c r="K3" t="s">
        <v>10</v>
      </c>
      <c r="L3" t="s">
        <v>10</v>
      </c>
      <c r="M3" t="s">
        <v>10</v>
      </c>
    </row>
    <row r="4" spans="1:13" x14ac:dyDescent="0.25">
      <c r="A4" t="s">
        <v>11</v>
      </c>
      <c r="B4" t="s">
        <v>12</v>
      </c>
      <c r="C4" t="s">
        <v>12</v>
      </c>
      <c r="D4" t="s">
        <v>12</v>
      </c>
      <c r="E4" t="s">
        <v>12</v>
      </c>
      <c r="F4" t="s">
        <v>12</v>
      </c>
      <c r="G4" t="s">
        <v>12</v>
      </c>
      <c r="H4" t="s">
        <v>12</v>
      </c>
      <c r="I4" t="s">
        <v>12</v>
      </c>
      <c r="J4" t="s">
        <v>12</v>
      </c>
      <c r="K4" t="s">
        <v>12</v>
      </c>
      <c r="L4" t="s">
        <v>12</v>
      </c>
      <c r="M4" t="s">
        <v>12</v>
      </c>
    </row>
    <row r="5" spans="1:13" x14ac:dyDescent="0.25">
      <c r="A5" t="s">
        <v>13</v>
      </c>
      <c r="B5">
        <v>2.34</v>
      </c>
      <c r="C5">
        <v>2.4900000000000002</v>
      </c>
      <c r="D5">
        <v>2.71</v>
      </c>
      <c r="E5">
        <v>2.89</v>
      </c>
      <c r="F5">
        <v>3.2</v>
      </c>
      <c r="G5">
        <v>3.4021499999999998</v>
      </c>
      <c r="H5">
        <v>3.65</v>
      </c>
      <c r="I5">
        <v>3.91</v>
      </c>
      <c r="J5">
        <v>4.1900000000000004</v>
      </c>
      <c r="K5">
        <v>4.49</v>
      </c>
      <c r="L5">
        <v>4.8099999999999996</v>
      </c>
      <c r="M5">
        <v>99.91</v>
      </c>
    </row>
    <row r="6" spans="1:13" x14ac:dyDescent="0.25">
      <c r="A6" t="s">
        <v>14</v>
      </c>
      <c r="B6">
        <v>0</v>
      </c>
      <c r="C6">
        <v>6.37</v>
      </c>
      <c r="D6">
        <v>9.06</v>
      </c>
      <c r="E6">
        <v>6.6</v>
      </c>
      <c r="F6">
        <v>10.52</v>
      </c>
      <c r="G6">
        <v>6.32</v>
      </c>
      <c r="H6">
        <v>7.19</v>
      </c>
      <c r="I6">
        <v>7.19</v>
      </c>
      <c r="J6">
        <v>7.19</v>
      </c>
      <c r="K6">
        <v>7.19</v>
      </c>
      <c r="L6">
        <v>7.19</v>
      </c>
      <c r="M6">
        <v>7.19</v>
      </c>
    </row>
    <row r="7" spans="1:13" x14ac:dyDescent="0.25">
      <c r="A7" t="s">
        <v>15</v>
      </c>
      <c r="B7">
        <v>1.44</v>
      </c>
      <c r="C7">
        <v>1.51</v>
      </c>
      <c r="D7">
        <v>1.65</v>
      </c>
      <c r="E7">
        <v>1.79</v>
      </c>
      <c r="F7">
        <v>1.94</v>
      </c>
      <c r="G7">
        <v>2.0299999999999998</v>
      </c>
      <c r="H7">
        <v>2.23</v>
      </c>
      <c r="I7">
        <v>2.39</v>
      </c>
      <c r="J7">
        <v>2.56</v>
      </c>
      <c r="K7">
        <v>2.74</v>
      </c>
      <c r="L7">
        <v>2.94</v>
      </c>
      <c r="M7">
        <v>60.99</v>
      </c>
    </row>
    <row r="8" spans="1:13" x14ac:dyDescent="0.25">
      <c r="A8" t="s">
        <v>16</v>
      </c>
      <c r="B8">
        <v>61.54</v>
      </c>
      <c r="C8">
        <v>60.64</v>
      </c>
      <c r="D8">
        <v>60.89</v>
      </c>
      <c r="E8">
        <v>61.94</v>
      </c>
      <c r="F8">
        <v>60.62</v>
      </c>
      <c r="G8">
        <v>59.53</v>
      </c>
      <c r="H8">
        <v>61.04</v>
      </c>
      <c r="I8">
        <v>61.04</v>
      </c>
      <c r="J8">
        <v>61.04</v>
      </c>
      <c r="K8">
        <v>61.04</v>
      </c>
      <c r="L8">
        <v>61.04</v>
      </c>
      <c r="M8">
        <v>61.04</v>
      </c>
    </row>
    <row r="9" spans="1:13" x14ac:dyDescent="0.25">
      <c r="A9" t="s">
        <v>17</v>
      </c>
      <c r="B9">
        <v>0.32</v>
      </c>
      <c r="C9">
        <v>0.22</v>
      </c>
      <c r="D9">
        <v>0.3</v>
      </c>
      <c r="E9">
        <v>0.48</v>
      </c>
      <c r="F9">
        <v>0.56000000000000005</v>
      </c>
      <c r="G9">
        <v>0.6</v>
      </c>
      <c r="H9">
        <v>0.53</v>
      </c>
      <c r="I9">
        <v>0.56999999999999995</v>
      </c>
      <c r="J9">
        <v>0.61</v>
      </c>
      <c r="K9">
        <v>0.65</v>
      </c>
      <c r="L9">
        <v>0.7</v>
      </c>
      <c r="M9">
        <v>14.54</v>
      </c>
    </row>
    <row r="10" spans="1:13" x14ac:dyDescent="0.25">
      <c r="A10" t="s">
        <v>18</v>
      </c>
      <c r="B10">
        <v>21.95</v>
      </c>
      <c r="C10">
        <v>14.75</v>
      </c>
      <c r="D10">
        <v>18.079999999999998</v>
      </c>
      <c r="E10">
        <v>26.71</v>
      </c>
      <c r="F10">
        <v>28.71</v>
      </c>
      <c r="G10">
        <v>29.85</v>
      </c>
      <c r="H10">
        <v>23.84</v>
      </c>
      <c r="I10">
        <v>23.84</v>
      </c>
      <c r="J10">
        <v>23.84</v>
      </c>
      <c r="K10">
        <v>23.84</v>
      </c>
      <c r="L10">
        <v>23.84</v>
      </c>
      <c r="M10">
        <v>23.84</v>
      </c>
    </row>
    <row r="11" spans="1:13" x14ac:dyDescent="0.25">
      <c r="A11" t="s">
        <v>19</v>
      </c>
      <c r="B11">
        <v>13.51</v>
      </c>
      <c r="C11">
        <v>8.9499999999999993</v>
      </c>
      <c r="D11">
        <v>11.01</v>
      </c>
      <c r="E11">
        <v>16.54</v>
      </c>
      <c r="F11">
        <v>17.41</v>
      </c>
      <c r="G11">
        <v>17.77</v>
      </c>
      <c r="H11">
        <v>14.55</v>
      </c>
      <c r="I11">
        <v>14.55</v>
      </c>
      <c r="J11">
        <v>14.55</v>
      </c>
      <c r="K11">
        <v>14.55</v>
      </c>
      <c r="L11">
        <v>14.55</v>
      </c>
      <c r="M11">
        <v>14.55</v>
      </c>
    </row>
    <row r="12" spans="1:13" x14ac:dyDescent="0.25">
      <c r="A12" t="s">
        <v>20</v>
      </c>
      <c r="B12">
        <v>0.87</v>
      </c>
      <c r="C12">
        <v>0.8</v>
      </c>
      <c r="D12">
        <v>1.01</v>
      </c>
      <c r="E12">
        <v>1.06</v>
      </c>
      <c r="F12">
        <v>1.22</v>
      </c>
      <c r="G12">
        <v>1.31</v>
      </c>
      <c r="H12">
        <v>1.32</v>
      </c>
      <c r="I12">
        <v>1.41</v>
      </c>
      <c r="J12">
        <v>1.51</v>
      </c>
      <c r="K12">
        <v>1.62</v>
      </c>
      <c r="L12">
        <v>1.74</v>
      </c>
      <c r="M12">
        <v>36.04</v>
      </c>
    </row>
    <row r="13" spans="1:13" x14ac:dyDescent="0.25">
      <c r="A13" t="s">
        <v>21</v>
      </c>
      <c r="B13">
        <v>274.02999999999997</v>
      </c>
      <c r="C13">
        <v>359.55</v>
      </c>
      <c r="D13">
        <v>338.51</v>
      </c>
      <c r="E13">
        <v>221.74</v>
      </c>
      <c r="F13">
        <v>219.01</v>
      </c>
      <c r="G13">
        <v>216.5</v>
      </c>
      <c r="H13">
        <v>247.89</v>
      </c>
      <c r="I13">
        <v>247.89</v>
      </c>
      <c r="J13">
        <v>247.89</v>
      </c>
      <c r="K13">
        <v>247.89</v>
      </c>
      <c r="L13">
        <v>247.89</v>
      </c>
      <c r="M13">
        <v>247.89</v>
      </c>
    </row>
    <row r="14" spans="1:13" x14ac:dyDescent="0.25">
      <c r="A14" t="s">
        <v>22</v>
      </c>
      <c r="B14">
        <v>0.64</v>
      </c>
      <c r="C14">
        <v>0.66</v>
      </c>
      <c r="D14">
        <v>1.56</v>
      </c>
      <c r="E14">
        <v>2.67</v>
      </c>
      <c r="F14">
        <v>2.77</v>
      </c>
      <c r="G14">
        <v>2.84</v>
      </c>
      <c r="H14">
        <v>2.84</v>
      </c>
      <c r="I14">
        <v>2.84</v>
      </c>
      <c r="J14">
        <v>2.84</v>
      </c>
      <c r="K14">
        <v>2.84</v>
      </c>
      <c r="L14">
        <v>2.84</v>
      </c>
      <c r="M14">
        <v>2.84</v>
      </c>
    </row>
    <row r="15" spans="1:13" x14ac:dyDescent="0.25">
      <c r="A15" t="s">
        <v>23</v>
      </c>
      <c r="B15">
        <v>0</v>
      </c>
      <c r="C15">
        <v>0</v>
      </c>
      <c r="D15">
        <v>0.87</v>
      </c>
      <c r="E15">
        <v>0.13</v>
      </c>
      <c r="F15">
        <v>0</v>
      </c>
      <c r="G15">
        <v>0</v>
      </c>
      <c r="H15">
        <v>0</v>
      </c>
      <c r="I15">
        <v>0</v>
      </c>
      <c r="J15">
        <v>0</v>
      </c>
      <c r="K15">
        <v>0</v>
      </c>
      <c r="L15">
        <v>0</v>
      </c>
      <c r="M15">
        <v>0</v>
      </c>
    </row>
    <row r="16" spans="1:13" x14ac:dyDescent="0.25">
      <c r="A16" t="s">
        <v>24</v>
      </c>
      <c r="B16">
        <v>0</v>
      </c>
      <c r="C16">
        <v>0</v>
      </c>
      <c r="D16">
        <v>-126.12</v>
      </c>
      <c r="E16">
        <v>-5.26</v>
      </c>
      <c r="F16">
        <v>0</v>
      </c>
      <c r="G16">
        <v>0</v>
      </c>
      <c r="H16">
        <v>0</v>
      </c>
      <c r="I16">
        <v>0</v>
      </c>
      <c r="J16">
        <v>0</v>
      </c>
      <c r="K16">
        <v>0</v>
      </c>
      <c r="L16">
        <v>0</v>
      </c>
      <c r="M16">
        <v>0</v>
      </c>
    </row>
    <row r="17" spans="1:13" x14ac:dyDescent="0.25">
      <c r="A17" t="s">
        <v>25</v>
      </c>
      <c r="B17">
        <v>0.02</v>
      </c>
      <c r="C17">
        <v>0.02</v>
      </c>
      <c r="D17">
        <v>0.04</v>
      </c>
      <c r="E17">
        <v>0.05</v>
      </c>
      <c r="F17">
        <v>7.0000000000000007E-2</v>
      </c>
      <c r="G17">
        <v>7.0000000000000007E-2</v>
      </c>
      <c r="H17">
        <v>7.0000000000000007E-2</v>
      </c>
      <c r="I17">
        <v>7.0000000000000007E-2</v>
      </c>
      <c r="J17">
        <v>7.0000000000000007E-2</v>
      </c>
      <c r="K17">
        <v>7.0000000000000007E-2</v>
      </c>
      <c r="L17">
        <v>7.0000000000000007E-2</v>
      </c>
      <c r="M17">
        <v>7.0000000000000007E-2</v>
      </c>
    </row>
    <row r="18" spans="1:13" x14ac:dyDescent="0.25">
      <c r="A18" t="s">
        <v>26</v>
      </c>
      <c r="B18">
        <v>2.91</v>
      </c>
      <c r="C18">
        <v>2.84</v>
      </c>
      <c r="D18">
        <v>2.77</v>
      </c>
      <c r="E18">
        <v>1.85</v>
      </c>
      <c r="F18">
        <v>2.4900000000000002</v>
      </c>
      <c r="G18">
        <v>2.5099999999999998</v>
      </c>
      <c r="H18">
        <v>2.56</v>
      </c>
      <c r="I18">
        <v>2.56</v>
      </c>
      <c r="J18">
        <v>2.56</v>
      </c>
      <c r="K18">
        <v>2.56</v>
      </c>
      <c r="L18">
        <v>2.56</v>
      </c>
      <c r="M18">
        <v>2.56</v>
      </c>
    </row>
    <row r="19" spans="1:13" x14ac:dyDescent="0.25">
      <c r="A19" t="s">
        <v>27</v>
      </c>
      <c r="B19">
        <v>0.32</v>
      </c>
      <c r="C19">
        <v>0.41</v>
      </c>
      <c r="D19">
        <v>0.41</v>
      </c>
      <c r="E19">
        <v>0.56000000000000005</v>
      </c>
      <c r="F19">
        <v>0.73</v>
      </c>
      <c r="G19">
        <v>0.6</v>
      </c>
      <c r="H19">
        <v>0.63</v>
      </c>
      <c r="I19">
        <v>0.67</v>
      </c>
      <c r="J19">
        <v>0.72</v>
      </c>
      <c r="K19">
        <v>0.77</v>
      </c>
      <c r="L19">
        <v>0.83</v>
      </c>
      <c r="M19">
        <v>17.18</v>
      </c>
    </row>
    <row r="20" spans="1:13" x14ac:dyDescent="0.25">
      <c r="A20" t="s">
        <v>28</v>
      </c>
      <c r="B20">
        <v>13.52</v>
      </c>
      <c r="C20">
        <v>16.66</v>
      </c>
      <c r="D20">
        <v>14.97</v>
      </c>
      <c r="E20">
        <v>19.45</v>
      </c>
      <c r="F20">
        <v>22.87</v>
      </c>
      <c r="G20">
        <v>17.72</v>
      </c>
      <c r="H20">
        <v>17.190000000000001</v>
      </c>
      <c r="I20">
        <v>17.190000000000001</v>
      </c>
      <c r="J20">
        <v>17.190000000000001</v>
      </c>
      <c r="K20">
        <v>17.190000000000001</v>
      </c>
      <c r="L20">
        <v>17.190000000000001</v>
      </c>
      <c r="M20">
        <v>17.190000000000001</v>
      </c>
    </row>
    <row r="21" spans="1:13" x14ac:dyDescent="0.25">
      <c r="A21" t="s">
        <v>29</v>
      </c>
      <c r="B21">
        <v>0.56999999999999995</v>
      </c>
      <c r="C21">
        <v>0.41</v>
      </c>
      <c r="D21">
        <v>0.65</v>
      </c>
      <c r="E21">
        <v>0.55000000000000004</v>
      </c>
      <c r="F21">
        <v>0.56000000000000005</v>
      </c>
      <c r="G21">
        <v>0.78</v>
      </c>
      <c r="H21">
        <v>0.76</v>
      </c>
      <c r="I21">
        <v>0.81</v>
      </c>
      <c r="J21">
        <v>0.86</v>
      </c>
      <c r="K21">
        <v>0.92</v>
      </c>
      <c r="L21">
        <v>0.98</v>
      </c>
      <c r="M21">
        <v>20.12</v>
      </c>
    </row>
    <row r="22" spans="1:13" x14ac:dyDescent="0.25">
      <c r="A22" t="s">
        <v>30</v>
      </c>
      <c r="B22">
        <v>0.55000000000000004</v>
      </c>
      <c r="C22">
        <v>0.39</v>
      </c>
      <c r="D22">
        <v>1.47</v>
      </c>
      <c r="E22">
        <v>0.63</v>
      </c>
      <c r="F22">
        <v>0.49</v>
      </c>
      <c r="G22">
        <v>0.71</v>
      </c>
      <c r="H22">
        <v>0.69</v>
      </c>
      <c r="I22">
        <v>0.74</v>
      </c>
      <c r="J22">
        <v>0.79</v>
      </c>
      <c r="K22">
        <v>0.85</v>
      </c>
      <c r="L22">
        <v>0.91</v>
      </c>
      <c r="M22">
        <v>16.899999999999999</v>
      </c>
    </row>
    <row r="23" spans="1:13" x14ac:dyDescent="0.25">
      <c r="A23" t="s">
        <v>31</v>
      </c>
      <c r="B23">
        <v>1</v>
      </c>
      <c r="C23">
        <v>1</v>
      </c>
      <c r="D23">
        <v>1</v>
      </c>
      <c r="E23">
        <v>1</v>
      </c>
      <c r="F23">
        <v>1</v>
      </c>
      <c r="G23">
        <v>1</v>
      </c>
      <c r="H23">
        <v>1.06</v>
      </c>
      <c r="I23">
        <v>1.1100000000000001</v>
      </c>
      <c r="J23">
        <v>1.18</v>
      </c>
      <c r="K23">
        <v>1.24</v>
      </c>
      <c r="L23">
        <v>1.31</v>
      </c>
      <c r="M23">
        <v>1.31</v>
      </c>
    </row>
    <row r="24" spans="1:13" x14ac:dyDescent="0.25">
      <c r="A24" t="s">
        <v>32</v>
      </c>
      <c r="B24">
        <v>1</v>
      </c>
      <c r="C24">
        <v>1</v>
      </c>
      <c r="D24">
        <v>1</v>
      </c>
      <c r="E24">
        <v>1</v>
      </c>
      <c r="F24">
        <v>1</v>
      </c>
      <c r="G24">
        <v>1</v>
      </c>
      <c r="H24">
        <v>1.06</v>
      </c>
      <c r="I24">
        <v>1.1299999999999999</v>
      </c>
      <c r="J24">
        <v>1.19</v>
      </c>
      <c r="K24">
        <v>1.27</v>
      </c>
      <c r="L24">
        <v>1.34</v>
      </c>
      <c r="M24">
        <v>1.34</v>
      </c>
    </row>
    <row r="25" spans="1:13" x14ac:dyDescent="0.25">
      <c r="A25" t="s">
        <v>33</v>
      </c>
      <c r="B25">
        <v>0.56999999999999995</v>
      </c>
      <c r="C25">
        <v>0.41</v>
      </c>
      <c r="D25">
        <v>0.65</v>
      </c>
      <c r="E25">
        <v>0.55000000000000004</v>
      </c>
      <c r="F25">
        <v>0.56000000000000005</v>
      </c>
      <c r="G25">
        <v>0.78</v>
      </c>
      <c r="H25">
        <v>0.72</v>
      </c>
      <c r="I25">
        <v>0.72</v>
      </c>
      <c r="J25">
        <v>0.73</v>
      </c>
      <c r="K25">
        <v>0.74</v>
      </c>
      <c r="L25">
        <v>0.74</v>
      </c>
      <c r="M25">
        <v>15.34</v>
      </c>
    </row>
    <row r="26" spans="1:13" x14ac:dyDescent="0.25">
      <c r="A26" t="s">
        <v>34</v>
      </c>
      <c r="B26">
        <v>0.55000000000000004</v>
      </c>
      <c r="C26">
        <v>0.39</v>
      </c>
      <c r="D26">
        <v>1.47</v>
      </c>
      <c r="E26">
        <v>0.63</v>
      </c>
      <c r="F26">
        <v>0.49</v>
      </c>
      <c r="G26">
        <v>0.71</v>
      </c>
      <c r="H26">
        <v>0.65</v>
      </c>
      <c r="I26">
        <v>0.66</v>
      </c>
      <c r="J26">
        <v>0.66</v>
      </c>
      <c r="K26">
        <v>0.67</v>
      </c>
      <c r="L26">
        <v>0.68</v>
      </c>
      <c r="M26">
        <v>12.57</v>
      </c>
    </row>
    <row r="27" spans="1:13" x14ac:dyDescent="0.25">
      <c r="A27" t="s">
        <v>35</v>
      </c>
      <c r="B27">
        <v>18.989999999999998</v>
      </c>
      <c r="C27">
        <v>18.989999999999998</v>
      </c>
      <c r="D27">
        <v>18.989999999999998</v>
      </c>
      <c r="E27">
        <v>18.989999999999998</v>
      </c>
      <c r="F27">
        <v>18.989999999999998</v>
      </c>
      <c r="G27">
        <v>18.989999999999998</v>
      </c>
      <c r="H27">
        <v>18.989999999999998</v>
      </c>
      <c r="I27">
        <v>18.989999999999998</v>
      </c>
      <c r="J27">
        <v>18.989999999999998</v>
      </c>
      <c r="K27">
        <v>18.989999999999998</v>
      </c>
      <c r="L27">
        <v>18.989999999999998</v>
      </c>
      <c r="M27">
        <v>18.989999999999998</v>
      </c>
    </row>
    <row r="28" spans="1:13" x14ac:dyDescent="0.25">
      <c r="A28" t="s">
        <v>36</v>
      </c>
      <c r="B28">
        <v>18.07</v>
      </c>
      <c r="C28">
        <v>18.07</v>
      </c>
      <c r="D28">
        <v>18.07</v>
      </c>
      <c r="E28">
        <v>18.07</v>
      </c>
      <c r="F28">
        <v>18.07</v>
      </c>
      <c r="G28">
        <v>18.07</v>
      </c>
      <c r="H28">
        <v>18.07</v>
      </c>
      <c r="I28">
        <v>18.07</v>
      </c>
      <c r="J28">
        <v>18.07</v>
      </c>
      <c r="K28">
        <v>18.07</v>
      </c>
      <c r="L28">
        <v>18.07</v>
      </c>
      <c r="M28">
        <v>18.07</v>
      </c>
    </row>
    <row r="29" spans="1:13" x14ac:dyDescent="0.25">
      <c r="A29" t="s">
        <v>37</v>
      </c>
      <c r="B29">
        <v>15.88</v>
      </c>
      <c r="C29">
        <v>15.88</v>
      </c>
      <c r="D29">
        <v>15.88</v>
      </c>
      <c r="E29">
        <v>15.88</v>
      </c>
      <c r="F29">
        <v>15.88</v>
      </c>
      <c r="G29">
        <v>15.88</v>
      </c>
      <c r="H29">
        <v>15.88</v>
      </c>
      <c r="I29">
        <v>15.88</v>
      </c>
      <c r="J29">
        <v>15.88</v>
      </c>
      <c r="K29">
        <v>15.88</v>
      </c>
      <c r="L29">
        <v>15.88</v>
      </c>
      <c r="M29">
        <v>15.88</v>
      </c>
    </row>
    <row r="30" spans="1:13" x14ac:dyDescent="0.25">
      <c r="A30" t="s">
        <v>38</v>
      </c>
      <c r="B30">
        <v>0.17621999999999999</v>
      </c>
      <c r="C30">
        <v>0.17271</v>
      </c>
      <c r="D30">
        <v>0.16919000000000001</v>
      </c>
      <c r="E30">
        <v>0.16456999999999999</v>
      </c>
      <c r="F30">
        <v>0.16521</v>
      </c>
      <c r="G30">
        <v>0.16632</v>
      </c>
      <c r="H30">
        <v>0.16632</v>
      </c>
      <c r="I30">
        <v>0.16632</v>
      </c>
      <c r="J30">
        <v>0.16632</v>
      </c>
      <c r="K30">
        <v>0.16632</v>
      </c>
      <c r="L30">
        <v>0.16632</v>
      </c>
      <c r="M30">
        <v>0.16632</v>
      </c>
    </row>
    <row r="31" spans="1:13" x14ac:dyDescent="0.25">
      <c r="A31" t="s">
        <v>39</v>
      </c>
      <c r="B31">
        <v>108.65</v>
      </c>
      <c r="C31">
        <v>108.65</v>
      </c>
      <c r="D31">
        <v>108.65</v>
      </c>
      <c r="E31">
        <v>108.65</v>
      </c>
      <c r="F31">
        <v>108.65</v>
      </c>
      <c r="G31">
        <v>108.65</v>
      </c>
      <c r="H31">
        <v>108.65</v>
      </c>
      <c r="I31">
        <v>108.65</v>
      </c>
      <c r="J31">
        <v>108.65</v>
      </c>
      <c r="K31">
        <v>108.65</v>
      </c>
      <c r="L31">
        <v>108.65</v>
      </c>
      <c r="M31">
        <v>108.65</v>
      </c>
    </row>
    <row r="32" spans="1:13" x14ac:dyDescent="0.25">
      <c r="A32" t="s">
        <v>40</v>
      </c>
      <c r="B32">
        <v>95.49</v>
      </c>
      <c r="C32">
        <v>95.49</v>
      </c>
      <c r="D32">
        <v>95.49</v>
      </c>
      <c r="E32">
        <v>95.49</v>
      </c>
      <c r="F32">
        <v>95.49</v>
      </c>
      <c r="G32">
        <v>95.49</v>
      </c>
      <c r="H32">
        <v>95.49</v>
      </c>
      <c r="I32">
        <v>95.49</v>
      </c>
      <c r="J32">
        <v>95.49</v>
      </c>
      <c r="K32">
        <v>95.49</v>
      </c>
      <c r="L32">
        <v>95.49</v>
      </c>
      <c r="M32">
        <v>95.49</v>
      </c>
    </row>
    <row r="33" spans="1:13" x14ac:dyDescent="0.25">
      <c r="A33" t="s">
        <v>41</v>
      </c>
      <c r="B33">
        <v>117.04</v>
      </c>
      <c r="C33">
        <v>117.04</v>
      </c>
      <c r="D33">
        <v>117.04</v>
      </c>
      <c r="E33">
        <v>117.04</v>
      </c>
      <c r="F33">
        <v>117.04</v>
      </c>
      <c r="G33">
        <v>117.04</v>
      </c>
      <c r="H33">
        <v>117.04</v>
      </c>
      <c r="I33">
        <v>117.04</v>
      </c>
      <c r="J33">
        <v>117.04</v>
      </c>
      <c r="K33">
        <v>117.04</v>
      </c>
      <c r="L33">
        <v>117.04</v>
      </c>
      <c r="M33">
        <v>117.04</v>
      </c>
    </row>
    <row r="34" spans="1:13" x14ac:dyDescent="0.25">
      <c r="A34" t="s">
        <v>42</v>
      </c>
      <c r="B34" t="s">
        <v>43</v>
      </c>
      <c r="C34" t="s">
        <v>43</v>
      </c>
      <c r="D34" t="s">
        <v>43</v>
      </c>
      <c r="E34" t="s">
        <v>43</v>
      </c>
      <c r="F34" t="s">
        <v>43</v>
      </c>
      <c r="G34" t="s">
        <v>43</v>
      </c>
      <c r="H34" t="s">
        <v>43</v>
      </c>
      <c r="I34" t="s">
        <v>43</v>
      </c>
      <c r="J34" t="s">
        <v>43</v>
      </c>
      <c r="K34" t="s">
        <v>43</v>
      </c>
      <c r="L34" t="s">
        <v>43</v>
      </c>
      <c r="M34" t="s">
        <v>43</v>
      </c>
    </row>
    <row r="35" spans="1:13" x14ac:dyDescent="0.25">
      <c r="A35" t="s">
        <v>44</v>
      </c>
      <c r="B35">
        <v>81.489999999999995</v>
      </c>
      <c r="C35">
        <v>81.489999999999995</v>
      </c>
      <c r="D35">
        <v>81.489999999999995</v>
      </c>
      <c r="E35">
        <v>81.489999999999995</v>
      </c>
      <c r="F35">
        <v>81.489999999999995</v>
      </c>
      <c r="G35">
        <v>81.489999999999995</v>
      </c>
      <c r="H35">
        <v>81.489999999999995</v>
      </c>
      <c r="I35">
        <v>81.489999999999995</v>
      </c>
      <c r="J35">
        <v>81.489999999999995</v>
      </c>
      <c r="K35">
        <v>81.489999999999995</v>
      </c>
      <c r="L35">
        <v>81.489999999999995</v>
      </c>
      <c r="M35">
        <v>81.489999999999995</v>
      </c>
    </row>
    <row r="36" spans="1:13" x14ac:dyDescent="0.25">
      <c r="A36" t="s">
        <v>45</v>
      </c>
      <c r="B36">
        <v>71.62</v>
      </c>
      <c r="C36">
        <v>71.62</v>
      </c>
      <c r="D36">
        <v>71.62</v>
      </c>
      <c r="E36">
        <v>71.62</v>
      </c>
      <c r="F36">
        <v>71.62</v>
      </c>
      <c r="G36">
        <v>71.62</v>
      </c>
      <c r="H36">
        <v>71.62</v>
      </c>
      <c r="I36">
        <v>71.62</v>
      </c>
      <c r="J36">
        <v>71.62</v>
      </c>
      <c r="K36">
        <v>71.62</v>
      </c>
      <c r="L36">
        <v>71.62</v>
      </c>
      <c r="M36">
        <v>71.62</v>
      </c>
    </row>
    <row r="37" spans="1:13" x14ac:dyDescent="0.25">
      <c r="A37" t="s">
        <v>46</v>
      </c>
      <c r="B37">
        <v>0.54</v>
      </c>
      <c r="C37">
        <v>0.54</v>
      </c>
      <c r="D37">
        <v>0.54</v>
      </c>
      <c r="E37">
        <v>0.54</v>
      </c>
      <c r="F37">
        <v>0.54</v>
      </c>
      <c r="G37">
        <v>0.54</v>
      </c>
      <c r="H37">
        <v>0.54</v>
      </c>
      <c r="I37">
        <v>0.54</v>
      </c>
      <c r="J37">
        <v>0.54</v>
      </c>
      <c r="K37">
        <v>0.54</v>
      </c>
      <c r="L37">
        <v>0.54</v>
      </c>
      <c r="M37">
        <v>0.54</v>
      </c>
    </row>
    <row r="38" spans="1:13" x14ac:dyDescent="0.25">
      <c r="A38" t="s">
        <v>47</v>
      </c>
      <c r="B38">
        <v>6.1</v>
      </c>
      <c r="C38">
        <v>6.1</v>
      </c>
      <c r="D38">
        <v>6.1</v>
      </c>
      <c r="E38">
        <v>6.1</v>
      </c>
      <c r="F38">
        <v>6.1</v>
      </c>
      <c r="G38">
        <v>6.1</v>
      </c>
      <c r="H38">
        <v>6.1</v>
      </c>
      <c r="I38">
        <v>6.1</v>
      </c>
      <c r="J38">
        <v>6.1</v>
      </c>
      <c r="K38">
        <v>6.1</v>
      </c>
      <c r="L38">
        <v>6.1</v>
      </c>
      <c r="M38">
        <v>6.1</v>
      </c>
    </row>
    <row r="39" spans="1:13" x14ac:dyDescent="0.25">
      <c r="A39" t="s">
        <v>48</v>
      </c>
      <c r="B39">
        <v>2.33</v>
      </c>
      <c r="C39">
        <v>2.33</v>
      </c>
      <c r="D39">
        <v>2.33</v>
      </c>
      <c r="E39">
        <v>2.33</v>
      </c>
      <c r="F39">
        <v>2.33</v>
      </c>
      <c r="G39">
        <v>2.33</v>
      </c>
      <c r="H39">
        <v>2.33</v>
      </c>
      <c r="I39">
        <v>2.33</v>
      </c>
      <c r="J39">
        <v>2.33</v>
      </c>
      <c r="K39">
        <v>2.33</v>
      </c>
      <c r="L39">
        <v>2.33</v>
      </c>
      <c r="M39">
        <v>2.33</v>
      </c>
    </row>
    <row r="40" spans="1:13" x14ac:dyDescent="0.25">
      <c r="A40" t="s">
        <v>49</v>
      </c>
      <c r="B40">
        <v>5.57</v>
      </c>
      <c r="C40">
        <v>5.57</v>
      </c>
      <c r="D40">
        <v>5.57</v>
      </c>
      <c r="E40">
        <v>5.57</v>
      </c>
      <c r="F40">
        <v>5.57</v>
      </c>
      <c r="G40">
        <v>5.57</v>
      </c>
      <c r="H40">
        <v>5.57</v>
      </c>
      <c r="I40">
        <v>5.57</v>
      </c>
      <c r="J40">
        <v>5.57</v>
      </c>
      <c r="K40">
        <v>5.57</v>
      </c>
      <c r="L40">
        <v>5.57</v>
      </c>
      <c r="M40">
        <v>5.57</v>
      </c>
    </row>
    <row r="41" spans="1:13" x14ac:dyDescent="0.25">
      <c r="A41" t="s">
        <v>50</v>
      </c>
      <c r="B41">
        <v>1.82</v>
      </c>
      <c r="C41">
        <v>1.27</v>
      </c>
      <c r="D41">
        <v>1.77</v>
      </c>
      <c r="E41">
        <v>2.92</v>
      </c>
      <c r="F41">
        <v>3.39</v>
      </c>
      <c r="G41">
        <v>3.61</v>
      </c>
      <c r="H41">
        <v>3.19</v>
      </c>
      <c r="I41">
        <v>3.43</v>
      </c>
      <c r="J41">
        <v>3.67</v>
      </c>
      <c r="K41">
        <v>3.91</v>
      </c>
      <c r="L41">
        <v>4.21</v>
      </c>
      <c r="M41">
        <v>87.42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10</vt:i4>
      </vt:variant>
    </vt:vector>
  </HeadingPairs>
  <TitlesOfParts>
    <vt:vector size="13" baseType="lpstr">
      <vt:lpstr>DCF</vt:lpstr>
      <vt:lpstr>Financials</vt:lpstr>
      <vt:lpstr>raw_dcf_statement</vt:lpstr>
      <vt:lpstr>DCF!capex_fcst</vt:lpstr>
      <vt:lpstr>DCF!debt_fcst</vt:lpstr>
      <vt:lpstr>DCF!discount_fcfe</vt:lpstr>
      <vt:lpstr>DCF!discount_fcff</vt:lpstr>
      <vt:lpstr>DCF!gross_fcst</vt:lpstr>
      <vt:lpstr>DCF!int_fcst</vt:lpstr>
      <vt:lpstr>DCF!net_fcst</vt:lpstr>
      <vt:lpstr>DCF!ocf_fcst</vt:lpstr>
      <vt:lpstr>DCF!sales_fcst</vt:lpstr>
      <vt:lpstr>DCF!shares_fcst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Fred</dc:creator>
  <cp:lastModifiedBy>Taylor, Fred</cp:lastModifiedBy>
  <dcterms:created xsi:type="dcterms:W3CDTF">2022-01-08T15:12:24Z</dcterms:created>
  <dcterms:modified xsi:type="dcterms:W3CDTF">2022-01-08T15:21:23Z</dcterms:modified>
</cp:coreProperties>
</file>