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24000" windowHeight="9675"/>
  </bookViews>
  <sheets>
    <sheet name="Input" sheetId="1" r:id="rId1"/>
    <sheet name="Point" sheetId="2" r:id="rId2"/>
    <sheet name="Summary" sheetId="3" r:id="rId3"/>
    <sheet name="Accounting" sheetId="4" state="hidden" r:id="rId4"/>
  </sheets>
  <definedNames>
    <definedName name="beer">Input!$B$29:$D$30</definedName>
    <definedName name="liquor">Input!$B$15:$D$18</definedName>
    <definedName name="_xlnm.Print_Area" localSheetId="3">Accounting!$D$1:$G$15</definedName>
    <definedName name="_xlnm.Print_Area" localSheetId="1">Point!$A$1:$O$68</definedName>
  </definedNames>
  <calcPr calcId="145621"/>
</workbook>
</file>

<file path=xl/calcChain.xml><?xml version="1.0" encoding="utf-8"?>
<calcChain xmlns="http://schemas.openxmlformats.org/spreadsheetml/2006/main">
  <c r="AL49" i="2" l="1"/>
  <c r="AL48" i="2"/>
  <c r="AL47" i="2"/>
  <c r="AK46" i="2"/>
  <c r="AN26" i="2" l="1"/>
  <c r="AM26" i="2"/>
  <c r="AL26" i="2"/>
  <c r="AI26" i="2"/>
  <c r="AG26" i="2"/>
  <c r="AF26" i="2"/>
  <c r="AH26" i="2" s="1"/>
  <c r="AD26" i="2"/>
  <c r="AB26" i="2"/>
  <c r="AA26" i="2"/>
  <c r="AC26" i="2" s="1"/>
  <c r="W26" i="2"/>
  <c r="V26" i="2"/>
  <c r="R26" i="2"/>
  <c r="Q26" i="2"/>
  <c r="G26" i="2"/>
  <c r="B24" i="4" s="1"/>
  <c r="AN7" i="2"/>
  <c r="AM7" i="2"/>
  <c r="AI7" i="2"/>
  <c r="AG7" i="2"/>
  <c r="AF7" i="2"/>
  <c r="AH7" i="2" s="1"/>
  <c r="AD7" i="2"/>
  <c r="AB7" i="2"/>
  <c r="AA7" i="2"/>
  <c r="AC7" i="2" s="1"/>
  <c r="W7" i="2"/>
  <c r="V7" i="2"/>
  <c r="R7" i="2"/>
  <c r="Q7" i="2"/>
  <c r="G7" i="2"/>
  <c r="B37" i="4" s="1"/>
  <c r="AM14" i="2"/>
  <c r="AG14" i="2"/>
  <c r="AF14" i="2"/>
  <c r="AD14" i="2"/>
  <c r="AB14" i="2"/>
  <c r="AA14" i="2"/>
  <c r="AC14" i="2" s="1"/>
  <c r="W14" i="2"/>
  <c r="V14" i="2"/>
  <c r="R14" i="2"/>
  <c r="Q14" i="2"/>
  <c r="S14" i="2" s="1"/>
  <c r="G14" i="2"/>
  <c r="B29" i="4" s="1"/>
  <c r="AN17" i="2"/>
  <c r="AM17" i="2"/>
  <c r="AI17" i="2"/>
  <c r="AG17" i="2"/>
  <c r="AF17" i="2"/>
  <c r="AH17" i="2" s="1"/>
  <c r="AD17" i="2"/>
  <c r="AB17" i="2"/>
  <c r="AA17" i="2"/>
  <c r="AC17" i="2" s="1"/>
  <c r="W17" i="2"/>
  <c r="V17" i="2"/>
  <c r="R17" i="2"/>
  <c r="Q17" i="2"/>
  <c r="S17" i="2" s="1"/>
  <c r="G17" i="2"/>
  <c r="B33" i="4" s="1"/>
  <c r="AN11" i="2"/>
  <c r="AM11" i="2"/>
  <c r="AI11" i="2"/>
  <c r="AG11" i="2"/>
  <c r="AF11" i="2"/>
  <c r="AH11" i="2" s="1"/>
  <c r="AD11" i="2"/>
  <c r="AB11" i="2"/>
  <c r="AA11" i="2"/>
  <c r="AC11" i="2" s="1"/>
  <c r="W11" i="2"/>
  <c r="V11" i="2"/>
  <c r="R11" i="2"/>
  <c r="Q11" i="2"/>
  <c r="G11" i="2"/>
  <c r="B23" i="4" s="1"/>
  <c r="AH14" i="2" l="1"/>
  <c r="X17" i="2"/>
  <c r="X14" i="2"/>
  <c r="X7" i="2"/>
  <c r="S26" i="2"/>
  <c r="X11" i="2"/>
  <c r="X26" i="2"/>
  <c r="S11" i="2"/>
  <c r="S7" i="2"/>
  <c r="N26" i="2"/>
  <c r="N7" i="2"/>
  <c r="AL7" i="2" s="1"/>
  <c r="N14" i="2"/>
  <c r="N17" i="2"/>
  <c r="AL17" i="2" s="1"/>
  <c r="N11" i="2"/>
  <c r="AL11" i="2" s="1"/>
  <c r="AM32" i="2"/>
  <c r="AM28" i="2"/>
  <c r="AM27" i="2"/>
  <c r="AM25" i="2"/>
  <c r="AM23" i="2"/>
  <c r="AM21" i="2"/>
  <c r="AM18" i="2"/>
  <c r="AM16" i="2"/>
  <c r="AM13" i="2"/>
  <c r="AM10" i="2"/>
  <c r="AM6" i="2"/>
  <c r="AL14" i="2" l="1"/>
  <c r="AN14" i="2"/>
  <c r="AK26" i="2"/>
  <c r="AK7" i="2"/>
  <c r="AK14" i="2"/>
  <c r="AK17" i="2"/>
  <c r="AK11" i="2"/>
  <c r="D24" i="4"/>
  <c r="D23" i="4"/>
  <c r="D21" i="4"/>
  <c r="D20" i="4"/>
  <c r="D19" i="4"/>
  <c r="D18" i="4"/>
  <c r="W50" i="2"/>
  <c r="V50" i="2"/>
  <c r="R50" i="2"/>
  <c r="Q50" i="2"/>
  <c r="Y50" i="2"/>
  <c r="G50" i="2"/>
  <c r="B51" i="4" s="1"/>
  <c r="W49" i="2"/>
  <c r="V49" i="2"/>
  <c r="R49" i="2"/>
  <c r="Q49" i="2"/>
  <c r="Y49" i="2"/>
  <c r="G49" i="2"/>
  <c r="W48" i="2"/>
  <c r="V48" i="2"/>
  <c r="R48" i="2"/>
  <c r="Q48" i="2"/>
  <c r="G48" i="2"/>
  <c r="B49" i="4" s="1"/>
  <c r="W47" i="2"/>
  <c r="V47" i="2"/>
  <c r="R47" i="2"/>
  <c r="Q47" i="2"/>
  <c r="G47" i="2"/>
  <c r="W46" i="2"/>
  <c r="V46" i="2"/>
  <c r="T46" i="2"/>
  <c r="R46" i="2"/>
  <c r="Q46" i="2"/>
  <c r="G46" i="2"/>
  <c r="W45" i="2"/>
  <c r="V45" i="2"/>
  <c r="T45" i="2"/>
  <c r="R45" i="2"/>
  <c r="Q45" i="2"/>
  <c r="G45" i="2"/>
  <c r="B46" i="4" s="1"/>
  <c r="W44" i="2"/>
  <c r="V44" i="2"/>
  <c r="R44" i="2"/>
  <c r="Q44" i="2"/>
  <c r="Y44" i="2"/>
  <c r="G44" i="2"/>
  <c r="B45" i="4" s="1"/>
  <c r="R63" i="2"/>
  <c r="Q63" i="2"/>
  <c r="R62" i="2"/>
  <c r="Q62" i="2"/>
  <c r="R61" i="2"/>
  <c r="Q61" i="2"/>
  <c r="R60" i="2"/>
  <c r="Q60" i="2"/>
  <c r="R59" i="2"/>
  <c r="Q59" i="2"/>
  <c r="R58" i="2"/>
  <c r="Q58" i="2"/>
  <c r="D27" i="1"/>
  <c r="AL51" i="2"/>
  <c r="Y51" i="2"/>
  <c r="W51" i="2"/>
  <c r="V51" i="2"/>
  <c r="R51" i="2"/>
  <c r="Q51" i="2"/>
  <c r="G51" i="2"/>
  <c r="E23" i="4" s="1"/>
  <c r="G9" i="2"/>
  <c r="B26" i="4" s="1"/>
  <c r="G12" i="2"/>
  <c r="B25" i="4" s="1"/>
  <c r="AF6" i="2"/>
  <c r="AH6" i="2" s="1"/>
  <c r="AF8" i="2"/>
  <c r="AH8" i="2" s="1"/>
  <c r="AF9" i="2"/>
  <c r="AF10" i="2"/>
  <c r="AH10" i="2" s="1"/>
  <c r="AF12" i="2"/>
  <c r="AF13" i="2"/>
  <c r="AH13" i="2" s="1"/>
  <c r="AF15" i="2"/>
  <c r="AH15" i="2" s="1"/>
  <c r="AF16" i="2"/>
  <c r="AH16" i="2" s="1"/>
  <c r="AF18" i="2"/>
  <c r="AG18" i="2"/>
  <c r="Q6" i="2"/>
  <c r="Q8" i="2"/>
  <c r="S8" i="2" s="1"/>
  <c r="Q9" i="2"/>
  <c r="S9" i="2" s="1"/>
  <c r="Q10" i="2"/>
  <c r="Q12" i="2"/>
  <c r="Q13" i="2"/>
  <c r="Q15" i="2"/>
  <c r="S15" i="2" s="1"/>
  <c r="Q16" i="2"/>
  <c r="Q18" i="2"/>
  <c r="S18" i="2" s="1"/>
  <c r="R6" i="2"/>
  <c r="R8" i="2"/>
  <c r="R9" i="2"/>
  <c r="R10" i="2"/>
  <c r="R12" i="2"/>
  <c r="R13" i="2"/>
  <c r="R15" i="2"/>
  <c r="R16" i="2"/>
  <c r="R18" i="2"/>
  <c r="V6" i="2"/>
  <c r="X6" i="2" s="1"/>
  <c r="V8" i="2"/>
  <c r="V9" i="2"/>
  <c r="X9" i="2" s="1"/>
  <c r="V10" i="2"/>
  <c r="V12" i="2"/>
  <c r="V13" i="2"/>
  <c r="V15" i="2"/>
  <c r="V16" i="2"/>
  <c r="V18" i="2"/>
  <c r="X18" i="2" s="1"/>
  <c r="W6" i="2"/>
  <c r="W8" i="2"/>
  <c r="W9" i="2"/>
  <c r="W10" i="2"/>
  <c r="W12" i="2"/>
  <c r="W13" i="2"/>
  <c r="W15" i="2"/>
  <c r="W16" i="2"/>
  <c r="W18" i="2"/>
  <c r="AA6" i="2"/>
  <c r="AC6" i="2" s="1"/>
  <c r="AA8" i="2"/>
  <c r="AA9" i="2"/>
  <c r="AA10" i="2"/>
  <c r="AC10" i="2" s="1"/>
  <c r="AA12" i="2"/>
  <c r="AA13" i="2"/>
  <c r="AC13" i="2" s="1"/>
  <c r="AA15" i="2"/>
  <c r="AA16" i="2"/>
  <c r="AC16" i="2" s="1"/>
  <c r="AA18" i="2"/>
  <c r="AC18" i="2" s="1"/>
  <c r="AB6" i="2"/>
  <c r="AB8" i="2"/>
  <c r="AB9" i="2"/>
  <c r="AB10" i="2"/>
  <c r="AB12" i="2"/>
  <c r="AB13" i="2"/>
  <c r="AB15" i="2"/>
  <c r="AB16" i="2"/>
  <c r="AB18" i="2"/>
  <c r="G58" i="2"/>
  <c r="B53" i="4" s="1"/>
  <c r="G59" i="2"/>
  <c r="B54" i="4" s="1"/>
  <c r="G60" i="2"/>
  <c r="B55" i="4" s="1"/>
  <c r="G61" i="2"/>
  <c r="B56" i="4" s="1"/>
  <c r="G62" i="2"/>
  <c r="G63" i="2"/>
  <c r="B58" i="4" s="1"/>
  <c r="Q40" i="2"/>
  <c r="Q41" i="2"/>
  <c r="Q42" i="2"/>
  <c r="Q43" i="2"/>
  <c r="Q52" i="2"/>
  <c r="R52" i="2"/>
  <c r="V40" i="2"/>
  <c r="V41" i="2"/>
  <c r="V42" i="2"/>
  <c r="V43" i="2"/>
  <c r="V52" i="2"/>
  <c r="W52" i="2"/>
  <c r="G52" i="2"/>
  <c r="E24" i="4" s="1"/>
  <c r="G55" i="3"/>
  <c r="G56" i="3" s="1"/>
  <c r="L41" i="2"/>
  <c r="L42" i="2" s="1"/>
  <c r="L43" i="2" s="1"/>
  <c r="Q19" i="2"/>
  <c r="S19" i="2" s="1"/>
  <c r="Q20" i="2"/>
  <c r="S20" i="2" s="1"/>
  <c r="Q21" i="2"/>
  <c r="Q22" i="2"/>
  <c r="S22" i="2" s="1"/>
  <c r="Q23" i="2"/>
  <c r="Q24" i="2"/>
  <c r="S24" i="2" s="1"/>
  <c r="Q25" i="2"/>
  <c r="Q27" i="2"/>
  <c r="Q28" i="2"/>
  <c r="Q29" i="2"/>
  <c r="S29" i="2" s="1"/>
  <c r="Q30" i="2"/>
  <c r="Q31" i="2"/>
  <c r="Q32" i="2"/>
  <c r="R19" i="2"/>
  <c r="R20" i="2"/>
  <c r="R21" i="2"/>
  <c r="R22" i="2"/>
  <c r="R23" i="2"/>
  <c r="R24" i="2"/>
  <c r="R25" i="2"/>
  <c r="R27" i="2"/>
  <c r="R28" i="2"/>
  <c r="R29" i="2"/>
  <c r="R30" i="2"/>
  <c r="R31" i="2"/>
  <c r="R32" i="2"/>
  <c r="V19" i="2"/>
  <c r="V20" i="2"/>
  <c r="X20" i="2" s="1"/>
  <c r="V21" i="2"/>
  <c r="V22" i="2"/>
  <c r="V23" i="2"/>
  <c r="V24" i="2"/>
  <c r="V25" i="2"/>
  <c r="V27" i="2"/>
  <c r="V28" i="2"/>
  <c r="V29" i="2"/>
  <c r="V30" i="2"/>
  <c r="V31" i="2"/>
  <c r="V32" i="2"/>
  <c r="X32" i="2" s="1"/>
  <c r="W19" i="2"/>
  <c r="W20" i="2"/>
  <c r="W21" i="2"/>
  <c r="W22" i="2"/>
  <c r="W23" i="2"/>
  <c r="W24" i="2"/>
  <c r="W25" i="2"/>
  <c r="W27" i="2"/>
  <c r="W28" i="2"/>
  <c r="W29" i="2"/>
  <c r="W30" i="2"/>
  <c r="W31" i="2"/>
  <c r="W32" i="2"/>
  <c r="AA19" i="2"/>
  <c r="AA20" i="2"/>
  <c r="AA21" i="2"/>
  <c r="AC21" i="2" s="1"/>
  <c r="AA22" i="2"/>
  <c r="AA23" i="2"/>
  <c r="AC23" i="2" s="1"/>
  <c r="AA24" i="2"/>
  <c r="AA25" i="2"/>
  <c r="AC25" i="2" s="1"/>
  <c r="AA27" i="2"/>
  <c r="AC27" i="2" s="1"/>
  <c r="AA28" i="2"/>
  <c r="AC28" i="2" s="1"/>
  <c r="AA29" i="2"/>
  <c r="AA30" i="2"/>
  <c r="AA31" i="2"/>
  <c r="AA32" i="2"/>
  <c r="AC32" i="2" s="1"/>
  <c r="AB19" i="2"/>
  <c r="AB20" i="2"/>
  <c r="AB21" i="2"/>
  <c r="AB22" i="2"/>
  <c r="AB23" i="2"/>
  <c r="AB24" i="2"/>
  <c r="AB25" i="2"/>
  <c r="AB27" i="2"/>
  <c r="AB28" i="2"/>
  <c r="AB29" i="2"/>
  <c r="AB30" i="2"/>
  <c r="AB31" i="2"/>
  <c r="AB32" i="2"/>
  <c r="AF19" i="2"/>
  <c r="AH19" i="2" s="1"/>
  <c r="AF20" i="2"/>
  <c r="AF21" i="2"/>
  <c r="AH21" i="2" s="1"/>
  <c r="AF22" i="2"/>
  <c r="AH22" i="2" s="1"/>
  <c r="AF23" i="2"/>
  <c r="AH23" i="2" s="1"/>
  <c r="AF24" i="2"/>
  <c r="AH24" i="2" s="1"/>
  <c r="AF25" i="2"/>
  <c r="AH25" i="2" s="1"/>
  <c r="AF27" i="2"/>
  <c r="AH27" i="2" s="1"/>
  <c r="AF28" i="2"/>
  <c r="AH28" i="2" s="1"/>
  <c r="AF29" i="2"/>
  <c r="AF30" i="2"/>
  <c r="AF31" i="2"/>
  <c r="AH31" i="2" s="1"/>
  <c r="AF32" i="2"/>
  <c r="AI6" i="2"/>
  <c r="AI8" i="2"/>
  <c r="AI10" i="2"/>
  <c r="AI13" i="2"/>
  <c r="AI15" i="2"/>
  <c r="AI16" i="2"/>
  <c r="G18" i="2"/>
  <c r="AI19" i="2"/>
  <c r="AI21" i="2"/>
  <c r="AI22" i="2"/>
  <c r="AI23" i="2"/>
  <c r="AI24" i="2"/>
  <c r="AI25" i="2"/>
  <c r="AI27" i="2"/>
  <c r="AI28" i="2"/>
  <c r="AI31" i="2"/>
  <c r="D18" i="1"/>
  <c r="C6" i="3" s="1"/>
  <c r="AG6" i="2"/>
  <c r="AG8" i="2"/>
  <c r="AG9" i="2"/>
  <c r="AG10" i="2"/>
  <c r="AG12" i="2"/>
  <c r="AG13" i="2"/>
  <c r="AG15" i="2"/>
  <c r="AG16" i="2"/>
  <c r="AG19" i="2"/>
  <c r="AG20" i="2"/>
  <c r="AG21" i="2"/>
  <c r="AG22" i="2"/>
  <c r="AG23" i="2"/>
  <c r="AG24" i="2"/>
  <c r="AG25" i="2"/>
  <c r="AG27" i="2"/>
  <c r="AG28" i="2"/>
  <c r="AG29" i="2"/>
  <c r="AG30" i="2"/>
  <c r="AG31" i="2"/>
  <c r="AG32" i="2"/>
  <c r="AD32" i="2"/>
  <c r="AD28" i="2"/>
  <c r="AD27" i="2"/>
  <c r="AD25" i="2"/>
  <c r="AD23" i="2"/>
  <c r="AD21" i="2"/>
  <c r="G20" i="2"/>
  <c r="B30" i="4" s="1"/>
  <c r="AD18" i="2"/>
  <c r="AD16" i="2"/>
  <c r="AD13" i="2"/>
  <c r="AD10" i="2"/>
  <c r="AD6" i="2"/>
  <c r="G24" i="2"/>
  <c r="G22" i="2"/>
  <c r="B31" i="4" s="1"/>
  <c r="Y20" i="2"/>
  <c r="G19" i="2"/>
  <c r="B28" i="4" s="1"/>
  <c r="Y18" i="2"/>
  <c r="G15" i="2"/>
  <c r="B38" i="4" s="1"/>
  <c r="Y9" i="2"/>
  <c r="G8" i="2"/>
  <c r="B17" i="4" s="1"/>
  <c r="G32" i="2"/>
  <c r="E21" i="4" s="1"/>
  <c r="G31" i="2"/>
  <c r="N31" i="2" s="1"/>
  <c r="AM31" i="2" s="1"/>
  <c r="G30" i="2"/>
  <c r="E19" i="4" s="1"/>
  <c r="G29" i="2"/>
  <c r="E18" i="4" s="1"/>
  <c r="G28" i="2"/>
  <c r="G27" i="2"/>
  <c r="B35" i="4" s="1"/>
  <c r="G25" i="2"/>
  <c r="B18" i="4" s="1"/>
  <c r="T24" i="2"/>
  <c r="G23" i="2"/>
  <c r="B36" i="4" s="1"/>
  <c r="T22" i="2"/>
  <c r="G21" i="2"/>
  <c r="B32" i="4" s="1"/>
  <c r="T20" i="2"/>
  <c r="T19" i="2"/>
  <c r="T18" i="2"/>
  <c r="G16" i="2"/>
  <c r="B21" i="4" s="1"/>
  <c r="T15" i="2"/>
  <c r="G13" i="2"/>
  <c r="B20" i="4" s="1"/>
  <c r="T12" i="2"/>
  <c r="S12" i="2"/>
  <c r="G10" i="2"/>
  <c r="B19" i="4" s="1"/>
  <c r="T9" i="2"/>
  <c r="T8" i="2"/>
  <c r="G6" i="2"/>
  <c r="B22" i="4" s="1"/>
  <c r="D25" i="1"/>
  <c r="C19" i="3" s="1"/>
  <c r="L58" i="2"/>
  <c r="M58" i="2" s="1"/>
  <c r="N60" i="2"/>
  <c r="AK60" i="2" s="1"/>
  <c r="D24" i="1"/>
  <c r="C18" i="3" s="1"/>
  <c r="AK12" i="2"/>
  <c r="D17" i="1"/>
  <c r="C9" i="3" s="1"/>
  <c r="R40" i="2"/>
  <c r="R41" i="2"/>
  <c r="R42" i="2"/>
  <c r="R43" i="2"/>
  <c r="W40" i="2"/>
  <c r="W41" i="2"/>
  <c r="W42" i="2"/>
  <c r="X42" i="2" s="1"/>
  <c r="W43" i="2"/>
  <c r="D22" i="1"/>
  <c r="H58" i="2" s="1"/>
  <c r="D23" i="1"/>
  <c r="H59" i="2" s="1"/>
  <c r="D26" i="1"/>
  <c r="C20" i="3" s="1"/>
  <c r="C21" i="3"/>
  <c r="AN8" i="2"/>
  <c r="AK8" i="2"/>
  <c r="AL32" i="2"/>
  <c r="AL31" i="2"/>
  <c r="AN28" i="2"/>
  <c r="AL28" i="2"/>
  <c r="AN27" i="2"/>
  <c r="AL27" i="2"/>
  <c r="AN25" i="2"/>
  <c r="AL25" i="2"/>
  <c r="AN24" i="2"/>
  <c r="AK24" i="2"/>
  <c r="AN23" i="2"/>
  <c r="AN22" i="2"/>
  <c r="AK22" i="2"/>
  <c r="AN21" i="2"/>
  <c r="AL20" i="2"/>
  <c r="AK20" i="2"/>
  <c r="AN19" i="2"/>
  <c r="AK19" i="2"/>
  <c r="AL18" i="2"/>
  <c r="AK18" i="2"/>
  <c r="D3" i="4"/>
  <c r="D2" i="4"/>
  <c r="AL40" i="2"/>
  <c r="Y40" i="2"/>
  <c r="M40" i="2"/>
  <c r="G40" i="2"/>
  <c r="B41" i="4" s="1"/>
  <c r="A29" i="3"/>
  <c r="A27" i="3"/>
  <c r="AN31" i="2"/>
  <c r="B4" i="4"/>
  <c r="B1" i="4"/>
  <c r="D15" i="1"/>
  <c r="C7" i="3" s="1"/>
  <c r="D16" i="1"/>
  <c r="D29" i="1"/>
  <c r="H52" i="2" s="1"/>
  <c r="D30" i="1"/>
  <c r="H55" i="2" s="1"/>
  <c r="A2" i="2"/>
  <c r="A3" i="2"/>
  <c r="C4" i="2"/>
  <c r="A25" i="3" s="1"/>
  <c r="B3" i="4" s="1"/>
  <c r="C5" i="2"/>
  <c r="AL6" i="2"/>
  <c r="AN6" i="2"/>
  <c r="AK9" i="2"/>
  <c r="AL10" i="2"/>
  <c r="AN10" i="2"/>
  <c r="AL13" i="2"/>
  <c r="AN13" i="2"/>
  <c r="AK15" i="2"/>
  <c r="AN15" i="2"/>
  <c r="AL16" i="2"/>
  <c r="AN16" i="2"/>
  <c r="G41" i="2"/>
  <c r="B42" i="4" s="1"/>
  <c r="G42" i="2"/>
  <c r="B43" i="4" s="1"/>
  <c r="G43" i="2"/>
  <c r="AL50" i="2"/>
  <c r="Y52" i="2"/>
  <c r="AL52" i="2"/>
  <c r="M62" i="2"/>
  <c r="H63" i="2"/>
  <c r="L65" i="2"/>
  <c r="C68" i="2"/>
  <c r="A2" i="3"/>
  <c r="A3" i="3"/>
  <c r="B25" i="3"/>
  <c r="B26" i="3"/>
  <c r="D28" i="3"/>
  <c r="Y42" i="2"/>
  <c r="AL9" i="2"/>
  <c r="H42" i="2"/>
  <c r="AL42" i="2"/>
  <c r="AL44" i="2"/>
  <c r="H60" i="2"/>
  <c r="H61" i="2"/>
  <c r="H41" i="2"/>
  <c r="Y48" i="2"/>
  <c r="Y47" i="2"/>
  <c r="AL43" i="2"/>
  <c r="AK29" i="2"/>
  <c r="AK31" i="2"/>
  <c r="N12" i="2"/>
  <c r="AN12" i="2" s="1"/>
  <c r="X40" i="2"/>
  <c r="C16" i="3"/>
  <c r="N27" i="2"/>
  <c r="AK27" i="2" s="1"/>
  <c r="Y43" i="2"/>
  <c r="AK45" i="2"/>
  <c r="T29" i="2"/>
  <c r="N50" i="2"/>
  <c r="AH12" i="2" l="1"/>
  <c r="X49" i="2"/>
  <c r="N42" i="2"/>
  <c r="AK42" i="2" s="1"/>
  <c r="N61" i="2"/>
  <c r="AK61" i="2" s="1"/>
  <c r="S52" i="2"/>
  <c r="H18" i="2"/>
  <c r="H31" i="2"/>
  <c r="C8" i="3"/>
  <c r="N40" i="2"/>
  <c r="AK40" i="2" s="1"/>
  <c r="H43" i="2"/>
  <c r="N63" i="2"/>
  <c r="H37" i="2"/>
  <c r="H70" i="3" s="1"/>
  <c r="H62" i="2"/>
  <c r="I62" i="2" s="1"/>
  <c r="T62" i="2" s="1"/>
  <c r="N59" i="2"/>
  <c r="N15" i="2"/>
  <c r="AM15" i="2" s="1"/>
  <c r="S51" i="2"/>
  <c r="X30" i="2"/>
  <c r="S61" i="2"/>
  <c r="S59" i="2"/>
  <c r="X50" i="2"/>
  <c r="N45" i="2"/>
  <c r="AL45" i="2" s="1"/>
  <c r="S44" i="2"/>
  <c r="AH32" i="2"/>
  <c r="X29" i="2"/>
  <c r="AC30" i="2"/>
  <c r="AH29" i="2"/>
  <c r="AC22" i="2"/>
  <c r="AH20" i="2"/>
  <c r="S16" i="2"/>
  <c r="AC15" i="2"/>
  <c r="AL15" i="2"/>
  <c r="AL12" i="2"/>
  <c r="AM12" i="2"/>
  <c r="X8" i="2"/>
  <c r="C17" i="3"/>
  <c r="AH30" i="2"/>
  <c r="AH9" i="2"/>
  <c r="H8" i="2"/>
  <c r="H9" i="2"/>
  <c r="X23" i="2"/>
  <c r="X10" i="2"/>
  <c r="X31" i="2"/>
  <c r="X27" i="2"/>
  <c r="X28" i="2"/>
  <c r="X16" i="2"/>
  <c r="X25" i="2"/>
  <c r="X21" i="2"/>
  <c r="X13" i="2"/>
  <c r="AC8" i="2"/>
  <c r="AC24" i="2"/>
  <c r="AC12" i="2"/>
  <c r="AC19" i="2"/>
  <c r="N18" i="2"/>
  <c r="AN18" i="2" s="1"/>
  <c r="B34" i="4"/>
  <c r="N46" i="2"/>
  <c r="AL46" i="2" s="1"/>
  <c r="B47" i="4"/>
  <c r="M42" i="2"/>
  <c r="N43" i="2"/>
  <c r="AK43" i="2" s="1"/>
  <c r="B44" i="4"/>
  <c r="S42" i="2"/>
  <c r="N24" i="2"/>
  <c r="B27" i="4"/>
  <c r="S48" i="2"/>
  <c r="S50" i="2"/>
  <c r="B20" i="3"/>
  <c r="D20" i="3" s="1"/>
  <c r="B57" i="4"/>
  <c r="N49" i="2"/>
  <c r="AK49" i="2" s="1"/>
  <c r="B50" i="4"/>
  <c r="M41" i="2"/>
  <c r="N62" i="2"/>
  <c r="AK62" i="2" s="1"/>
  <c r="N47" i="2"/>
  <c r="AK47" i="2" s="1"/>
  <c r="B48" i="4"/>
  <c r="N58" i="2"/>
  <c r="AK58" i="2" s="1"/>
  <c r="N28" i="2"/>
  <c r="AK28" i="2" s="1"/>
  <c r="B39" i="4"/>
  <c r="X52" i="2"/>
  <c r="S43" i="2"/>
  <c r="S60" i="2"/>
  <c r="S62" i="2"/>
  <c r="H12" i="2"/>
  <c r="H35" i="2"/>
  <c r="H68" i="3" s="1"/>
  <c r="H19" i="2"/>
  <c r="H15" i="2"/>
  <c r="H22" i="2"/>
  <c r="H36" i="2"/>
  <c r="H69" i="3" s="1"/>
  <c r="H30" i="2"/>
  <c r="H24" i="2"/>
  <c r="H13" i="2"/>
  <c r="H34" i="2"/>
  <c r="H67" i="3" s="1"/>
  <c r="H23" i="2"/>
  <c r="H32" i="2"/>
  <c r="H6" i="2"/>
  <c r="H16" i="2"/>
  <c r="H21" i="2"/>
  <c r="H27" i="2"/>
  <c r="H28" i="2"/>
  <c r="S63" i="2"/>
  <c r="Q65" i="2"/>
  <c r="E65" i="2" s="1"/>
  <c r="E66" i="2" s="1"/>
  <c r="N21" i="2"/>
  <c r="N29" i="2"/>
  <c r="AL29" i="2" s="1"/>
  <c r="X12" i="2"/>
  <c r="X51" i="2"/>
  <c r="H7" i="2"/>
  <c r="H14" i="2"/>
  <c r="H17" i="2"/>
  <c r="H11" i="2"/>
  <c r="H26" i="2"/>
  <c r="S58" i="2"/>
  <c r="L59" i="2"/>
  <c r="L63" i="2" s="1"/>
  <c r="M63" i="2" s="1"/>
  <c r="I58" i="2"/>
  <c r="T58" i="2" s="1"/>
  <c r="X43" i="2"/>
  <c r="X45" i="2"/>
  <c r="S31" i="2"/>
  <c r="N22" i="2"/>
  <c r="S32" i="2"/>
  <c r="S28" i="2"/>
  <c r="AC9" i="2"/>
  <c r="S10" i="2"/>
  <c r="N19" i="2"/>
  <c r="AL22" i="2"/>
  <c r="N16" i="2"/>
  <c r="AK16" i="2" s="1"/>
  <c r="X19" i="2"/>
  <c r="S30" i="2"/>
  <c r="S25" i="2"/>
  <c r="S27" i="2"/>
  <c r="AH18" i="2"/>
  <c r="X15" i="2"/>
  <c r="S13" i="2"/>
  <c r="AC31" i="2"/>
  <c r="AC20" i="2"/>
  <c r="N32" i="2"/>
  <c r="AN32" i="2" s="1"/>
  <c r="AB36" i="2"/>
  <c r="F36" i="2" s="1"/>
  <c r="X48" i="2"/>
  <c r="N44" i="2"/>
  <c r="AK63" i="2"/>
  <c r="I42" i="2"/>
  <c r="T42" i="2" s="1"/>
  <c r="N52" i="2"/>
  <c r="W55" i="2"/>
  <c r="F55" i="2" s="1"/>
  <c r="X24" i="2"/>
  <c r="X41" i="2"/>
  <c r="Q54" i="2"/>
  <c r="E54" i="2" s="1"/>
  <c r="X46" i="2"/>
  <c r="S47" i="2"/>
  <c r="R34" i="2"/>
  <c r="F34" i="2" s="1"/>
  <c r="V55" i="2"/>
  <c r="E55" i="2" s="1"/>
  <c r="N9" i="2"/>
  <c r="AM9" i="2" s="1"/>
  <c r="B16" i="3"/>
  <c r="D16" i="3" s="1"/>
  <c r="S49" i="2"/>
  <c r="I41" i="2"/>
  <c r="R54" i="2"/>
  <c r="F54" i="2" s="1"/>
  <c r="N25" i="2"/>
  <c r="AK25" i="2" s="1"/>
  <c r="N51" i="2"/>
  <c r="N6" i="2"/>
  <c r="AK6" i="2" s="1"/>
  <c r="N41" i="2"/>
  <c r="AL41" i="2" s="1"/>
  <c r="S40" i="2"/>
  <c r="X22" i="2"/>
  <c r="W35" i="2"/>
  <c r="F35" i="2" s="1"/>
  <c r="X47" i="2"/>
  <c r="AK21" i="2"/>
  <c r="R65" i="2"/>
  <c r="F65" i="2" s="1"/>
  <c r="F66" i="2" s="1"/>
  <c r="N48" i="2"/>
  <c r="S46" i="2"/>
  <c r="AK50" i="2"/>
  <c r="X44" i="2"/>
  <c r="S45" i="2"/>
  <c r="AA36" i="2"/>
  <c r="E36" i="2" s="1"/>
  <c r="Q34" i="2"/>
  <c r="N10" i="2"/>
  <c r="AK10" i="2" s="1"/>
  <c r="E20" i="4"/>
  <c r="V35" i="2"/>
  <c r="N13" i="2"/>
  <c r="AK13" i="2" s="1"/>
  <c r="N23" i="2"/>
  <c r="AN29" i="2"/>
  <c r="AM29" i="2"/>
  <c r="S21" i="2"/>
  <c r="S23" i="2"/>
  <c r="S6" i="2"/>
  <c r="N30" i="2"/>
  <c r="AF37" i="2"/>
  <c r="E37" i="2" s="1"/>
  <c r="AC29" i="2"/>
  <c r="O42" i="2"/>
  <c r="O62" i="2"/>
  <c r="L60" i="2"/>
  <c r="I60" i="2" s="1"/>
  <c r="T60" i="2" s="1"/>
  <c r="AK59" i="2"/>
  <c r="N8" i="2"/>
  <c r="AM8" i="2" s="1"/>
  <c r="H45" i="2"/>
  <c r="H46" i="2"/>
  <c r="N20" i="2"/>
  <c r="AM20" i="2" s="1"/>
  <c r="L44" i="2"/>
  <c r="M43" i="2"/>
  <c r="C13" i="3"/>
  <c r="H40" i="2"/>
  <c r="I40" i="2" s="1"/>
  <c r="I43" i="2"/>
  <c r="T43" i="2" s="1"/>
  <c r="H10" i="2"/>
  <c r="H25" i="2"/>
  <c r="H20" i="2"/>
  <c r="H29" i="2"/>
  <c r="S41" i="2"/>
  <c r="H50" i="2"/>
  <c r="H48" i="2"/>
  <c r="H54" i="2"/>
  <c r="C12" i="3"/>
  <c r="H51" i="2"/>
  <c r="H49" i="2"/>
  <c r="H47" i="2"/>
  <c r="H44" i="2"/>
  <c r="AG37" i="2"/>
  <c r="F37" i="2" s="1"/>
  <c r="AH37" i="2" l="1"/>
  <c r="G37" i="2" s="1"/>
  <c r="G70" i="3" s="1"/>
  <c r="I70" i="3" s="1"/>
  <c r="K70" i="3" s="1"/>
  <c r="AL54" i="2"/>
  <c r="N55" i="2" s="1"/>
  <c r="C45" i="3" s="1"/>
  <c r="AN9" i="2"/>
  <c r="X55" i="2"/>
  <c r="G55" i="2" s="1"/>
  <c r="AL19" i="2"/>
  <c r="AM19" i="2"/>
  <c r="AN30" i="2"/>
  <c r="AL30" i="2"/>
  <c r="O58" i="2"/>
  <c r="S65" i="2"/>
  <c r="G65" i="2" s="1"/>
  <c r="G66" i="2" s="1"/>
  <c r="O60" i="2"/>
  <c r="F56" i="2"/>
  <c r="AL24" i="2"/>
  <c r="AM24" i="2"/>
  <c r="AK23" i="2"/>
  <c r="AL23" i="2"/>
  <c r="AM22" i="2"/>
  <c r="AL21" i="2"/>
  <c r="B17" i="3"/>
  <c r="D17" i="3" s="1"/>
  <c r="I59" i="2"/>
  <c r="S54" i="2"/>
  <c r="G54" i="2" s="1"/>
  <c r="I63" i="2"/>
  <c r="T63" i="2" s="1"/>
  <c r="M59" i="2"/>
  <c r="I44" i="2"/>
  <c r="T44" i="2" s="1"/>
  <c r="B21" i="3"/>
  <c r="D21" i="3" s="1"/>
  <c r="E56" i="2"/>
  <c r="AK48" i="2"/>
  <c r="T41" i="2"/>
  <c r="Y41" i="2"/>
  <c r="AK65" i="2"/>
  <c r="N65" i="2" s="1"/>
  <c r="C48" i="3" s="1"/>
  <c r="C49" i="3" s="1"/>
  <c r="B13" i="4" s="1"/>
  <c r="O63" i="2"/>
  <c r="AK30" i="2"/>
  <c r="AM30" i="2"/>
  <c r="F38" i="2"/>
  <c r="AK32" i="2"/>
  <c r="O51" i="2"/>
  <c r="AK51" i="2"/>
  <c r="AK44" i="2"/>
  <c r="AK41" i="2"/>
  <c r="O41" i="2"/>
  <c r="AC36" i="2"/>
  <c r="G36" i="2" s="1"/>
  <c r="O52" i="2"/>
  <c r="AK52" i="2"/>
  <c r="E35" i="2"/>
  <c r="X35" i="2"/>
  <c r="G35" i="2" s="1"/>
  <c r="G68" i="3" s="1"/>
  <c r="I68" i="3" s="1"/>
  <c r="K68" i="3" s="1"/>
  <c r="E34" i="2"/>
  <c r="S34" i="2"/>
  <c r="G34" i="2" s="1"/>
  <c r="G67" i="3" s="1"/>
  <c r="I67" i="3" s="1"/>
  <c r="K67" i="3" s="1"/>
  <c r="T40" i="2"/>
  <c r="O40" i="2"/>
  <c r="M44" i="2"/>
  <c r="L45" i="2"/>
  <c r="I45" i="2" s="1"/>
  <c r="L51" i="2"/>
  <c r="M51" i="2" s="1"/>
  <c r="O43" i="2"/>
  <c r="AN20" i="2"/>
  <c r="AL8" i="2"/>
  <c r="L61" i="2"/>
  <c r="B18" i="3"/>
  <c r="M60" i="2"/>
  <c r="G56" i="2" l="1"/>
  <c r="AL34" i="2"/>
  <c r="N35" i="2" s="1"/>
  <c r="AN34" i="2"/>
  <c r="N37" i="2" s="1"/>
  <c r="C39" i="3" s="1"/>
  <c r="AK34" i="2"/>
  <c r="N34" i="2" s="1"/>
  <c r="C36" i="3" s="1"/>
  <c r="N66" i="2"/>
  <c r="T59" i="2"/>
  <c r="O59" i="2"/>
  <c r="O44" i="2"/>
  <c r="AM34" i="2"/>
  <c r="N36" i="2" s="1"/>
  <c r="C38" i="3" s="1"/>
  <c r="AK54" i="2"/>
  <c r="N54" i="2" s="1"/>
  <c r="N56" i="2" s="1"/>
  <c r="E38" i="2"/>
  <c r="Y45" i="2"/>
  <c r="O45" i="2"/>
  <c r="M61" i="2"/>
  <c r="B19" i="3"/>
  <c r="D19" i="3" s="1"/>
  <c r="I61" i="2"/>
  <c r="D18" i="3"/>
  <c r="I51" i="2"/>
  <c r="T51" i="2" s="1"/>
  <c r="G69" i="3"/>
  <c r="G71" i="3" s="1"/>
  <c r="G38" i="2"/>
  <c r="M45" i="2"/>
  <c r="L46" i="2"/>
  <c r="L52" i="2"/>
  <c r="C37" i="3"/>
  <c r="N38" i="2" l="1"/>
  <c r="T61" i="2"/>
  <c r="T65" i="2" s="1"/>
  <c r="I65" i="2" s="1"/>
  <c r="H65" i="2" s="1"/>
  <c r="O61" i="2"/>
  <c r="C44" i="3"/>
  <c r="C46" i="3" s="1"/>
  <c r="B12" i="4" s="1"/>
  <c r="C40" i="3"/>
  <c r="B11" i="4" s="1"/>
  <c r="B22" i="3"/>
  <c r="L47" i="2"/>
  <c r="M46" i="2"/>
  <c r="I46" i="2"/>
  <c r="G63" i="3"/>
  <c r="D22" i="3"/>
  <c r="G10" i="4" s="1"/>
  <c r="L54" i="2"/>
  <c r="M52" i="2"/>
  <c r="I52" i="2"/>
  <c r="T52" i="2" s="1"/>
  <c r="I69" i="3"/>
  <c r="I66" i="2"/>
  <c r="O66" i="2" s="1"/>
  <c r="O65" i="2" l="1"/>
  <c r="C51" i="3"/>
  <c r="Y46" i="2"/>
  <c r="Y55" i="2" s="1"/>
  <c r="I55" i="2" s="1"/>
  <c r="O55" i="2" s="1"/>
  <c r="O46" i="2"/>
  <c r="K69" i="3"/>
  <c r="K71" i="3" s="1"/>
  <c r="I71" i="3"/>
  <c r="L55" i="2"/>
  <c r="B12" i="3"/>
  <c r="M47" i="2"/>
  <c r="L48" i="2"/>
  <c r="I47" i="2"/>
  <c r="G58" i="3"/>
  <c r="B48" i="3"/>
  <c r="B8" i="4"/>
  <c r="O47" i="2" l="1"/>
  <c r="T47" i="2"/>
  <c r="L56" i="2"/>
  <c r="B13" i="3"/>
  <c r="D13" i="3" s="1"/>
  <c r="B45" i="3" s="1"/>
  <c r="D45" i="3" s="1"/>
  <c r="L49" i="2"/>
  <c r="M48" i="2"/>
  <c r="I48" i="2"/>
  <c r="J68" i="3"/>
  <c r="J70" i="3"/>
  <c r="J69" i="3"/>
  <c r="J67" i="3"/>
  <c r="D48" i="3"/>
  <c r="B49" i="3"/>
  <c r="D49" i="3" s="1"/>
  <c r="L70" i="3"/>
  <c r="L67" i="3"/>
  <c r="L68" i="3"/>
  <c r="L69" i="3"/>
  <c r="D12" i="3"/>
  <c r="T48" i="2" l="1"/>
  <c r="O48" i="2"/>
  <c r="B14" i="3"/>
  <c r="J71" i="3"/>
  <c r="L71" i="3"/>
  <c r="M49" i="2"/>
  <c r="L50" i="2"/>
  <c r="I49" i="2"/>
  <c r="B44" i="3"/>
  <c r="D14" i="3"/>
  <c r="G9" i="4" s="1"/>
  <c r="G57" i="3" l="1"/>
  <c r="B7" i="4"/>
  <c r="D44" i="3"/>
  <c r="B46" i="3"/>
  <c r="D46" i="3" s="1"/>
  <c r="T49" i="2"/>
  <c r="O49" i="2"/>
  <c r="M50" i="2"/>
  <c r="I50" i="2"/>
  <c r="T50" i="2" l="1"/>
  <c r="T54" i="2" s="1"/>
  <c r="I54" i="2" s="1"/>
  <c r="I56" i="2" s="1"/>
  <c r="O50" i="2"/>
  <c r="G59" i="3"/>
  <c r="G60" i="3" s="1"/>
  <c r="O54" i="2" l="1"/>
  <c r="O56" i="2"/>
  <c r="H56" i="2"/>
  <c r="M71" i="3"/>
  <c r="G62" i="3"/>
  <c r="G64" i="3" s="1"/>
  <c r="M69" i="3" l="1"/>
  <c r="N69" i="3" s="1"/>
  <c r="M68" i="3"/>
  <c r="N68" i="3" s="1"/>
  <c r="M70" i="3"/>
  <c r="N70" i="3" s="1"/>
  <c r="M67" i="3"/>
  <c r="N67" i="3" s="1"/>
  <c r="N71" i="3" l="1"/>
  <c r="D19" i="1" s="1"/>
  <c r="B42" i="3" l="1"/>
  <c r="L30" i="2"/>
  <c r="L14" i="2"/>
  <c r="L25" i="2"/>
  <c r="L9" i="2"/>
  <c r="L20" i="2"/>
  <c r="L31" i="2"/>
  <c r="L15" i="2"/>
  <c r="L18" i="2"/>
  <c r="L13" i="2"/>
  <c r="L19" i="2"/>
  <c r="L26" i="2"/>
  <c r="L10" i="2"/>
  <c r="L21" i="2"/>
  <c r="L32" i="2"/>
  <c r="L16" i="2"/>
  <c r="L27" i="2"/>
  <c r="L11" i="2"/>
  <c r="L24" i="2"/>
  <c r="L22" i="2"/>
  <c r="L6" i="2"/>
  <c r="M6" i="2" s="1"/>
  <c r="L17" i="2"/>
  <c r="L28" i="2"/>
  <c r="L12" i="2"/>
  <c r="L23" i="2"/>
  <c r="L7" i="2"/>
  <c r="L29" i="2"/>
  <c r="L8" i="2"/>
  <c r="I6" i="2" l="1"/>
  <c r="Y6" i="2" s="1"/>
  <c r="M7" i="2"/>
  <c r="I7" i="2"/>
  <c r="O7" i="2" s="1"/>
  <c r="M8" i="2"/>
  <c r="I8" i="2"/>
  <c r="AD8" i="2" s="1"/>
  <c r="I9" i="2"/>
  <c r="AI9" i="2" s="1"/>
  <c r="M9" i="2"/>
  <c r="O6" i="2" l="1"/>
  <c r="T6" i="2"/>
  <c r="T7" i="2"/>
  <c r="Y7" i="2"/>
  <c r="M14" i="2"/>
  <c r="I14" i="2"/>
  <c r="M11" i="2"/>
  <c r="I11" i="2"/>
  <c r="O11" i="2" s="1"/>
  <c r="Y8" i="2"/>
  <c r="O8" i="2"/>
  <c r="M10" i="2"/>
  <c r="I10" i="2"/>
  <c r="Y10" i="2" s="1"/>
  <c r="O9" i="2"/>
  <c r="AD9" i="2"/>
  <c r="O14" i="2" l="1"/>
  <c r="AI14" i="2"/>
  <c r="T14" i="2"/>
  <c r="Y14" i="2"/>
  <c r="T11" i="2"/>
  <c r="Y11" i="2"/>
  <c r="I12" i="2"/>
  <c r="M12" i="2"/>
  <c r="O10" i="2"/>
  <c r="T10" i="2"/>
  <c r="I13" i="2"/>
  <c r="Y13" i="2" s="1"/>
  <c r="M13" i="2"/>
  <c r="AD12" i="2" l="1"/>
  <c r="AI12" i="2"/>
  <c r="O13" i="2"/>
  <c r="T13" i="2"/>
  <c r="M15" i="2"/>
  <c r="I15" i="2"/>
  <c r="AD15" i="2" s="1"/>
  <c r="O12" i="2"/>
  <c r="Y12" i="2"/>
  <c r="M17" i="2" l="1"/>
  <c r="I17" i="2"/>
  <c r="O17" i="2" s="1"/>
  <c r="I16" i="2"/>
  <c r="Y16" i="2" s="1"/>
  <c r="M16" i="2"/>
  <c r="O15" i="2"/>
  <c r="Y15" i="2"/>
  <c r="T17" i="2" l="1"/>
  <c r="Y17" i="2"/>
  <c r="M19" i="2"/>
  <c r="I19" i="2"/>
  <c r="O19" i="2" s="1"/>
  <c r="I18" i="2"/>
  <c r="M18" i="2"/>
  <c r="O16" i="2"/>
  <c r="T16" i="2"/>
  <c r="Y19" i="2" l="1"/>
  <c r="AD19" i="2"/>
  <c r="M20" i="2"/>
  <c r="I20" i="2"/>
  <c r="AI20" i="2" s="1"/>
  <c r="AI18" i="2"/>
  <c r="O18" i="2"/>
  <c r="I21" i="2"/>
  <c r="O21" i="2" s="1"/>
  <c r="M21" i="2"/>
  <c r="T21" i="2" l="1"/>
  <c r="Y21" i="2"/>
  <c r="AD20" i="2"/>
  <c r="O20" i="2"/>
  <c r="I22" i="2"/>
  <c r="O22" i="2" s="1"/>
  <c r="M22" i="2"/>
  <c r="Y22" i="2" l="1"/>
  <c r="AD22" i="2"/>
  <c r="I23" i="2"/>
  <c r="Y23" i="2" s="1"/>
  <c r="M23" i="2"/>
  <c r="M26" i="2" l="1"/>
  <c r="I26" i="2"/>
  <c r="O26" i="2" s="1"/>
  <c r="T23" i="2"/>
  <c r="O23" i="2"/>
  <c r="M24" i="2"/>
  <c r="I24" i="2"/>
  <c r="AD24" i="2" s="1"/>
  <c r="T26" i="2" l="1"/>
  <c r="Y26" i="2"/>
  <c r="Y24" i="2"/>
  <c r="O24" i="2"/>
  <c r="M25" i="2"/>
  <c r="I25" i="2"/>
  <c r="Y25" i="2" s="1"/>
  <c r="I27" i="2" l="1"/>
  <c r="Y27" i="2" s="1"/>
  <c r="M27" i="2"/>
  <c r="T25" i="2"/>
  <c r="O25" i="2"/>
  <c r="I28" i="2"/>
  <c r="Y28" i="2" s="1"/>
  <c r="M28" i="2"/>
  <c r="M30" i="2" l="1"/>
  <c r="I30" i="2"/>
  <c r="Y30" i="2" s="1"/>
  <c r="O27" i="2"/>
  <c r="T27" i="2"/>
  <c r="O28" i="2"/>
  <c r="T28" i="2"/>
  <c r="M29" i="2"/>
  <c r="I29" i="2"/>
  <c r="AI29" i="2" l="1"/>
  <c r="Y29" i="2"/>
  <c r="AD30" i="2"/>
  <c r="AI30" i="2"/>
  <c r="O30" i="2"/>
  <c r="T30" i="2"/>
  <c r="O29" i="2"/>
  <c r="AD29" i="2"/>
  <c r="M31" i="2"/>
  <c r="I31" i="2"/>
  <c r="M32" i="2"/>
  <c r="I32" i="2"/>
  <c r="L34" i="2"/>
  <c r="AI32" i="2" l="1"/>
  <c r="O32" i="2"/>
  <c r="Y31" i="2"/>
  <c r="O31" i="2"/>
  <c r="T32" i="2"/>
  <c r="Y32" i="2"/>
  <c r="AD31" i="2"/>
  <c r="T31" i="2"/>
  <c r="L35" i="2"/>
  <c r="T34" i="2"/>
  <c r="I34" i="2" s="1"/>
  <c r="B6" i="3"/>
  <c r="D6" i="3" l="1"/>
  <c r="O34" i="2"/>
  <c r="L36" i="2"/>
  <c r="Y35" i="2"/>
  <c r="I35" i="2" s="1"/>
  <c r="O35" i="2" s="1"/>
  <c r="B7" i="3"/>
  <c r="D7" i="3" s="1"/>
  <c r="B37" i="3" s="1"/>
  <c r="D37" i="3" s="1"/>
  <c r="B36" i="3" l="1"/>
  <c r="L38" i="2"/>
  <c r="L37" i="2"/>
  <c r="AD36" i="2"/>
  <c r="I36" i="2" s="1"/>
  <c r="O36" i="2" s="1"/>
  <c r="B8" i="3"/>
  <c r="D8" i="3" s="1"/>
  <c r="B38" i="3" s="1"/>
  <c r="D38" i="3" s="1"/>
  <c r="D36" i="3" l="1"/>
  <c r="B9" i="3"/>
  <c r="D9" i="3" s="1"/>
  <c r="B39" i="3" s="1"/>
  <c r="D39" i="3" s="1"/>
  <c r="AI37" i="2"/>
  <c r="I37" i="2" s="1"/>
  <c r="I38" i="2" l="1"/>
  <c r="H38" i="2" s="1"/>
  <c r="O37" i="2"/>
  <c r="B10" i="3"/>
  <c r="D10" i="3"/>
  <c r="O38" i="2"/>
  <c r="B40" i="3"/>
  <c r="D24" i="3" l="1"/>
  <c r="D25" i="3" s="1"/>
  <c r="G11" i="4" s="1"/>
  <c r="G8" i="4"/>
  <c r="B6" i="4"/>
  <c r="D40" i="3"/>
  <c r="B51" i="3"/>
  <c r="D51" i="3" s="1"/>
  <c r="D26" i="3" l="1"/>
  <c r="D27" i="3" s="1"/>
  <c r="G12" i="4" l="1"/>
  <c r="G13" i="4" s="1"/>
  <c r="F7" i="4" s="1"/>
  <c r="F13" i="4" s="1"/>
  <c r="G15" i="4" s="1"/>
  <c r="D29" i="3"/>
  <c r="D30" i="3" s="1"/>
</calcChain>
</file>

<file path=xl/sharedStrings.xml><?xml version="1.0" encoding="utf-8"?>
<sst xmlns="http://schemas.openxmlformats.org/spreadsheetml/2006/main" count="331" uniqueCount="163">
  <si>
    <t>Date of Function</t>
  </si>
  <si>
    <t>Bartender(s):</t>
  </si>
  <si>
    <t>Room:</t>
  </si>
  <si>
    <t>Host Bar (Y/N)</t>
  </si>
  <si>
    <t>Sales Tax Percentage</t>
  </si>
  <si>
    <t>Service Charge Percentage</t>
  </si>
  <si>
    <t>If Cash Bar - Actual Cash Collected:</t>
  </si>
  <si>
    <t>PRICES (INCLUDING TAX)</t>
  </si>
  <si>
    <t>With Tax</t>
  </si>
  <si>
    <t>Without Tax</t>
  </si>
  <si>
    <t>DO NOT PRINT THIS PAGE</t>
  </si>
  <si>
    <t>Call Liquor (Call)</t>
  </si>
  <si>
    <t>Call</t>
  </si>
  <si>
    <t>Premium Liquor (Prem)</t>
  </si>
  <si>
    <t>Prem</t>
  </si>
  <si>
    <t>Wine by the Glass</t>
  </si>
  <si>
    <t>Chardonnay</t>
  </si>
  <si>
    <t>Merlot</t>
  </si>
  <si>
    <t>White Zinfandel</t>
  </si>
  <si>
    <t>Champange</t>
  </si>
  <si>
    <t>Champagne</t>
  </si>
  <si>
    <t>Domestic Beer</t>
  </si>
  <si>
    <t>Dom</t>
  </si>
  <si>
    <t>Imported Beer</t>
  </si>
  <si>
    <t>Imp</t>
  </si>
  <si>
    <t>Type of Bar:</t>
  </si>
  <si>
    <t>Price</t>
  </si>
  <si>
    <t>Cost per</t>
  </si>
  <si>
    <t>Drinks per</t>
  </si>
  <si>
    <t>Cost of Sales</t>
  </si>
  <si>
    <t>Issued</t>
  </si>
  <si>
    <t>Returned</t>
  </si>
  <si>
    <t>Used</t>
  </si>
  <si>
    <t>(No Tax)</t>
  </si>
  <si>
    <t>Revenue</t>
  </si>
  <si>
    <t>Bottle</t>
  </si>
  <si>
    <t>Drink</t>
  </si>
  <si>
    <t>Dollars</t>
  </si>
  <si>
    <t>pct</t>
  </si>
  <si>
    <t>Liquor</t>
  </si>
  <si>
    <t>Vodka</t>
  </si>
  <si>
    <t>Smirnoff</t>
  </si>
  <si>
    <t>Absolut</t>
  </si>
  <si>
    <t>Rum</t>
  </si>
  <si>
    <t>Bacardi Light</t>
  </si>
  <si>
    <t>Gin</t>
  </si>
  <si>
    <t>Gordons</t>
  </si>
  <si>
    <t>Tanqueray</t>
  </si>
  <si>
    <t>Tequila</t>
  </si>
  <si>
    <t>Jose Cuervo Gold</t>
  </si>
  <si>
    <t>Scotch</t>
  </si>
  <si>
    <t>Dewars</t>
  </si>
  <si>
    <t>Bourbon</t>
  </si>
  <si>
    <t>Jim Beam</t>
  </si>
  <si>
    <t>Jack Daniels</t>
  </si>
  <si>
    <t>Whisky</t>
  </si>
  <si>
    <t>Seagrams 7</t>
  </si>
  <si>
    <t>Crown Royal</t>
  </si>
  <si>
    <t>Liqueur</t>
  </si>
  <si>
    <t>Amaretto</t>
  </si>
  <si>
    <t>Peach Schnapps</t>
  </si>
  <si>
    <t>Triple Sec</t>
  </si>
  <si>
    <t>Summary</t>
  </si>
  <si>
    <t>Total</t>
  </si>
  <si>
    <t>Beer</t>
  </si>
  <si>
    <t>Bud Light</t>
  </si>
  <si>
    <t>Budwiser</t>
  </si>
  <si>
    <t>Corona</t>
  </si>
  <si>
    <t>Heineken</t>
  </si>
  <si>
    <t>Michelob Ultra</t>
  </si>
  <si>
    <t>Miller Lite</t>
  </si>
  <si>
    <t>Glass</t>
  </si>
  <si>
    <t>Wine</t>
  </si>
  <si>
    <t>Quantity</t>
  </si>
  <si>
    <t>Price (W/O Tax)</t>
  </si>
  <si>
    <t>Extension</t>
  </si>
  <si>
    <t>Call Liquor</t>
  </si>
  <si>
    <t>Premium Liquor</t>
  </si>
  <si>
    <t>Total Liquor</t>
  </si>
  <si>
    <t>Total Beer</t>
  </si>
  <si>
    <t>House Chardonnay</t>
  </si>
  <si>
    <t>House Merlot</t>
  </si>
  <si>
    <t>House White Zinfandel</t>
  </si>
  <si>
    <t>Total Wine by the Glass</t>
  </si>
  <si>
    <t>Sub-Total</t>
  </si>
  <si>
    <t>Service Charge</t>
  </si>
  <si>
    <t>Sales Tax</t>
  </si>
  <si>
    <t>Expected Cash</t>
  </si>
  <si>
    <t>Location:</t>
  </si>
  <si>
    <t>Actual Cash</t>
  </si>
  <si>
    <t>Billed to Host</t>
  </si>
  <si>
    <t>Variance - Over/(Short)</t>
  </si>
  <si>
    <t>Cost of Good Sold Summary</t>
  </si>
  <si>
    <t>Posted Revenue</t>
  </si>
  <si>
    <t>Cost</t>
  </si>
  <si>
    <t>COGS Pct</t>
  </si>
  <si>
    <t>Average Ounces per Pour</t>
  </si>
  <si>
    <t>Total Wine</t>
  </si>
  <si>
    <t>Grand Total</t>
  </si>
  <si>
    <t>20.00% is default</t>
  </si>
  <si>
    <t>Coors Light</t>
  </si>
  <si>
    <t>Cash Received</t>
  </si>
  <si>
    <t>Beer Revenue</t>
  </si>
  <si>
    <t>Wine Revenue</t>
  </si>
  <si>
    <t>Liquor Revenue</t>
  </si>
  <si>
    <t>Remaining</t>
  </si>
  <si>
    <t>Bottles Used</t>
  </si>
  <si>
    <t>Average Ounces Poured</t>
  </si>
  <si>
    <t>Premium</t>
  </si>
  <si>
    <t>Super Premium</t>
  </si>
  <si>
    <t>Usage</t>
  </si>
  <si>
    <t>Oz Poured</t>
  </si>
  <si>
    <t>Number of oz per shot (Calculated/Default)</t>
  </si>
  <si>
    <t>Input Page</t>
  </si>
  <si>
    <t>Date</t>
  </si>
  <si>
    <t>Liquor Cost</t>
  </si>
  <si>
    <t>Beer Cost</t>
  </si>
  <si>
    <t>Wine Cost</t>
  </si>
  <si>
    <t>Event Name</t>
  </si>
  <si>
    <t>Host/Cash</t>
  </si>
  <si>
    <t>Greenville Convention Center - Alcohol Point Sheets</t>
  </si>
  <si>
    <t>Greenville Convention Center      Bar Point Sheet</t>
  </si>
  <si>
    <t>Greenville Convention Center      Summary of Sales</t>
  </si>
  <si>
    <t>Non-Standard</t>
  </si>
  <si>
    <t>Hennessey</t>
  </si>
  <si>
    <t>Host Bar Journal Entry</t>
  </si>
  <si>
    <t>Other Receipts</t>
  </si>
  <si>
    <t>Debit</t>
  </si>
  <si>
    <t>Credit</t>
  </si>
  <si>
    <t>Other - Svc Chg</t>
  </si>
  <si>
    <t>Captain Morgan</t>
  </si>
  <si>
    <t>Cabernet Sauvignon</t>
  </si>
  <si>
    <t>Pinot Grigio</t>
  </si>
  <si>
    <t>Top Shelf Premium Liquor (Top)</t>
  </si>
  <si>
    <t>Top</t>
  </si>
  <si>
    <t>Top Shelf Premium Liquor</t>
  </si>
  <si>
    <t>House Cabernet Sauvignon</t>
  </si>
  <si>
    <t>House Pinot Grigio</t>
  </si>
  <si>
    <t>Top Shelf Premiuim</t>
  </si>
  <si>
    <t>Revenue Calculation</t>
  </si>
  <si>
    <t>7.00% is default</t>
  </si>
  <si>
    <t>Bud Light Platinum</t>
  </si>
  <si>
    <t>Bud Light with Lime</t>
  </si>
  <si>
    <t>Natural Light</t>
  </si>
  <si>
    <t>Yuengling</t>
  </si>
  <si>
    <t>Non-Standard Usage</t>
  </si>
  <si>
    <t>Top Shelf Liquor</t>
  </si>
  <si>
    <t>Ciroc</t>
  </si>
  <si>
    <t>Patron</t>
  </si>
  <si>
    <t>Blue Curacao</t>
  </si>
  <si>
    <t>Johnnie Walker Black</t>
  </si>
  <si>
    <t>Event Number and Name:</t>
  </si>
  <si>
    <t>Aristocrat Gin</t>
  </si>
  <si>
    <t>Aristocrat Tequila</t>
  </si>
  <si>
    <t>Aristocrat Vodka</t>
  </si>
  <si>
    <t>Aristocrat Rum</t>
  </si>
  <si>
    <t>Revised 06/19/15</t>
  </si>
  <si>
    <t>Well</t>
  </si>
  <si>
    <t>Well Liquor</t>
  </si>
  <si>
    <t>Well Liquor (Top)</t>
  </si>
  <si>
    <t>Fireball</t>
  </si>
  <si>
    <t>Jameson</t>
  </si>
  <si>
    <t>Grey Goose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</si>
</sst>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[$-F800]dddd\,\ mmmm\ dd\,\ yyyy"/>
    <numFmt numFmtId="166" formatCode="0.0"/>
    <numFmt numFmtId="167" formatCode="_(* #,##0_);_(* \(#,##0\);_(* &quot;-&quot;??_);_(@_)"/>
  </numFmts>
  <fonts count="20" x14ac:knownFonts="1">
    <font>
      <sz val="10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4"/>
      <name val="Cambria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3">
    <xf numFmtId="0" fontId="0" fillId="0" borderId="0" xfId="0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44" fontId="7" fillId="0" borderId="0" xfId="6" applyFont="1"/>
    <xf numFmtId="0" fontId="7" fillId="0" borderId="1" xfId="0" applyFont="1" applyBorder="1"/>
    <xf numFmtId="44" fontId="7" fillId="0" borderId="1" xfId="0" applyNumberFormat="1" applyFont="1" applyBorder="1"/>
    <xf numFmtId="0" fontId="7" fillId="0" borderId="0" xfId="0" applyFont="1" applyBorder="1"/>
    <xf numFmtId="0" fontId="7" fillId="0" borderId="1" xfId="0" applyFont="1" applyBorder="1" applyAlignment="1" applyProtection="1">
      <alignment shrinkToFit="1"/>
      <protection locked="0"/>
    </xf>
    <xf numFmtId="43" fontId="7" fillId="0" borderId="1" xfId="5" applyFont="1" applyBorder="1"/>
    <xf numFmtId="0" fontId="7" fillId="0" borderId="1" xfId="0" applyFont="1" applyBorder="1" applyAlignment="1" applyProtection="1">
      <alignment shrinkToFit="1"/>
    </xf>
    <xf numFmtId="167" fontId="7" fillId="0" borderId="1" xfId="5" applyNumberFormat="1" applyFont="1" applyBorder="1" applyAlignment="1" applyProtection="1">
      <alignment shrinkToFit="1"/>
    </xf>
    <xf numFmtId="44" fontId="7" fillId="0" borderId="1" xfId="6" applyFont="1" applyBorder="1" applyAlignment="1">
      <alignment horizontal="center"/>
    </xf>
    <xf numFmtId="44" fontId="7" fillId="0" borderId="1" xfId="6" applyFont="1" applyBorder="1"/>
    <xf numFmtId="0" fontId="10" fillId="0" borderId="0" xfId="0" applyFont="1"/>
    <xf numFmtId="0" fontId="10" fillId="0" borderId="1" xfId="0" applyFont="1" applyBorder="1"/>
    <xf numFmtId="44" fontId="10" fillId="0" borderId="0" xfId="6" applyFont="1"/>
    <xf numFmtId="0" fontId="11" fillId="0" borderId="0" xfId="0" applyFont="1"/>
    <xf numFmtId="0" fontId="10" fillId="0" borderId="1" xfId="0" applyFont="1" applyBorder="1" applyAlignment="1">
      <alignment horizontal="center"/>
    </xf>
    <xf numFmtId="44" fontId="10" fillId="0" borderId="1" xfId="6" applyFont="1" applyBorder="1" applyAlignment="1">
      <alignment horizontal="center"/>
    </xf>
    <xf numFmtId="44" fontId="10" fillId="0" borderId="1" xfId="6" applyFont="1" applyBorder="1"/>
    <xf numFmtId="0" fontId="10" fillId="0" borderId="1" xfId="0" applyFont="1" applyFill="1" applyBorder="1"/>
    <xf numFmtId="0" fontId="10" fillId="0" borderId="0" xfId="0" applyFont="1" applyBorder="1"/>
    <xf numFmtId="0" fontId="10" fillId="0" borderId="0" xfId="0" applyFont="1" applyProtection="1">
      <protection locked="0"/>
    </xf>
    <xf numFmtId="43" fontId="10" fillId="2" borderId="1" xfId="5" applyFont="1" applyFill="1" applyBorder="1" applyAlignment="1" applyProtection="1">
      <alignment horizontal="left"/>
      <protection locked="0"/>
    </xf>
    <xf numFmtId="0" fontId="10" fillId="0" borderId="1" xfId="0" applyFont="1" applyBorder="1" applyAlignment="1">
      <alignment horizontal="left" indent="2"/>
    </xf>
    <xf numFmtId="44" fontId="8" fillId="5" borderId="1" xfId="1" applyNumberFormat="1" applyBorder="1" applyAlignment="1" applyProtection="1">
      <alignment horizontal="left"/>
      <protection locked="0"/>
    </xf>
    <xf numFmtId="44" fontId="8" fillId="7" borderId="1" xfId="3" applyNumberFormat="1" applyBorder="1" applyAlignment="1" applyProtection="1">
      <alignment horizontal="left"/>
      <protection locked="0"/>
    </xf>
    <xf numFmtId="0" fontId="12" fillId="0" borderId="0" xfId="0" applyFont="1" applyAlignment="1" applyProtection="1">
      <alignment shrinkToFit="1"/>
    </xf>
    <xf numFmtId="0" fontId="11" fillId="0" borderId="0" xfId="0" applyFont="1" applyAlignment="1" applyProtection="1">
      <alignment horizontal="center" shrinkToFit="1"/>
    </xf>
    <xf numFmtId="0" fontId="13" fillId="0" borderId="1" xfId="0" applyFont="1" applyBorder="1" applyAlignment="1" applyProtection="1">
      <alignment shrinkToFit="1"/>
      <protection locked="0"/>
    </xf>
    <xf numFmtId="0" fontId="13" fillId="0" borderId="1" xfId="0" applyFont="1" applyFill="1" applyBorder="1" applyAlignment="1" applyProtection="1">
      <alignment shrinkToFit="1"/>
      <protection locked="0"/>
    </xf>
    <xf numFmtId="166" fontId="13" fillId="0" borderId="1" xfId="0" applyNumberFormat="1" applyFont="1" applyBorder="1" applyAlignment="1" applyProtection="1">
      <alignment horizontal="center" shrinkToFit="1"/>
    </xf>
    <xf numFmtId="44" fontId="13" fillId="0" borderId="1" xfId="0" applyNumberFormat="1" applyFont="1" applyBorder="1" applyAlignment="1" applyProtection="1">
      <alignment shrinkToFit="1"/>
    </xf>
    <xf numFmtId="44" fontId="13" fillId="0" borderId="1" xfId="6" applyFont="1" applyBorder="1" applyAlignment="1" applyProtection="1">
      <alignment shrinkToFit="1"/>
    </xf>
    <xf numFmtId="0" fontId="13" fillId="0" borderId="0" xfId="0" applyFont="1" applyAlignment="1" applyProtection="1">
      <alignment shrinkToFit="1"/>
    </xf>
    <xf numFmtId="39" fontId="13" fillId="0" borderId="1" xfId="5" applyNumberFormat="1" applyFont="1" applyBorder="1" applyAlignment="1" applyProtection="1">
      <alignment horizontal="center"/>
    </xf>
    <xf numFmtId="44" fontId="13" fillId="0" borderId="1" xfId="6" applyFont="1" applyBorder="1" applyAlignment="1" applyProtection="1">
      <alignment horizontal="center" shrinkToFit="1"/>
    </xf>
    <xf numFmtId="10" fontId="13" fillId="0" borderId="1" xfId="7" applyNumberFormat="1" applyFont="1" applyBorder="1" applyAlignment="1" applyProtection="1">
      <alignment shrinkToFit="1"/>
    </xf>
    <xf numFmtId="39" fontId="13" fillId="0" borderId="1" xfId="0" applyNumberFormat="1" applyFont="1" applyBorder="1" applyAlignment="1" applyProtection="1">
      <alignment horizontal="center" shrinkToFit="1"/>
    </xf>
    <xf numFmtId="0" fontId="13" fillId="0" borderId="1" xfId="0" applyFont="1" applyBorder="1" applyAlignment="1" applyProtection="1">
      <alignment shrinkToFit="1"/>
    </xf>
    <xf numFmtId="1" fontId="13" fillId="0" borderId="1" xfId="0" applyNumberFormat="1" applyFont="1" applyBorder="1" applyAlignment="1" applyProtection="1">
      <alignment horizontal="center" shrinkToFit="1"/>
    </xf>
    <xf numFmtId="37" fontId="13" fillId="0" borderId="1" xfId="0" applyNumberFormat="1" applyFont="1" applyBorder="1" applyAlignment="1" applyProtection="1">
      <alignment horizontal="center" shrinkToFit="1"/>
    </xf>
    <xf numFmtId="0" fontId="13" fillId="0" borderId="2" xfId="0" applyFont="1" applyBorder="1" applyAlignment="1" applyProtection="1">
      <alignment shrinkToFit="1"/>
    </xf>
    <xf numFmtId="0" fontId="13" fillId="0" borderId="1" xfId="0" applyFont="1" applyFill="1" applyBorder="1" applyAlignment="1" applyProtection="1">
      <alignment shrinkToFit="1"/>
    </xf>
    <xf numFmtId="0" fontId="13" fillId="0" borderId="2" xfId="0" applyFont="1" applyBorder="1" applyAlignment="1" applyProtection="1"/>
    <xf numFmtId="0" fontId="13" fillId="0" borderId="3" xfId="0" applyFont="1" applyBorder="1" applyAlignment="1" applyProtection="1">
      <alignment shrinkToFit="1"/>
    </xf>
    <xf numFmtId="166" fontId="8" fillId="5" borderId="1" xfId="1" applyNumberFormat="1" applyBorder="1" applyAlignment="1" applyProtection="1">
      <alignment horizontal="center" shrinkToFit="1"/>
      <protection locked="0"/>
    </xf>
    <xf numFmtId="0" fontId="8" fillId="5" borderId="1" xfId="1" applyBorder="1" applyAlignment="1" applyProtection="1">
      <alignment shrinkToFit="1"/>
      <protection locked="0"/>
    </xf>
    <xf numFmtId="44" fontId="8" fillId="5" borderId="1" xfId="1" applyNumberFormat="1" applyBorder="1" applyAlignment="1" applyProtection="1">
      <alignment shrinkToFit="1"/>
      <protection locked="0"/>
    </xf>
    <xf numFmtId="1" fontId="8" fillId="5" borderId="1" xfId="1" applyNumberFormat="1" applyBorder="1" applyAlignment="1" applyProtection="1">
      <alignment horizontal="center" shrinkToFit="1"/>
      <protection locked="0"/>
    </xf>
    <xf numFmtId="10" fontId="8" fillId="5" borderId="1" xfId="1" applyNumberFormat="1" applyBorder="1" applyAlignment="1" applyProtection="1">
      <alignment horizontal="center"/>
      <protection locked="0"/>
    </xf>
    <xf numFmtId="0" fontId="8" fillId="6" borderId="0" xfId="2" applyAlignment="1" applyProtection="1">
      <alignment shrinkToFit="1"/>
    </xf>
    <xf numFmtId="0" fontId="8" fillId="6" borderId="4" xfId="2" applyBorder="1" applyAlignment="1" applyProtection="1">
      <alignment horizontal="center" shrinkToFit="1"/>
    </xf>
    <xf numFmtId="0" fontId="8" fillId="6" borderId="5" xfId="2" applyBorder="1" applyAlignment="1" applyProtection="1">
      <alignment horizontal="center" shrinkToFit="1"/>
    </xf>
    <xf numFmtId="0" fontId="8" fillId="6" borderId="1" xfId="2" applyBorder="1" applyAlignment="1" applyProtection="1">
      <alignment horizontal="center" shrinkToFit="1"/>
    </xf>
    <xf numFmtId="166" fontId="8" fillId="6" borderId="1" xfId="2" applyNumberFormat="1" applyBorder="1" applyAlignment="1" applyProtection="1">
      <alignment horizontal="center" shrinkToFit="1"/>
    </xf>
    <xf numFmtId="44" fontId="8" fillId="6" borderId="1" xfId="2" applyNumberFormat="1" applyBorder="1" applyAlignment="1" applyProtection="1">
      <alignment horizontal="center" shrinkToFit="1"/>
    </xf>
    <xf numFmtId="44" fontId="8" fillId="6" borderId="1" xfId="2" applyNumberFormat="1" applyBorder="1" applyAlignment="1" applyProtection="1">
      <alignment shrinkToFit="1"/>
    </xf>
    <xf numFmtId="44" fontId="8" fillId="6" borderId="0" xfId="2" applyNumberFormat="1" applyBorder="1" applyAlignment="1" applyProtection="1">
      <alignment horizontal="center" shrinkToFit="1"/>
    </xf>
    <xf numFmtId="166" fontId="8" fillId="6" borderId="0" xfId="2" applyNumberFormat="1" applyBorder="1" applyAlignment="1" applyProtection="1">
      <alignment horizontal="center" shrinkToFit="1"/>
    </xf>
    <xf numFmtId="1" fontId="8" fillId="6" borderId="1" xfId="2" applyNumberFormat="1" applyBorder="1" applyAlignment="1" applyProtection="1">
      <alignment horizontal="center" shrinkToFit="1"/>
    </xf>
    <xf numFmtId="0" fontId="8" fillId="7" borderId="0" xfId="3"/>
    <xf numFmtId="0" fontId="8" fillId="7" borderId="1" xfId="3" applyBorder="1"/>
    <xf numFmtId="1" fontId="8" fillId="7" borderId="1" xfId="3" applyNumberFormat="1" applyBorder="1"/>
    <xf numFmtId="0" fontId="14" fillId="0" borderId="0" xfId="0" applyFont="1" applyAlignment="1"/>
    <xf numFmtId="0" fontId="8" fillId="6" borderId="0" xfId="2" applyFont="1" applyAlignment="1"/>
    <xf numFmtId="0" fontId="10" fillId="0" borderId="0" xfId="0" applyFont="1" applyAlignment="1"/>
    <xf numFmtId="0" fontId="8" fillId="6" borderId="0" xfId="2" applyFont="1"/>
    <xf numFmtId="44" fontId="10" fillId="0" borderId="1" xfId="0" applyNumberFormat="1" applyFont="1" applyBorder="1"/>
    <xf numFmtId="0" fontId="15" fillId="0" borderId="1" xfId="0" applyFont="1" applyBorder="1" applyAlignment="1">
      <alignment horizontal="left" indent="2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44" fontId="15" fillId="0" borderId="1" xfId="6" applyFont="1" applyBorder="1"/>
    <xf numFmtId="0" fontId="15" fillId="0" borderId="0" xfId="0" applyFont="1"/>
    <xf numFmtId="0" fontId="15" fillId="3" borderId="4" xfId="0" applyFont="1" applyFill="1" applyBorder="1" applyAlignment="1">
      <alignment horizontal="center"/>
    </xf>
    <xf numFmtId="0" fontId="10" fillId="0" borderId="2" xfId="0" applyFont="1" applyBorder="1"/>
    <xf numFmtId="0" fontId="15" fillId="0" borderId="3" xfId="0" applyFont="1" applyBorder="1" applyAlignment="1">
      <alignment horizontal="right"/>
    </xf>
    <xf numFmtId="44" fontId="15" fillId="0" borderId="1" xfId="0" applyNumberFormat="1" applyFont="1" applyBorder="1"/>
    <xf numFmtId="0" fontId="15" fillId="3" borderId="5" xfId="0" applyFont="1" applyFill="1" applyBorder="1" applyAlignment="1">
      <alignment horizontal="center"/>
    </xf>
    <xf numFmtId="10" fontId="15" fillId="0" borderId="2" xfId="0" applyNumberFormat="1" applyFont="1" applyBorder="1"/>
    <xf numFmtId="0" fontId="10" fillId="4" borderId="0" xfId="0" applyFont="1" applyFill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 shrinkToFit="1"/>
    </xf>
    <xf numFmtId="10" fontId="10" fillId="0" borderId="1" xfId="7" applyNumberFormat="1" applyFont="1" applyBorder="1"/>
    <xf numFmtId="10" fontId="15" fillId="0" borderId="1" xfId="7" applyNumberFormat="1" applyFont="1" applyBorder="1"/>
    <xf numFmtId="43" fontId="15" fillId="0" borderId="1" xfId="5" applyFont="1" applyBorder="1"/>
    <xf numFmtId="44" fontId="15" fillId="0" borderId="0" xfId="0" applyNumberFormat="1" applyFont="1" applyBorder="1"/>
    <xf numFmtId="10" fontId="15" fillId="0" borderId="0" xfId="7" applyNumberFormat="1" applyFont="1" applyBorder="1"/>
    <xf numFmtId="0" fontId="15" fillId="0" borderId="1" xfId="0" applyFont="1" applyBorder="1" applyAlignment="1">
      <alignment horizontal="left"/>
    </xf>
    <xf numFmtId="0" fontId="8" fillId="6" borderId="1" xfId="2" applyFont="1" applyBorder="1"/>
    <xf numFmtId="44" fontId="8" fillId="6" borderId="1" xfId="2" applyNumberFormat="1" applyFont="1" applyBorder="1"/>
    <xf numFmtId="44" fontId="8" fillId="6" borderId="0" xfId="2" applyNumberFormat="1" applyFont="1"/>
    <xf numFmtId="43" fontId="8" fillId="6" borderId="1" xfId="2" applyNumberFormat="1" applyFont="1" applyBorder="1"/>
    <xf numFmtId="0" fontId="8" fillId="6" borderId="4" xfId="2" applyFont="1" applyBorder="1" applyAlignment="1">
      <alignment horizontal="center"/>
    </xf>
    <xf numFmtId="10" fontId="8" fillId="6" borderId="1" xfId="2" applyNumberFormat="1" applyFont="1" applyBorder="1"/>
    <xf numFmtId="43" fontId="8" fillId="6" borderId="0" xfId="2" applyNumberFormat="1" applyFont="1"/>
    <xf numFmtId="0" fontId="0" fillId="0" borderId="4" xfId="0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5" fillId="6" borderId="1" xfId="2" applyFont="1" applyBorder="1" applyAlignment="1" applyProtection="1">
      <alignment horizontal="center" shrinkToFit="1"/>
    </xf>
    <xf numFmtId="0" fontId="8" fillId="6" borderId="1" xfId="2" applyBorder="1" applyAlignment="1" applyProtection="1">
      <alignment horizontal="center" shrinkToFit="1"/>
    </xf>
    <xf numFmtId="0" fontId="4" fillId="6" borderId="0" xfId="2" applyFont="1" applyAlignment="1" applyProtection="1">
      <alignment shrinkToFit="1"/>
    </xf>
    <xf numFmtId="0" fontId="4" fillId="6" borderId="1" xfId="2" applyFont="1" applyBorder="1" applyAlignment="1" applyProtection="1">
      <alignment horizontal="center" shrinkToFit="1"/>
    </xf>
    <xf numFmtId="0" fontId="3" fillId="5" borderId="1" xfId="1" applyFont="1" applyBorder="1" applyAlignment="1" applyProtection="1">
      <alignment shrinkToFit="1"/>
      <protection locked="0"/>
    </xf>
    <xf numFmtId="166" fontId="2" fillId="5" borderId="1" xfId="1" applyNumberFormat="1" applyFont="1" applyBorder="1" applyAlignment="1" applyProtection="1">
      <alignment horizontal="center" shrinkToFit="1"/>
      <protection locked="0"/>
    </xf>
    <xf numFmtId="0" fontId="9" fillId="8" borderId="4" xfId="4" applyFont="1" applyBorder="1" applyAlignment="1">
      <alignment horizontal="center" vertical="center" wrapText="1"/>
    </xf>
    <xf numFmtId="0" fontId="9" fillId="8" borderId="6" xfId="4" applyFont="1" applyBorder="1" applyAlignment="1">
      <alignment horizontal="center" vertical="center" wrapText="1"/>
    </xf>
    <xf numFmtId="0" fontId="9" fillId="8" borderId="5" xfId="4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5" borderId="1" xfId="1" applyFont="1" applyBorder="1" applyAlignment="1" applyProtection="1">
      <alignment horizontal="left"/>
      <protection locked="0"/>
    </xf>
    <xf numFmtId="0" fontId="8" fillId="5" borderId="1" xfId="1" applyBorder="1" applyAlignment="1" applyProtection="1">
      <alignment horizontal="left"/>
      <protection locked="0"/>
    </xf>
    <xf numFmtId="164" fontId="1" fillId="5" borderId="1" xfId="1" applyNumberFormat="1" applyFont="1" applyBorder="1" applyAlignment="1" applyProtection="1">
      <alignment horizontal="left"/>
      <protection locked="0"/>
    </xf>
    <xf numFmtId="164" fontId="8" fillId="5" borderId="1" xfId="1" applyNumberFormat="1" applyBorder="1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left" shrinkToFit="1"/>
    </xf>
    <xf numFmtId="0" fontId="19" fillId="0" borderId="0" xfId="0" applyFont="1" applyAlignment="1" applyProtection="1">
      <alignment horizontal="center" shrinkToFit="1"/>
    </xf>
    <xf numFmtId="165" fontId="19" fillId="0" borderId="0" xfId="0" applyNumberFormat="1" applyFont="1" applyAlignment="1" applyProtection="1">
      <alignment horizontal="center" shrinkToFit="1"/>
    </xf>
    <xf numFmtId="0" fontId="13" fillId="0" borderId="2" xfId="0" applyFont="1" applyBorder="1" applyAlignment="1" applyProtection="1">
      <alignment horizontal="left" shrinkToFit="1"/>
    </xf>
    <xf numFmtId="0" fontId="13" fillId="0" borderId="3" xfId="0" applyFont="1" applyBorder="1" applyAlignment="1" applyProtection="1">
      <alignment horizontal="left" shrinkToFit="1"/>
    </xf>
    <xf numFmtId="0" fontId="13" fillId="0" borderId="4" xfId="0" applyFont="1" applyBorder="1" applyAlignment="1" applyProtection="1">
      <alignment horizontal="center" vertical="center" shrinkToFit="1"/>
    </xf>
    <xf numFmtId="0" fontId="13" fillId="0" borderId="6" xfId="0" applyFont="1" applyBorder="1" applyAlignment="1" applyProtection="1">
      <alignment horizontal="center" vertical="center" shrinkToFit="1"/>
    </xf>
    <xf numFmtId="0" fontId="13" fillId="0" borderId="4" xfId="0" applyFont="1" applyBorder="1" applyAlignment="1" applyProtection="1">
      <alignment horizontal="center" vertical="center" wrapText="1" shrinkToFit="1"/>
    </xf>
    <xf numFmtId="0" fontId="13" fillId="0" borderId="6" xfId="0" applyFont="1" applyBorder="1" applyAlignment="1" applyProtection="1">
      <alignment horizontal="center" vertical="center" wrapText="1" shrinkToFit="1"/>
    </xf>
    <xf numFmtId="0" fontId="13" fillId="0" borderId="5" xfId="0" applyFont="1" applyBorder="1" applyAlignment="1" applyProtection="1">
      <alignment horizontal="center" vertical="center" wrapText="1" shrinkToFit="1"/>
    </xf>
    <xf numFmtId="0" fontId="2" fillId="5" borderId="1" xfId="1" applyFont="1" applyBorder="1" applyAlignment="1" applyProtection="1">
      <alignment horizontal="left" shrinkToFit="1"/>
      <protection locked="0"/>
    </xf>
    <xf numFmtId="0" fontId="8" fillId="5" borderId="1" xfId="1" applyBorder="1" applyAlignment="1" applyProtection="1">
      <alignment horizontal="left" shrinkToFit="1"/>
      <protection locked="0"/>
    </xf>
    <xf numFmtId="0" fontId="0" fillId="0" borderId="1" xfId="0" applyBorder="1" applyAlignment="1">
      <alignment horizontal="center" shrinkToFit="1"/>
    </xf>
    <xf numFmtId="0" fontId="18" fillId="0" borderId="1" xfId="0" applyFont="1" applyBorder="1" applyAlignment="1" applyProtection="1">
      <alignment horizontal="center" vertical="center" textRotation="90" shrinkToFit="1"/>
    </xf>
    <xf numFmtId="0" fontId="17" fillId="0" borderId="0" xfId="0" applyFont="1" applyAlignment="1" applyProtection="1">
      <alignment horizontal="right"/>
    </xf>
    <xf numFmtId="0" fontId="13" fillId="0" borderId="5" xfId="0" applyFont="1" applyBorder="1" applyAlignment="1" applyProtection="1">
      <alignment horizontal="center" vertical="center" shrinkToFit="1"/>
    </xf>
    <xf numFmtId="0" fontId="13" fillId="0" borderId="1" xfId="0" applyFont="1" applyBorder="1" applyAlignment="1" applyProtection="1">
      <alignment horizontal="center" vertical="center" shrinkToFit="1"/>
    </xf>
    <xf numFmtId="0" fontId="17" fillId="0" borderId="7" xfId="0" applyFont="1" applyBorder="1" applyAlignment="1" applyProtection="1">
      <alignment horizontal="left" shrinkToFit="1"/>
    </xf>
    <xf numFmtId="0" fontId="8" fillId="6" borderId="1" xfId="2" applyBorder="1" applyAlignment="1" applyProtection="1">
      <alignment horizontal="center" shrinkToFit="1"/>
    </xf>
    <xf numFmtId="0" fontId="8" fillId="6" borderId="5" xfId="2" applyBorder="1" applyAlignment="1" applyProtection="1">
      <alignment horizontal="center" shrinkToFit="1"/>
    </xf>
    <xf numFmtId="0" fontId="4" fillId="6" borderId="5" xfId="2" applyFont="1" applyBorder="1" applyAlignment="1" applyProtection="1">
      <alignment horizontal="center" shrinkToFit="1"/>
    </xf>
    <xf numFmtId="0" fontId="19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</cellXfs>
  <cellStyles count="8">
    <cellStyle name="20% - Accent4" xfId="1" builtinId="42"/>
    <cellStyle name="40% - Accent2" xfId="2" builtinId="35"/>
    <cellStyle name="40% - Accent3" xfId="3" builtinId="39"/>
    <cellStyle name="Accent2" xfId="4" builtinId="33"/>
    <cellStyle name="Comma" xfId="5" builtinId="3"/>
    <cellStyle name="Currency" xfId="6" builtinId="4"/>
    <cellStyle name="Normal" xfId="0" builtinId="0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:E5"/>
    </sheetView>
  </sheetViews>
  <sheetFormatPr defaultRowHeight="12.75" x14ac:dyDescent="0.2"/>
  <cols>
    <col min="1" max="1" width="40.83203125" style="14" bestFit="1" customWidth="1"/>
    <col min="2" max="2" width="7.6640625" style="14" customWidth="1"/>
    <col min="3" max="3" width="14.5" style="14" customWidth="1"/>
    <col min="4" max="4" width="15.33203125" style="16" bestFit="1" customWidth="1"/>
    <col min="5" max="5" width="26.33203125" style="14" customWidth="1"/>
    <col min="6" max="16384" width="9.33203125" style="14"/>
  </cols>
  <sheetData>
    <row r="1" spans="1:5" ht="18.75" x14ac:dyDescent="0.3">
      <c r="A1" s="110" t="s">
        <v>120</v>
      </c>
      <c r="B1" s="110"/>
      <c r="C1" s="110"/>
      <c r="D1" s="110"/>
      <c r="E1" s="110"/>
    </row>
    <row r="2" spans="1:5" ht="18.75" x14ac:dyDescent="0.3">
      <c r="A2" s="110" t="s">
        <v>113</v>
      </c>
      <c r="B2" s="110"/>
      <c r="C2" s="110"/>
      <c r="D2" s="110"/>
      <c r="E2" s="110"/>
    </row>
    <row r="3" spans="1:5" x14ac:dyDescent="0.2">
      <c r="A3" s="111" t="s">
        <v>156</v>
      </c>
      <c r="B3" s="111"/>
      <c r="C3" s="111"/>
      <c r="D3" s="111"/>
      <c r="E3" s="111"/>
    </row>
    <row r="5" spans="1:5" ht="15" x14ac:dyDescent="0.25">
      <c r="A5" s="15" t="s">
        <v>151</v>
      </c>
      <c r="B5" s="15"/>
      <c r="C5" s="112"/>
      <c r="D5" s="113"/>
      <c r="E5" s="113"/>
    </row>
    <row r="6" spans="1:5" ht="15" x14ac:dyDescent="0.25">
      <c r="A6" s="15" t="s">
        <v>0</v>
      </c>
      <c r="B6" s="15"/>
      <c r="C6" s="114"/>
      <c r="D6" s="115"/>
      <c r="E6" s="115"/>
    </row>
    <row r="7" spans="1:5" ht="15" x14ac:dyDescent="0.25">
      <c r="A7" s="15" t="s">
        <v>1</v>
      </c>
      <c r="B7" s="15"/>
      <c r="C7" s="112"/>
      <c r="D7" s="113"/>
      <c r="E7" s="113"/>
    </row>
    <row r="8" spans="1:5" ht="15" x14ac:dyDescent="0.25">
      <c r="A8" s="15" t="s">
        <v>2</v>
      </c>
      <c r="B8" s="15"/>
      <c r="C8" s="112"/>
      <c r="D8" s="113"/>
      <c r="E8" s="113"/>
    </row>
    <row r="9" spans="1:5" ht="15" x14ac:dyDescent="0.25">
      <c r="A9" s="15" t="s">
        <v>3</v>
      </c>
      <c r="B9" s="15"/>
      <c r="C9" s="112"/>
      <c r="D9" s="113"/>
      <c r="E9" s="113"/>
    </row>
    <row r="10" spans="1:5" ht="15" x14ac:dyDescent="0.25">
      <c r="A10" s="15" t="s">
        <v>4</v>
      </c>
      <c r="B10" s="15"/>
      <c r="C10" s="51">
        <v>7.0000000000000007E-2</v>
      </c>
      <c r="D10" s="16" t="s">
        <v>140</v>
      </c>
    </row>
    <row r="11" spans="1:5" ht="15" x14ac:dyDescent="0.25">
      <c r="A11" s="15" t="s">
        <v>5</v>
      </c>
      <c r="B11" s="15"/>
      <c r="C11" s="51">
        <v>0.21</v>
      </c>
      <c r="D11" s="16" t="s">
        <v>99</v>
      </c>
    </row>
    <row r="12" spans="1:5" ht="15" x14ac:dyDescent="0.25">
      <c r="A12" s="15" t="s">
        <v>6</v>
      </c>
      <c r="B12" s="15"/>
      <c r="C12" s="27"/>
    </row>
    <row r="14" spans="1:5" ht="15" x14ac:dyDescent="0.25">
      <c r="A14" s="17" t="s">
        <v>7</v>
      </c>
      <c r="B14" s="17"/>
      <c r="C14" s="18" t="s">
        <v>8</v>
      </c>
      <c r="D14" s="19" t="s">
        <v>9</v>
      </c>
      <c r="E14" s="107" t="s">
        <v>10</v>
      </c>
    </row>
    <row r="15" spans="1:5" ht="15" x14ac:dyDescent="0.25">
      <c r="A15" s="15" t="s">
        <v>11</v>
      </c>
      <c r="B15" s="15" t="s">
        <v>12</v>
      </c>
      <c r="C15" s="26">
        <v>6</v>
      </c>
      <c r="D15" s="20">
        <f>ROUND(C15/(1+$C$10),2)</f>
        <v>5.61</v>
      </c>
      <c r="E15" s="108"/>
    </row>
    <row r="16" spans="1:5" ht="15" x14ac:dyDescent="0.25">
      <c r="A16" s="15" t="s">
        <v>13</v>
      </c>
      <c r="B16" s="15" t="s">
        <v>14</v>
      </c>
      <c r="C16" s="26">
        <v>7</v>
      </c>
      <c r="D16" s="20">
        <f>ROUND(C16/(1+$C$10),2)</f>
        <v>6.54</v>
      </c>
      <c r="E16" s="108"/>
    </row>
    <row r="17" spans="1:5" ht="15" x14ac:dyDescent="0.25">
      <c r="A17" s="15" t="s">
        <v>133</v>
      </c>
      <c r="B17" s="15" t="s">
        <v>134</v>
      </c>
      <c r="C17" s="26">
        <v>9</v>
      </c>
      <c r="D17" s="20">
        <f>ROUND(C17/(1+$C$10),2)</f>
        <v>8.41</v>
      </c>
      <c r="E17" s="108"/>
    </row>
    <row r="18" spans="1:5" ht="15" x14ac:dyDescent="0.25">
      <c r="A18" s="15" t="s">
        <v>159</v>
      </c>
      <c r="B18" s="15" t="s">
        <v>157</v>
      </c>
      <c r="C18" s="26">
        <v>5</v>
      </c>
      <c r="D18" s="20">
        <f>ROUND(C18/(1+$C$10),2)</f>
        <v>4.67</v>
      </c>
      <c r="E18" s="109"/>
    </row>
    <row r="19" spans="1:5" hidden="1" x14ac:dyDescent="0.2">
      <c r="A19" s="21" t="s">
        <v>112</v>
      </c>
      <c r="B19" s="22"/>
      <c r="C19" s="23"/>
      <c r="D19" s="24">
        <f>IF(C12=0,1.5,Summary!N71)</f>
        <v>1.5</v>
      </c>
      <c r="E19" s="24">
        <v>1.5</v>
      </c>
    </row>
    <row r="20" spans="1:5" x14ac:dyDescent="0.2">
      <c r="C20" s="23"/>
    </row>
    <row r="21" spans="1:5" x14ac:dyDescent="0.2">
      <c r="A21" s="14" t="s">
        <v>15</v>
      </c>
      <c r="C21" s="23"/>
    </row>
    <row r="22" spans="1:5" ht="15" x14ac:dyDescent="0.25">
      <c r="A22" s="25" t="s">
        <v>16</v>
      </c>
      <c r="B22" s="25"/>
      <c r="C22" s="26">
        <v>5</v>
      </c>
      <c r="D22" s="20">
        <f t="shared" ref="D22:D27" si="0">ROUND(C22/(1+$C$10),2)</f>
        <v>4.67</v>
      </c>
    </row>
    <row r="23" spans="1:5" ht="15" x14ac:dyDescent="0.25">
      <c r="A23" s="25" t="s">
        <v>17</v>
      </c>
      <c r="B23" s="25"/>
      <c r="C23" s="26">
        <v>5</v>
      </c>
      <c r="D23" s="20">
        <f t="shared" si="0"/>
        <v>4.67</v>
      </c>
    </row>
    <row r="24" spans="1:5" ht="15" x14ac:dyDescent="0.25">
      <c r="A24" s="25" t="s">
        <v>131</v>
      </c>
      <c r="B24" s="25"/>
      <c r="C24" s="26">
        <v>5</v>
      </c>
      <c r="D24" s="20">
        <f t="shared" si="0"/>
        <v>4.67</v>
      </c>
    </row>
    <row r="25" spans="1:5" ht="15" x14ac:dyDescent="0.25">
      <c r="A25" s="25" t="s">
        <v>132</v>
      </c>
      <c r="B25" s="25"/>
      <c r="C25" s="26">
        <v>5</v>
      </c>
      <c r="D25" s="20">
        <f t="shared" si="0"/>
        <v>4.67</v>
      </c>
    </row>
    <row r="26" spans="1:5" ht="15" x14ac:dyDescent="0.25">
      <c r="A26" s="25" t="s">
        <v>18</v>
      </c>
      <c r="B26" s="25"/>
      <c r="C26" s="26">
        <v>5</v>
      </c>
      <c r="D26" s="20">
        <f t="shared" si="0"/>
        <v>4.67</v>
      </c>
    </row>
    <row r="27" spans="1:5" ht="15" x14ac:dyDescent="0.25">
      <c r="A27" s="25" t="s">
        <v>19</v>
      </c>
      <c r="B27" s="25"/>
      <c r="C27" s="26">
        <v>5</v>
      </c>
      <c r="D27" s="20">
        <f t="shared" si="0"/>
        <v>4.67</v>
      </c>
    </row>
    <row r="28" spans="1:5" x14ac:dyDescent="0.2">
      <c r="C28" s="23"/>
    </row>
    <row r="29" spans="1:5" ht="15" x14ac:dyDescent="0.25">
      <c r="A29" s="15" t="s">
        <v>21</v>
      </c>
      <c r="B29" s="15" t="s">
        <v>22</v>
      </c>
      <c r="C29" s="26">
        <v>4</v>
      </c>
      <c r="D29" s="20">
        <f>ROUND(C29/(1+$C$10),2)</f>
        <v>3.74</v>
      </c>
    </row>
    <row r="30" spans="1:5" ht="15" x14ac:dyDescent="0.25">
      <c r="A30" s="15" t="s">
        <v>23</v>
      </c>
      <c r="B30" s="15" t="s">
        <v>24</v>
      </c>
      <c r="C30" s="26">
        <v>5</v>
      </c>
      <c r="D30" s="20">
        <f>ROUND(C30/(1+$C$10),2)</f>
        <v>4.67</v>
      </c>
    </row>
    <row r="31" spans="1:5" x14ac:dyDescent="0.2">
      <c r="C31" s="23"/>
    </row>
  </sheetData>
  <sheetProtection sheet="1" objects="1" scenarios="1"/>
  <mergeCells count="9">
    <mergeCell ref="E14:E18"/>
    <mergeCell ref="A1:E1"/>
    <mergeCell ref="A3:E3"/>
    <mergeCell ref="A2:E2"/>
    <mergeCell ref="C9:E9"/>
    <mergeCell ref="C5:E5"/>
    <mergeCell ref="C6:E6"/>
    <mergeCell ref="C7:E7"/>
    <mergeCell ref="C8:E8"/>
  </mergeCells>
  <phoneticPr fontId="0" type="noConversion"/>
  <pageMargins left="0.75" right="0.75" top="1" bottom="1" header="0.5" footer="0.5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3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C39" sqref="C39"/>
    </sheetView>
  </sheetViews>
  <sheetFormatPr defaultRowHeight="15" x14ac:dyDescent="0.25"/>
  <cols>
    <col min="1" max="1" width="3.83203125" style="28" bestFit="1" customWidth="1"/>
    <col min="2" max="2" width="10.83203125" style="28" customWidth="1"/>
    <col min="3" max="3" width="15.6640625" style="28" bestFit="1" customWidth="1"/>
    <col min="4" max="4" width="6.5" style="28" customWidth="1"/>
    <col min="5" max="8" width="8.33203125" style="28" customWidth="1"/>
    <col min="9" max="9" width="9.83203125" style="28" customWidth="1"/>
    <col min="10" max="10" width="2.83203125" style="28" customWidth="1"/>
    <col min="11" max="11" width="8" style="28" bestFit="1" customWidth="1"/>
    <col min="12" max="12" width="9.33203125" style="28"/>
    <col min="13" max="13" width="8" style="28" bestFit="1" customWidth="1"/>
    <col min="14" max="14" width="9" style="28" bestFit="1" customWidth="1"/>
    <col min="15" max="15" width="7.33203125" style="28" bestFit="1" customWidth="1"/>
    <col min="16" max="16" width="2.5" style="28" hidden="1" customWidth="1"/>
    <col min="17" max="19" width="7.83203125" style="52" hidden="1" customWidth="1"/>
    <col min="20" max="20" width="10" style="52" hidden="1" customWidth="1"/>
    <col min="21" max="21" width="3.5" style="52" hidden="1" customWidth="1"/>
    <col min="22" max="24" width="7.83203125" style="52" hidden="1" customWidth="1"/>
    <col min="25" max="25" width="9.33203125" style="52" hidden="1" customWidth="1"/>
    <col min="26" max="26" width="3.33203125" style="52" hidden="1" customWidth="1"/>
    <col min="27" max="29" width="7.83203125" style="52" hidden="1" customWidth="1"/>
    <col min="30" max="30" width="9.6640625" style="52" hidden="1" customWidth="1"/>
    <col min="31" max="31" width="2.6640625" style="52" hidden="1" customWidth="1"/>
    <col min="32" max="34" width="7.83203125" style="52" hidden="1" customWidth="1"/>
    <col min="35" max="35" width="9" style="52" hidden="1" customWidth="1"/>
    <col min="36" max="36" width="2.6640625" style="52" hidden="1" customWidth="1"/>
    <col min="37" max="40" width="7.83203125" style="52" hidden="1" customWidth="1"/>
    <col min="41" max="16384" width="9.33203125" style="28"/>
  </cols>
  <sheetData>
    <row r="1" spans="1:40" ht="15.75" x14ac:dyDescent="0.25">
      <c r="A1" s="117" t="s">
        <v>121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40" ht="15.75" x14ac:dyDescent="0.25">
      <c r="A2" s="117">
        <f>Input!C5</f>
        <v>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Q2" s="134" t="s">
        <v>139</v>
      </c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K2" s="134" t="s">
        <v>29</v>
      </c>
      <c r="AL2" s="134"/>
      <c r="AM2" s="134"/>
      <c r="AN2" s="134"/>
    </row>
    <row r="3" spans="1:40" ht="15.75" x14ac:dyDescent="0.25">
      <c r="A3" s="118">
        <f>Input!C6</f>
        <v>0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Q3" s="136" t="s">
        <v>157</v>
      </c>
      <c r="R3" s="135"/>
      <c r="S3" s="135"/>
      <c r="T3" s="135"/>
      <c r="V3" s="135" t="s">
        <v>12</v>
      </c>
      <c r="W3" s="135"/>
      <c r="X3" s="135"/>
      <c r="Y3" s="135"/>
      <c r="AA3" s="135" t="s">
        <v>14</v>
      </c>
      <c r="AB3" s="135"/>
      <c r="AC3" s="135"/>
      <c r="AD3" s="135"/>
      <c r="AF3" s="135" t="s">
        <v>134</v>
      </c>
      <c r="AG3" s="135"/>
      <c r="AH3" s="135"/>
      <c r="AI3" s="135"/>
    </row>
    <row r="4" spans="1:40" x14ac:dyDescent="0.25">
      <c r="A4" s="130" t="s">
        <v>25</v>
      </c>
      <c r="B4" s="130"/>
      <c r="C4" s="29" t="str">
        <f>IF(Input!C9="Y","Host","Cash")</f>
        <v>Cash</v>
      </c>
      <c r="E4" s="128" t="s">
        <v>73</v>
      </c>
      <c r="F4" s="128"/>
      <c r="G4" s="128"/>
      <c r="H4" s="97" t="s">
        <v>26</v>
      </c>
      <c r="I4" s="97"/>
      <c r="J4" s="98"/>
      <c r="K4" s="97" t="s">
        <v>27</v>
      </c>
      <c r="L4" s="97" t="s">
        <v>28</v>
      </c>
      <c r="M4" s="97" t="s">
        <v>27</v>
      </c>
      <c r="N4" s="128" t="s">
        <v>29</v>
      </c>
      <c r="O4" s="128"/>
      <c r="Q4" s="53"/>
      <c r="R4" s="53"/>
      <c r="S4" s="53"/>
      <c r="T4" s="53"/>
      <c r="V4" s="53"/>
      <c r="W4" s="53"/>
      <c r="X4" s="53"/>
      <c r="Y4" s="53"/>
      <c r="AA4" s="53"/>
      <c r="AB4" s="53"/>
      <c r="AC4" s="53"/>
      <c r="AD4" s="53"/>
      <c r="AF4" s="53"/>
      <c r="AG4" s="53"/>
      <c r="AH4" s="53"/>
      <c r="AI4" s="53"/>
    </row>
    <row r="5" spans="1:40" x14ac:dyDescent="0.25">
      <c r="A5" s="130" t="s">
        <v>2</v>
      </c>
      <c r="B5" s="130"/>
      <c r="C5" s="133">
        <f>Input!C8</f>
        <v>0</v>
      </c>
      <c r="D5" s="133"/>
      <c r="E5" s="99" t="s">
        <v>30</v>
      </c>
      <c r="F5" s="99" t="s">
        <v>31</v>
      </c>
      <c r="G5" s="99" t="s">
        <v>32</v>
      </c>
      <c r="H5" s="100" t="s">
        <v>33</v>
      </c>
      <c r="I5" s="100" t="s">
        <v>34</v>
      </c>
      <c r="J5" s="98"/>
      <c r="K5" s="100" t="s">
        <v>35</v>
      </c>
      <c r="L5" s="100" t="s">
        <v>35</v>
      </c>
      <c r="M5" s="100" t="s">
        <v>36</v>
      </c>
      <c r="N5" s="99" t="s">
        <v>37</v>
      </c>
      <c r="O5" s="99" t="s">
        <v>38</v>
      </c>
      <c r="Q5" s="54" t="s">
        <v>30</v>
      </c>
      <c r="R5" s="54" t="s">
        <v>31</v>
      </c>
      <c r="S5" s="54" t="s">
        <v>32</v>
      </c>
      <c r="T5" s="54" t="s">
        <v>34</v>
      </c>
      <c r="V5" s="54" t="s">
        <v>30</v>
      </c>
      <c r="W5" s="54" t="s">
        <v>31</v>
      </c>
      <c r="X5" s="54" t="s">
        <v>32</v>
      </c>
      <c r="Y5" s="54" t="s">
        <v>34</v>
      </c>
      <c r="AA5" s="54" t="s">
        <v>30</v>
      </c>
      <c r="AB5" s="54" t="s">
        <v>31</v>
      </c>
      <c r="AC5" s="54" t="s">
        <v>32</v>
      </c>
      <c r="AD5" s="54" t="s">
        <v>34</v>
      </c>
      <c r="AF5" s="54" t="s">
        <v>30</v>
      </c>
      <c r="AG5" s="54" t="s">
        <v>31</v>
      </c>
      <c r="AH5" s="54" t="s">
        <v>32</v>
      </c>
      <c r="AI5" s="54" t="s">
        <v>34</v>
      </c>
      <c r="AK5" s="104" t="s">
        <v>157</v>
      </c>
      <c r="AL5" s="102" t="s">
        <v>12</v>
      </c>
      <c r="AM5" s="102" t="s">
        <v>14</v>
      </c>
      <c r="AN5" s="101" t="s">
        <v>134</v>
      </c>
    </row>
    <row r="6" spans="1:40" ht="14.1" customHeight="1" x14ac:dyDescent="0.25">
      <c r="A6" s="129" t="s">
        <v>39</v>
      </c>
      <c r="B6" s="132" t="s">
        <v>40</v>
      </c>
      <c r="C6" s="30" t="s">
        <v>154</v>
      </c>
      <c r="D6" s="31" t="s">
        <v>157</v>
      </c>
      <c r="E6" s="47"/>
      <c r="F6" s="47"/>
      <c r="G6" s="32">
        <f t="shared" ref="G6:G32" si="0">E6-F6</f>
        <v>0</v>
      </c>
      <c r="H6" s="33">
        <f t="shared" ref="H6:H32" si="1">IF(D6=0,0,VLOOKUP($D6,liquor,3))</f>
        <v>4.67</v>
      </c>
      <c r="I6" s="34">
        <f>ROUND(G6*H6*L6,2)</f>
        <v>0</v>
      </c>
      <c r="J6" s="35"/>
      <c r="K6" s="49">
        <v>11.85</v>
      </c>
      <c r="L6" s="36">
        <f>IF($G$38=0,0,ROUND((750*35.211/1000)/Input!$D$19,2))</f>
        <v>0</v>
      </c>
      <c r="M6" s="33">
        <f>IF(L6=0,0,K6/L6)</f>
        <v>0</v>
      </c>
      <c r="N6" s="37">
        <f>ROUND(K6*G6,2)</f>
        <v>0</v>
      </c>
      <c r="O6" s="38">
        <f t="shared" ref="O6:O27" si="2">IF(N6=0,0,N6/I6)</f>
        <v>0</v>
      </c>
      <c r="Q6" s="56">
        <f>IF($D6=Q$3,$E6," ")</f>
        <v>0</v>
      </c>
      <c r="R6" s="56">
        <f>IF($D6=Q$3,$F6," ")</f>
        <v>0</v>
      </c>
      <c r="S6" s="56">
        <f>IF(Q6=" "," ",Q6-R6)</f>
        <v>0</v>
      </c>
      <c r="T6" s="57">
        <f>IF($D6=Q$3,$I6," ")</f>
        <v>0</v>
      </c>
      <c r="V6" s="56" t="str">
        <f>IF($D6=V$3,$E6," ")</f>
        <v xml:space="preserve"> </v>
      </c>
      <c r="W6" s="56" t="str">
        <f>IF($D6=V$3,$F6," ")</f>
        <v xml:space="preserve"> </v>
      </c>
      <c r="X6" s="56" t="str">
        <f>IF(V6=" "," ",V6-W6)</f>
        <v xml:space="preserve"> </v>
      </c>
      <c r="Y6" s="57" t="str">
        <f>IF($D6=V$3,$I6," ")</f>
        <v xml:space="preserve"> </v>
      </c>
      <c r="AA6" s="56" t="str">
        <f>IF($D6=AA$3,$E6," ")</f>
        <v xml:space="preserve"> </v>
      </c>
      <c r="AB6" s="56" t="str">
        <f>IF($D6=AA$3,$F6," ")</f>
        <v xml:space="preserve"> </v>
      </c>
      <c r="AC6" s="56" t="str">
        <f>IF(AA6=" "," ",AA6-AB6)</f>
        <v xml:space="preserve"> </v>
      </c>
      <c r="AD6" s="57" t="str">
        <f>IF($D6=AA$3,$I6," ")</f>
        <v xml:space="preserve"> </v>
      </c>
      <c r="AF6" s="56" t="str">
        <f>IF($D6=AF$3,$E6," ")</f>
        <v xml:space="preserve"> </v>
      </c>
      <c r="AG6" s="56" t="str">
        <f>IF($D6=AF$3,$F6," ")</f>
        <v xml:space="preserve"> </v>
      </c>
      <c r="AH6" s="56" t="str">
        <f>IF(AF6=" "," ",AF6-AG6)</f>
        <v xml:space="preserve"> </v>
      </c>
      <c r="AI6" s="57" t="str">
        <f>IF($D6=AF$3,$I6," ")</f>
        <v xml:space="preserve"> </v>
      </c>
      <c r="AK6" s="58">
        <f t="shared" ref="AK6:AN32" si="3">IF($D6=AK$5,$N6,0)</f>
        <v>0</v>
      </c>
      <c r="AL6" s="58">
        <f t="shared" si="3"/>
        <v>0</v>
      </c>
      <c r="AM6" s="58">
        <f t="shared" si="3"/>
        <v>0</v>
      </c>
      <c r="AN6" s="58">
        <f t="shared" si="3"/>
        <v>0</v>
      </c>
    </row>
    <row r="7" spans="1:40" ht="14.1" customHeight="1" x14ac:dyDescent="0.25">
      <c r="A7" s="129"/>
      <c r="B7" s="132"/>
      <c r="C7" s="30" t="s">
        <v>41</v>
      </c>
      <c r="D7" s="31" t="s">
        <v>12</v>
      </c>
      <c r="E7" s="47"/>
      <c r="F7" s="47"/>
      <c r="G7" s="32">
        <f t="shared" ref="G7" si="4">E7-F7</f>
        <v>0</v>
      </c>
      <c r="H7" s="33">
        <f t="shared" ref="H7" si="5">IF(D7=0,0,VLOOKUP($D7,liquor,3))</f>
        <v>5.61</v>
      </c>
      <c r="I7" s="34">
        <f>ROUND(G7*H7*L7,2)</f>
        <v>0</v>
      </c>
      <c r="J7" s="35"/>
      <c r="K7" s="49">
        <v>17.7</v>
      </c>
      <c r="L7" s="36">
        <f>IF($G$38=0,0,ROUND((750*35.211/1000)/Input!$D$19,2))</f>
        <v>0</v>
      </c>
      <c r="M7" s="33">
        <f>IF(L7=0,0,K7/L7)</f>
        <v>0</v>
      </c>
      <c r="N7" s="37">
        <f>ROUND(K7*G7,2)</f>
        <v>0</v>
      </c>
      <c r="O7" s="38">
        <f t="shared" ref="O7" si="6">IF(N7=0,0,N7/I7)</f>
        <v>0</v>
      </c>
      <c r="Q7" s="56" t="str">
        <f>IF($D7=Q$3,$E7," ")</f>
        <v xml:space="preserve"> </v>
      </c>
      <c r="R7" s="56" t="str">
        <f>IF($D7=Q$3,$F7," ")</f>
        <v xml:space="preserve"> </v>
      </c>
      <c r="S7" s="56" t="str">
        <f>IF(Q7=" "," ",Q7-R7)</f>
        <v xml:space="preserve"> </v>
      </c>
      <c r="T7" s="57" t="str">
        <f>IF($D7=Q$3,$I7," ")</f>
        <v xml:space="preserve"> </v>
      </c>
      <c r="V7" s="56">
        <f>IF($D7=V$3,$E7," ")</f>
        <v>0</v>
      </c>
      <c r="W7" s="56">
        <f>IF($D7=V$3,$F7," ")</f>
        <v>0</v>
      </c>
      <c r="X7" s="56">
        <f>IF(V7=" "," ",V7-W7)</f>
        <v>0</v>
      </c>
      <c r="Y7" s="57">
        <f>IF($D7=V$3,$I7," ")</f>
        <v>0</v>
      </c>
      <c r="AA7" s="56" t="str">
        <f>IF($D7=AA$3,$E7," ")</f>
        <v xml:space="preserve"> </v>
      </c>
      <c r="AB7" s="56" t="str">
        <f>IF($D7=AA$3,$F7," ")</f>
        <v xml:space="preserve"> </v>
      </c>
      <c r="AC7" s="56" t="str">
        <f>IF(AA7=" "," ",AA7-AB7)</f>
        <v xml:space="preserve"> </v>
      </c>
      <c r="AD7" s="57" t="str">
        <f>IF($D7=AA$3,$I7," ")</f>
        <v xml:space="preserve"> </v>
      </c>
      <c r="AF7" s="56" t="str">
        <f>IF($D7=AF$3,$E7," ")</f>
        <v xml:space="preserve"> </v>
      </c>
      <c r="AG7" s="56" t="str">
        <f>IF($D7=AF$3,$F7," ")</f>
        <v xml:space="preserve"> </v>
      </c>
      <c r="AH7" s="56" t="str">
        <f>IF(AF7=" "," ",AF7-AG7)</f>
        <v xml:space="preserve"> </v>
      </c>
      <c r="AI7" s="57" t="str">
        <f>IF($D7=AF$3,$I7," ")</f>
        <v xml:space="preserve"> </v>
      </c>
      <c r="AK7" s="58">
        <f t="shared" si="3"/>
        <v>0</v>
      </c>
      <c r="AL7" s="58">
        <f t="shared" si="3"/>
        <v>0</v>
      </c>
      <c r="AM7" s="58">
        <f t="shared" si="3"/>
        <v>0</v>
      </c>
      <c r="AN7" s="58">
        <f t="shared" si="3"/>
        <v>0</v>
      </c>
    </row>
    <row r="8" spans="1:40" ht="14.1" customHeight="1" x14ac:dyDescent="0.25">
      <c r="A8" s="129"/>
      <c r="B8" s="132"/>
      <c r="C8" s="30" t="s">
        <v>42</v>
      </c>
      <c r="D8" s="31" t="s">
        <v>14</v>
      </c>
      <c r="E8" s="47"/>
      <c r="F8" s="47"/>
      <c r="G8" s="32">
        <f>E8-F8</f>
        <v>0</v>
      </c>
      <c r="H8" s="33">
        <f>IF(D8=0,0,VLOOKUP($D8,liquor,3))</f>
        <v>6.54</v>
      </c>
      <c r="I8" s="34">
        <f>ROUND(G8*H8*L8,2)</f>
        <v>0</v>
      </c>
      <c r="J8" s="35"/>
      <c r="K8" s="49">
        <v>24.7</v>
      </c>
      <c r="L8" s="36">
        <f>IF($G$38=0,0,ROUND((750*35.211/1000)/Input!$D$19,2))</f>
        <v>0</v>
      </c>
      <c r="M8" s="33">
        <f>IF(L8=0,0,K8/L8)</f>
        <v>0</v>
      </c>
      <c r="N8" s="37">
        <f>ROUND(K8*G8,2)</f>
        <v>0</v>
      </c>
      <c r="O8" s="38">
        <f>IF(N8=0,0,N8/I8)</f>
        <v>0</v>
      </c>
      <c r="Q8" s="56" t="str">
        <f t="shared" ref="Q8:Q32" si="7">IF($D8=Q$3,$E8," ")</f>
        <v xml:space="preserve"> </v>
      </c>
      <c r="R8" s="56" t="str">
        <f t="shared" ref="R8:R32" si="8">IF($D8=Q$3,$F8," ")</f>
        <v xml:space="preserve"> </v>
      </c>
      <c r="S8" s="56" t="str">
        <f t="shared" ref="S8:S32" si="9">IF(Q8=" "," ",Q8-R8)</f>
        <v xml:space="preserve"> </v>
      </c>
      <c r="T8" s="57" t="str">
        <f t="shared" ref="T8:T32" si="10">IF($D8=Q$3,$I8," ")</f>
        <v xml:space="preserve"> </v>
      </c>
      <c r="V8" s="56" t="str">
        <f t="shared" ref="V8:V32" si="11">IF($D8=V$3,$E8," ")</f>
        <v xml:space="preserve"> </v>
      </c>
      <c r="W8" s="56" t="str">
        <f t="shared" ref="W8:W32" si="12">IF($D8=V$3,$F8," ")</f>
        <v xml:space="preserve"> </v>
      </c>
      <c r="X8" s="56" t="str">
        <f t="shared" ref="X8:X32" si="13">IF(V8=" "," ",V8-W8)</f>
        <v xml:space="preserve"> </v>
      </c>
      <c r="Y8" s="57" t="str">
        <f t="shared" ref="Y8:Y32" si="14">IF($D8=V$3,$I8," ")</f>
        <v xml:space="preserve"> </v>
      </c>
      <c r="AA8" s="56">
        <f t="shared" ref="AA8:AA32" si="15">IF($D8=AA$3,$E8," ")</f>
        <v>0</v>
      </c>
      <c r="AB8" s="56">
        <f t="shared" ref="AB8:AB32" si="16">IF($D8=AA$3,$F8," ")</f>
        <v>0</v>
      </c>
      <c r="AC8" s="56">
        <f t="shared" ref="AC8:AC32" si="17">IF(AA8=" "," ",AA8-AB8)</f>
        <v>0</v>
      </c>
      <c r="AD8" s="57">
        <f t="shared" ref="AD8:AD32" si="18">IF($D8=AA$3,$I8," ")</f>
        <v>0</v>
      </c>
      <c r="AF8" s="56" t="str">
        <f t="shared" ref="AF8:AF32" si="19">IF($D8=AF$3,$E8," ")</f>
        <v xml:space="preserve"> </v>
      </c>
      <c r="AG8" s="56" t="str">
        <f t="shared" ref="AG8:AG32" si="20">IF($D8=AF$3,$F8," ")</f>
        <v xml:space="preserve"> </v>
      </c>
      <c r="AH8" s="56" t="str">
        <f t="shared" ref="AH8:AH32" si="21">IF(AF8=" "," ",AF8-AG8)</f>
        <v xml:space="preserve"> </v>
      </c>
      <c r="AI8" s="57" t="str">
        <f t="shared" ref="AI8:AI32" si="22">IF($D8=AF$3,$I8," ")</f>
        <v xml:space="preserve"> </v>
      </c>
      <c r="AK8" s="58">
        <f t="shared" si="3"/>
        <v>0</v>
      </c>
      <c r="AL8" s="58">
        <f t="shared" si="3"/>
        <v>0</v>
      </c>
      <c r="AM8" s="58">
        <f t="shared" si="3"/>
        <v>0</v>
      </c>
      <c r="AN8" s="58">
        <f t="shared" si="3"/>
        <v>0</v>
      </c>
    </row>
    <row r="9" spans="1:40" ht="14.1" customHeight="1" x14ac:dyDescent="0.25">
      <c r="A9" s="129"/>
      <c r="B9" s="132"/>
      <c r="C9" s="30" t="s">
        <v>147</v>
      </c>
      <c r="D9" s="31" t="s">
        <v>134</v>
      </c>
      <c r="E9" s="47"/>
      <c r="F9" s="47"/>
      <c r="G9" s="32">
        <f t="shared" si="0"/>
        <v>0</v>
      </c>
      <c r="H9" s="33">
        <f t="shared" si="1"/>
        <v>8.41</v>
      </c>
      <c r="I9" s="34">
        <f t="shared" ref="I9:I32" si="23">ROUND(G9*H9*L9,2)</f>
        <v>0</v>
      </c>
      <c r="J9" s="35"/>
      <c r="K9" s="49">
        <v>36.700000000000003</v>
      </c>
      <c r="L9" s="36">
        <f>IF($G$38=0,0,ROUND((750*35.211/1000)/Input!$D$19,2))</f>
        <v>0</v>
      </c>
      <c r="M9" s="33">
        <f t="shared" ref="M9:M27" si="24">IF(L9=0,0,K9/L9)</f>
        <v>0</v>
      </c>
      <c r="N9" s="37">
        <f t="shared" ref="N9:N27" si="25">ROUND(K9*G9,2)</f>
        <v>0</v>
      </c>
      <c r="O9" s="38">
        <f t="shared" si="2"/>
        <v>0</v>
      </c>
      <c r="Q9" s="56" t="str">
        <f t="shared" si="7"/>
        <v xml:space="preserve"> </v>
      </c>
      <c r="R9" s="56" t="str">
        <f t="shared" si="8"/>
        <v xml:space="preserve"> </v>
      </c>
      <c r="S9" s="56" t="str">
        <f t="shared" si="9"/>
        <v xml:space="preserve"> </v>
      </c>
      <c r="T9" s="57" t="str">
        <f t="shared" si="10"/>
        <v xml:space="preserve"> </v>
      </c>
      <c r="V9" s="56" t="str">
        <f t="shared" si="11"/>
        <v xml:space="preserve"> </v>
      </c>
      <c r="W9" s="56" t="str">
        <f t="shared" si="12"/>
        <v xml:space="preserve"> </v>
      </c>
      <c r="X9" s="56" t="str">
        <f t="shared" si="13"/>
        <v xml:space="preserve"> </v>
      </c>
      <c r="Y9" s="57" t="str">
        <f t="shared" si="14"/>
        <v xml:space="preserve"> </v>
      </c>
      <c r="AA9" s="56" t="str">
        <f t="shared" si="15"/>
        <v xml:space="preserve"> </v>
      </c>
      <c r="AB9" s="56" t="str">
        <f t="shared" si="16"/>
        <v xml:space="preserve"> </v>
      </c>
      <c r="AC9" s="56" t="str">
        <f t="shared" si="17"/>
        <v xml:space="preserve"> </v>
      </c>
      <c r="AD9" s="57" t="str">
        <f t="shared" si="18"/>
        <v xml:space="preserve"> </v>
      </c>
      <c r="AF9" s="56">
        <f t="shared" si="19"/>
        <v>0</v>
      </c>
      <c r="AG9" s="56">
        <f t="shared" si="20"/>
        <v>0</v>
      </c>
      <c r="AH9" s="56">
        <f t="shared" si="21"/>
        <v>0</v>
      </c>
      <c r="AI9" s="57">
        <f t="shared" si="22"/>
        <v>0</v>
      </c>
      <c r="AK9" s="58">
        <f t="shared" si="3"/>
        <v>0</v>
      </c>
      <c r="AL9" s="58">
        <f t="shared" si="3"/>
        <v>0</v>
      </c>
      <c r="AM9" s="58">
        <f t="shared" si="3"/>
        <v>0</v>
      </c>
      <c r="AN9" s="58">
        <f t="shared" si="3"/>
        <v>0</v>
      </c>
    </row>
    <row r="10" spans="1:40" ht="14.1" customHeight="1" x14ac:dyDescent="0.25">
      <c r="A10" s="129"/>
      <c r="B10" s="121" t="s">
        <v>43</v>
      </c>
      <c r="C10" s="30" t="s">
        <v>155</v>
      </c>
      <c r="D10" s="31" t="s">
        <v>157</v>
      </c>
      <c r="E10" s="47"/>
      <c r="F10" s="47"/>
      <c r="G10" s="32">
        <f t="shared" si="0"/>
        <v>0</v>
      </c>
      <c r="H10" s="33">
        <f t="shared" si="1"/>
        <v>4.67</v>
      </c>
      <c r="I10" s="34">
        <f t="shared" si="23"/>
        <v>0</v>
      </c>
      <c r="J10" s="35"/>
      <c r="K10" s="49">
        <v>10.7</v>
      </c>
      <c r="L10" s="36">
        <f>IF($G$38=0,0,ROUND((750*35.211/1000)/Input!$D$19,2))</f>
        <v>0</v>
      </c>
      <c r="M10" s="33">
        <f t="shared" si="24"/>
        <v>0</v>
      </c>
      <c r="N10" s="37">
        <f t="shared" si="25"/>
        <v>0</v>
      </c>
      <c r="O10" s="38">
        <f t="shared" si="2"/>
        <v>0</v>
      </c>
      <c r="Q10" s="56">
        <f t="shared" si="7"/>
        <v>0</v>
      </c>
      <c r="R10" s="56">
        <f t="shared" si="8"/>
        <v>0</v>
      </c>
      <c r="S10" s="56">
        <f t="shared" si="9"/>
        <v>0</v>
      </c>
      <c r="T10" s="57">
        <f t="shared" si="10"/>
        <v>0</v>
      </c>
      <c r="V10" s="56" t="str">
        <f t="shared" si="11"/>
        <v xml:space="preserve"> </v>
      </c>
      <c r="W10" s="56" t="str">
        <f t="shared" si="12"/>
        <v xml:space="preserve"> </v>
      </c>
      <c r="X10" s="56" t="str">
        <f t="shared" si="13"/>
        <v xml:space="preserve"> </v>
      </c>
      <c r="Y10" s="57" t="str">
        <f t="shared" si="14"/>
        <v xml:space="preserve"> </v>
      </c>
      <c r="AA10" s="56" t="str">
        <f t="shared" si="15"/>
        <v xml:space="preserve"> </v>
      </c>
      <c r="AB10" s="56" t="str">
        <f t="shared" si="16"/>
        <v xml:space="preserve"> </v>
      </c>
      <c r="AC10" s="56" t="str">
        <f t="shared" si="17"/>
        <v xml:space="preserve"> </v>
      </c>
      <c r="AD10" s="57" t="str">
        <f t="shared" si="18"/>
        <v xml:space="preserve"> </v>
      </c>
      <c r="AF10" s="56" t="str">
        <f t="shared" si="19"/>
        <v xml:space="preserve"> </v>
      </c>
      <c r="AG10" s="56" t="str">
        <f t="shared" si="20"/>
        <v xml:space="preserve"> </v>
      </c>
      <c r="AH10" s="56" t="str">
        <f t="shared" si="21"/>
        <v xml:space="preserve"> </v>
      </c>
      <c r="AI10" s="57" t="str">
        <f t="shared" si="22"/>
        <v xml:space="preserve"> </v>
      </c>
      <c r="AK10" s="58">
        <f t="shared" si="3"/>
        <v>0</v>
      </c>
      <c r="AL10" s="58">
        <f t="shared" si="3"/>
        <v>0</v>
      </c>
      <c r="AM10" s="58">
        <f t="shared" si="3"/>
        <v>0</v>
      </c>
      <c r="AN10" s="58">
        <f t="shared" si="3"/>
        <v>0</v>
      </c>
    </row>
    <row r="11" spans="1:40" ht="14.1" customHeight="1" x14ac:dyDescent="0.25">
      <c r="A11" s="129"/>
      <c r="B11" s="122"/>
      <c r="C11" s="30" t="s">
        <v>44</v>
      </c>
      <c r="D11" s="31" t="s">
        <v>12</v>
      </c>
      <c r="E11" s="47"/>
      <c r="F11" s="47"/>
      <c r="G11" s="32">
        <f t="shared" ref="G11" si="26">E11-F11</f>
        <v>0</v>
      </c>
      <c r="H11" s="33">
        <f t="shared" ref="H11" si="27">IF(D11=0,0,VLOOKUP($D11,liquor,3))</f>
        <v>5.61</v>
      </c>
      <c r="I11" s="34">
        <f t="shared" ref="I11" si="28">ROUND(G11*H11*L11,2)</f>
        <v>0</v>
      </c>
      <c r="J11" s="35"/>
      <c r="K11" s="49">
        <v>16.7</v>
      </c>
      <c r="L11" s="36">
        <f>IF($G$38=0,0,ROUND((750*35.211/1000)/Input!$D$19,2))</f>
        <v>0</v>
      </c>
      <c r="M11" s="33">
        <f t="shared" ref="M11" si="29">IF(L11=0,0,K11/L11)</f>
        <v>0</v>
      </c>
      <c r="N11" s="37">
        <f t="shared" ref="N11" si="30">ROUND(K11*G11,2)</f>
        <v>0</v>
      </c>
      <c r="O11" s="38">
        <f t="shared" ref="O11" si="31">IF(N11=0,0,N11/I11)</f>
        <v>0</v>
      </c>
      <c r="Q11" s="56" t="str">
        <f t="shared" si="7"/>
        <v xml:space="preserve"> </v>
      </c>
      <c r="R11" s="56" t="str">
        <f t="shared" ref="R11" si="32">IF($D11=Q$3,$F11," ")</f>
        <v xml:space="preserve"> </v>
      </c>
      <c r="S11" s="56" t="str">
        <f t="shared" ref="S11" si="33">IF(Q11=" "," ",Q11-R11)</f>
        <v xml:space="preserve"> </v>
      </c>
      <c r="T11" s="57" t="str">
        <f t="shared" ref="T11" si="34">IF($D11=Q$3,$I11," ")</f>
        <v xml:space="preserve"> </v>
      </c>
      <c r="V11" s="56">
        <f t="shared" si="11"/>
        <v>0</v>
      </c>
      <c r="W11" s="56">
        <f t="shared" ref="W11" si="35">IF($D11=V$3,$F11," ")</f>
        <v>0</v>
      </c>
      <c r="X11" s="56">
        <f t="shared" ref="X11" si="36">IF(V11=" "," ",V11-W11)</f>
        <v>0</v>
      </c>
      <c r="Y11" s="57">
        <f t="shared" ref="Y11" si="37">IF($D11=V$3,$I11," ")</f>
        <v>0</v>
      </c>
      <c r="AA11" s="56" t="str">
        <f t="shared" si="15"/>
        <v xml:space="preserve"> </v>
      </c>
      <c r="AB11" s="56" t="str">
        <f t="shared" ref="AB11" si="38">IF($D11=AA$3,$F11," ")</f>
        <v xml:space="preserve"> </v>
      </c>
      <c r="AC11" s="56" t="str">
        <f t="shared" ref="AC11" si="39">IF(AA11=" "," ",AA11-AB11)</f>
        <v xml:space="preserve"> </v>
      </c>
      <c r="AD11" s="57" t="str">
        <f t="shared" ref="AD11" si="40">IF($D11=AA$3,$I11," ")</f>
        <v xml:space="preserve"> </v>
      </c>
      <c r="AF11" s="56" t="str">
        <f t="shared" si="19"/>
        <v xml:space="preserve"> </v>
      </c>
      <c r="AG11" s="56" t="str">
        <f t="shared" ref="AG11" si="41">IF($D11=AF$3,$F11," ")</f>
        <v xml:space="preserve"> </v>
      </c>
      <c r="AH11" s="56" t="str">
        <f t="shared" ref="AH11" si="42">IF(AF11=" "," ",AF11-AG11)</f>
        <v xml:space="preserve"> </v>
      </c>
      <c r="AI11" s="57" t="str">
        <f t="shared" ref="AI11" si="43">IF($D11=AF$3,$I11," ")</f>
        <v xml:space="preserve"> </v>
      </c>
      <c r="AK11" s="58">
        <f t="shared" si="3"/>
        <v>0</v>
      </c>
      <c r="AL11" s="58">
        <f t="shared" si="3"/>
        <v>0</v>
      </c>
      <c r="AM11" s="58">
        <f t="shared" si="3"/>
        <v>0</v>
      </c>
      <c r="AN11" s="58">
        <f t="shared" si="3"/>
        <v>0</v>
      </c>
    </row>
    <row r="12" spans="1:40" ht="14.1" customHeight="1" x14ac:dyDescent="0.25">
      <c r="A12" s="129"/>
      <c r="B12" s="131"/>
      <c r="C12" s="30" t="s">
        <v>130</v>
      </c>
      <c r="D12" s="31" t="s">
        <v>14</v>
      </c>
      <c r="E12" s="47"/>
      <c r="F12" s="47"/>
      <c r="G12" s="32">
        <f>E12-F12</f>
        <v>0</v>
      </c>
      <c r="H12" s="33">
        <f>IF(D12=0,0,VLOOKUP($D12,liquor,3))</f>
        <v>6.54</v>
      </c>
      <c r="I12" s="34">
        <f>ROUND(G12*H12*L12,2)</f>
        <v>0</v>
      </c>
      <c r="J12" s="35"/>
      <c r="K12" s="49">
        <v>21.7</v>
      </c>
      <c r="L12" s="36">
        <f>IF($G$38=0,0,ROUND((750*35.211/1000)/Input!$D$19,2))</f>
        <v>0</v>
      </c>
      <c r="M12" s="33">
        <f>IF(L12=0,0,K12/L12)</f>
        <v>0</v>
      </c>
      <c r="N12" s="37">
        <f>ROUND(K12*G12,2)</f>
        <v>0</v>
      </c>
      <c r="O12" s="38">
        <f>IF(N12=0,0,N12/I12)</f>
        <v>0</v>
      </c>
      <c r="Q12" s="56" t="str">
        <f t="shared" si="7"/>
        <v xml:space="preserve"> </v>
      </c>
      <c r="R12" s="56" t="str">
        <f t="shared" si="8"/>
        <v xml:space="preserve"> </v>
      </c>
      <c r="S12" s="56" t="str">
        <f t="shared" si="9"/>
        <v xml:space="preserve"> </v>
      </c>
      <c r="T12" s="57" t="str">
        <f t="shared" si="10"/>
        <v xml:space="preserve"> </v>
      </c>
      <c r="V12" s="56" t="str">
        <f t="shared" si="11"/>
        <v xml:space="preserve"> </v>
      </c>
      <c r="W12" s="56" t="str">
        <f t="shared" si="12"/>
        <v xml:space="preserve"> </v>
      </c>
      <c r="X12" s="56" t="str">
        <f t="shared" si="13"/>
        <v xml:space="preserve"> </v>
      </c>
      <c r="Y12" s="57" t="str">
        <f t="shared" si="14"/>
        <v xml:space="preserve"> </v>
      </c>
      <c r="AA12" s="56">
        <f t="shared" si="15"/>
        <v>0</v>
      </c>
      <c r="AB12" s="56">
        <f t="shared" si="16"/>
        <v>0</v>
      </c>
      <c r="AC12" s="56">
        <f t="shared" si="17"/>
        <v>0</v>
      </c>
      <c r="AD12" s="57">
        <f t="shared" si="18"/>
        <v>0</v>
      </c>
      <c r="AF12" s="56" t="str">
        <f t="shared" si="19"/>
        <v xml:space="preserve"> </v>
      </c>
      <c r="AG12" s="56" t="str">
        <f t="shared" si="20"/>
        <v xml:space="preserve"> </v>
      </c>
      <c r="AH12" s="56" t="str">
        <f t="shared" si="21"/>
        <v xml:space="preserve"> </v>
      </c>
      <c r="AI12" s="57" t="str">
        <f t="shared" si="22"/>
        <v xml:space="preserve"> </v>
      </c>
      <c r="AK12" s="58">
        <f t="shared" si="3"/>
        <v>0</v>
      </c>
      <c r="AL12" s="58">
        <f t="shared" si="3"/>
        <v>0</v>
      </c>
      <c r="AM12" s="58">
        <f t="shared" si="3"/>
        <v>0</v>
      </c>
      <c r="AN12" s="58">
        <f t="shared" si="3"/>
        <v>0</v>
      </c>
    </row>
    <row r="13" spans="1:40" ht="14.1" customHeight="1" x14ac:dyDescent="0.25">
      <c r="A13" s="129"/>
      <c r="B13" s="132" t="s">
        <v>45</v>
      </c>
      <c r="C13" s="30" t="s">
        <v>152</v>
      </c>
      <c r="D13" s="31" t="s">
        <v>157</v>
      </c>
      <c r="E13" s="47"/>
      <c r="F13" s="47"/>
      <c r="G13" s="32">
        <f t="shared" si="0"/>
        <v>0</v>
      </c>
      <c r="H13" s="33">
        <f t="shared" si="1"/>
        <v>4.67</v>
      </c>
      <c r="I13" s="34">
        <f t="shared" si="23"/>
        <v>0</v>
      </c>
      <c r="J13" s="35"/>
      <c r="K13" s="49">
        <v>10</v>
      </c>
      <c r="L13" s="36">
        <f>IF($G$38=0,0,ROUND((750*35.211/1000)/Input!$D$19,2))</f>
        <v>0</v>
      </c>
      <c r="M13" s="33">
        <f t="shared" si="24"/>
        <v>0</v>
      </c>
      <c r="N13" s="37">
        <f t="shared" si="25"/>
        <v>0</v>
      </c>
      <c r="O13" s="38">
        <f t="shared" si="2"/>
        <v>0</v>
      </c>
      <c r="Q13" s="56">
        <f t="shared" si="7"/>
        <v>0</v>
      </c>
      <c r="R13" s="56">
        <f t="shared" si="8"/>
        <v>0</v>
      </c>
      <c r="S13" s="56">
        <f t="shared" si="9"/>
        <v>0</v>
      </c>
      <c r="T13" s="57">
        <f t="shared" si="10"/>
        <v>0</v>
      </c>
      <c r="V13" s="56" t="str">
        <f t="shared" si="11"/>
        <v xml:space="preserve"> </v>
      </c>
      <c r="W13" s="56" t="str">
        <f t="shared" si="12"/>
        <v xml:space="preserve"> </v>
      </c>
      <c r="X13" s="56" t="str">
        <f t="shared" si="13"/>
        <v xml:space="preserve"> </v>
      </c>
      <c r="Y13" s="57" t="str">
        <f t="shared" si="14"/>
        <v xml:space="preserve"> </v>
      </c>
      <c r="AA13" s="56" t="str">
        <f t="shared" si="15"/>
        <v xml:space="preserve"> </v>
      </c>
      <c r="AB13" s="56" t="str">
        <f t="shared" si="16"/>
        <v xml:space="preserve"> </v>
      </c>
      <c r="AC13" s="56" t="str">
        <f t="shared" si="17"/>
        <v xml:space="preserve"> </v>
      </c>
      <c r="AD13" s="57" t="str">
        <f t="shared" si="18"/>
        <v xml:space="preserve"> </v>
      </c>
      <c r="AF13" s="56" t="str">
        <f t="shared" si="19"/>
        <v xml:space="preserve"> </v>
      </c>
      <c r="AG13" s="56" t="str">
        <f t="shared" si="20"/>
        <v xml:space="preserve"> </v>
      </c>
      <c r="AH13" s="56" t="str">
        <f t="shared" si="21"/>
        <v xml:space="preserve"> </v>
      </c>
      <c r="AI13" s="57" t="str">
        <f t="shared" si="22"/>
        <v xml:space="preserve"> </v>
      </c>
      <c r="AK13" s="58">
        <f t="shared" si="3"/>
        <v>0</v>
      </c>
      <c r="AL13" s="58">
        <f t="shared" si="3"/>
        <v>0</v>
      </c>
      <c r="AM13" s="58">
        <f t="shared" si="3"/>
        <v>0</v>
      </c>
      <c r="AN13" s="58">
        <f t="shared" si="3"/>
        <v>0</v>
      </c>
    </row>
    <row r="14" spans="1:40" ht="14.1" customHeight="1" x14ac:dyDescent="0.25">
      <c r="A14" s="129"/>
      <c r="B14" s="132"/>
      <c r="C14" s="30" t="s">
        <v>46</v>
      </c>
      <c r="D14" s="31" t="s">
        <v>12</v>
      </c>
      <c r="E14" s="47"/>
      <c r="F14" s="47"/>
      <c r="G14" s="32">
        <f t="shared" ref="G14" si="44">E14-F14</f>
        <v>0</v>
      </c>
      <c r="H14" s="33">
        <f t="shared" ref="H14" si="45">IF(D14=0,0,VLOOKUP($D14,liquor,3))</f>
        <v>5.61</v>
      </c>
      <c r="I14" s="34">
        <f t="shared" ref="I14" si="46">ROUND(G14*H14*L14,2)</f>
        <v>0</v>
      </c>
      <c r="J14" s="35"/>
      <c r="K14" s="49">
        <v>12.7</v>
      </c>
      <c r="L14" s="36">
        <f>IF($G$38=0,0,ROUND((750*35.211/1000)/Input!$D$19,2))</f>
        <v>0</v>
      </c>
      <c r="M14" s="33">
        <f t="shared" ref="M14" si="47">IF(L14=0,0,K14/L14)</f>
        <v>0</v>
      </c>
      <c r="N14" s="37">
        <f t="shared" ref="N14" si="48">ROUND(K14*G14,2)</f>
        <v>0</v>
      </c>
      <c r="O14" s="38">
        <f t="shared" ref="O14" si="49">IF(N14=0,0,N14/I14)</f>
        <v>0</v>
      </c>
      <c r="Q14" s="56" t="str">
        <f t="shared" si="7"/>
        <v xml:space="preserve"> </v>
      </c>
      <c r="R14" s="56" t="str">
        <f t="shared" ref="R14" si="50">IF($D14=Q$3,$F14," ")</f>
        <v xml:space="preserve"> </v>
      </c>
      <c r="S14" s="56" t="str">
        <f t="shared" ref="S14" si="51">IF(Q14=" "," ",Q14-R14)</f>
        <v xml:space="preserve"> </v>
      </c>
      <c r="T14" s="57" t="str">
        <f t="shared" ref="T14" si="52">IF($D14=Q$3,$I14," ")</f>
        <v xml:space="preserve"> </v>
      </c>
      <c r="V14" s="56">
        <f t="shared" si="11"/>
        <v>0</v>
      </c>
      <c r="W14" s="56">
        <f t="shared" ref="W14" si="53">IF($D14=V$3,$F14," ")</f>
        <v>0</v>
      </c>
      <c r="X14" s="56">
        <f t="shared" ref="X14" si="54">IF(V14=" "," ",V14-W14)</f>
        <v>0</v>
      </c>
      <c r="Y14" s="57">
        <f t="shared" ref="Y14" si="55">IF($D14=V$3,$I14," ")</f>
        <v>0</v>
      </c>
      <c r="AA14" s="56" t="str">
        <f t="shared" si="15"/>
        <v xml:space="preserve"> </v>
      </c>
      <c r="AB14" s="56" t="str">
        <f t="shared" ref="AB14" si="56">IF($D14=AA$3,$F14," ")</f>
        <v xml:space="preserve"> </v>
      </c>
      <c r="AC14" s="56" t="str">
        <f t="shared" ref="AC14" si="57">IF(AA14=" "," ",AA14-AB14)</f>
        <v xml:space="preserve"> </v>
      </c>
      <c r="AD14" s="57" t="str">
        <f t="shared" ref="AD14" si="58">IF($D14=AA$3,$I14," ")</f>
        <v xml:space="preserve"> </v>
      </c>
      <c r="AF14" s="56" t="str">
        <f t="shared" si="19"/>
        <v xml:space="preserve"> </v>
      </c>
      <c r="AG14" s="56" t="str">
        <f t="shared" ref="AG14" si="59">IF($D14=AF$3,$F14," ")</f>
        <v xml:space="preserve"> </v>
      </c>
      <c r="AH14" s="56" t="str">
        <f t="shared" ref="AH14" si="60">IF(AF14=" "," ",AF14-AG14)</f>
        <v xml:space="preserve"> </v>
      </c>
      <c r="AI14" s="57" t="str">
        <f t="shared" ref="AI14" si="61">IF($D14=AF$3,$I14," ")</f>
        <v xml:space="preserve"> </v>
      </c>
      <c r="AK14" s="58">
        <f t="shared" si="3"/>
        <v>0</v>
      </c>
      <c r="AL14" s="58">
        <f t="shared" si="3"/>
        <v>0</v>
      </c>
      <c r="AM14" s="58">
        <f t="shared" si="3"/>
        <v>0</v>
      </c>
      <c r="AN14" s="58">
        <f t="shared" si="3"/>
        <v>0</v>
      </c>
    </row>
    <row r="15" spans="1:40" ht="14.1" customHeight="1" x14ac:dyDescent="0.25">
      <c r="A15" s="129"/>
      <c r="B15" s="132"/>
      <c r="C15" s="30" t="s">
        <v>47</v>
      </c>
      <c r="D15" s="31" t="s">
        <v>14</v>
      </c>
      <c r="E15" s="47"/>
      <c r="F15" s="47"/>
      <c r="G15" s="32">
        <f t="shared" si="0"/>
        <v>0</v>
      </c>
      <c r="H15" s="33">
        <f t="shared" si="1"/>
        <v>6.54</v>
      </c>
      <c r="I15" s="34">
        <f t="shared" si="23"/>
        <v>0</v>
      </c>
      <c r="J15" s="35"/>
      <c r="K15" s="49">
        <v>23.7</v>
      </c>
      <c r="L15" s="36">
        <f>IF($G$38=0,0,ROUND((750*35.211/1000)/Input!$D$19,2))</f>
        <v>0</v>
      </c>
      <c r="M15" s="33">
        <f t="shared" si="24"/>
        <v>0</v>
      </c>
      <c r="N15" s="37">
        <f t="shared" si="25"/>
        <v>0</v>
      </c>
      <c r="O15" s="38">
        <f t="shared" si="2"/>
        <v>0</v>
      </c>
      <c r="Q15" s="56" t="str">
        <f t="shared" si="7"/>
        <v xml:space="preserve"> </v>
      </c>
      <c r="R15" s="56" t="str">
        <f t="shared" si="8"/>
        <v xml:space="preserve"> </v>
      </c>
      <c r="S15" s="56" t="str">
        <f t="shared" si="9"/>
        <v xml:space="preserve"> </v>
      </c>
      <c r="T15" s="57" t="str">
        <f t="shared" si="10"/>
        <v xml:space="preserve"> </v>
      </c>
      <c r="V15" s="56" t="str">
        <f t="shared" si="11"/>
        <v xml:space="preserve"> </v>
      </c>
      <c r="W15" s="56" t="str">
        <f t="shared" si="12"/>
        <v xml:space="preserve"> </v>
      </c>
      <c r="X15" s="56" t="str">
        <f t="shared" si="13"/>
        <v xml:space="preserve"> </v>
      </c>
      <c r="Y15" s="57" t="str">
        <f t="shared" si="14"/>
        <v xml:space="preserve"> </v>
      </c>
      <c r="AA15" s="56">
        <f t="shared" si="15"/>
        <v>0</v>
      </c>
      <c r="AB15" s="56">
        <f t="shared" si="16"/>
        <v>0</v>
      </c>
      <c r="AC15" s="56">
        <f t="shared" si="17"/>
        <v>0</v>
      </c>
      <c r="AD15" s="57">
        <f t="shared" si="18"/>
        <v>0</v>
      </c>
      <c r="AF15" s="56" t="str">
        <f t="shared" si="19"/>
        <v xml:space="preserve"> </v>
      </c>
      <c r="AG15" s="56" t="str">
        <f t="shared" si="20"/>
        <v xml:space="preserve"> </v>
      </c>
      <c r="AH15" s="56" t="str">
        <f t="shared" si="21"/>
        <v xml:space="preserve"> </v>
      </c>
      <c r="AI15" s="57" t="str">
        <f t="shared" si="22"/>
        <v xml:space="preserve"> </v>
      </c>
      <c r="AK15" s="58">
        <f t="shared" si="3"/>
        <v>0</v>
      </c>
      <c r="AL15" s="58">
        <f t="shared" si="3"/>
        <v>0</v>
      </c>
      <c r="AM15" s="58">
        <f t="shared" si="3"/>
        <v>0</v>
      </c>
      <c r="AN15" s="58">
        <f t="shared" si="3"/>
        <v>0</v>
      </c>
    </row>
    <row r="16" spans="1:40" ht="14.1" customHeight="1" x14ac:dyDescent="0.25">
      <c r="A16" s="129"/>
      <c r="B16" s="121" t="s">
        <v>48</v>
      </c>
      <c r="C16" s="30" t="s">
        <v>153</v>
      </c>
      <c r="D16" s="31" t="s">
        <v>157</v>
      </c>
      <c r="E16" s="47"/>
      <c r="F16" s="47"/>
      <c r="G16" s="32">
        <f t="shared" si="0"/>
        <v>0</v>
      </c>
      <c r="H16" s="33">
        <f t="shared" si="1"/>
        <v>4.67</v>
      </c>
      <c r="I16" s="34">
        <f t="shared" si="23"/>
        <v>0</v>
      </c>
      <c r="J16" s="35"/>
      <c r="K16" s="49">
        <v>12.55</v>
      </c>
      <c r="L16" s="36">
        <f>IF($G$38=0,0,ROUND((750*35.211/1000)/Input!$D$19,2))</f>
        <v>0</v>
      </c>
      <c r="M16" s="33">
        <f t="shared" si="24"/>
        <v>0</v>
      </c>
      <c r="N16" s="37">
        <f t="shared" si="25"/>
        <v>0</v>
      </c>
      <c r="O16" s="38">
        <f t="shared" si="2"/>
        <v>0</v>
      </c>
      <c r="Q16" s="56">
        <f t="shared" si="7"/>
        <v>0</v>
      </c>
      <c r="R16" s="56">
        <f t="shared" si="8"/>
        <v>0</v>
      </c>
      <c r="S16" s="56">
        <f t="shared" si="9"/>
        <v>0</v>
      </c>
      <c r="T16" s="57">
        <f t="shared" si="10"/>
        <v>0</v>
      </c>
      <c r="V16" s="56" t="str">
        <f t="shared" si="11"/>
        <v xml:space="preserve"> </v>
      </c>
      <c r="W16" s="56" t="str">
        <f t="shared" si="12"/>
        <v xml:space="preserve"> </v>
      </c>
      <c r="X16" s="56" t="str">
        <f t="shared" si="13"/>
        <v xml:space="preserve"> </v>
      </c>
      <c r="Y16" s="57" t="str">
        <f t="shared" si="14"/>
        <v xml:space="preserve"> </v>
      </c>
      <c r="AA16" s="56" t="str">
        <f t="shared" si="15"/>
        <v xml:space="preserve"> </v>
      </c>
      <c r="AB16" s="56" t="str">
        <f t="shared" si="16"/>
        <v xml:space="preserve"> </v>
      </c>
      <c r="AC16" s="56" t="str">
        <f t="shared" si="17"/>
        <v xml:space="preserve"> </v>
      </c>
      <c r="AD16" s="57" t="str">
        <f t="shared" si="18"/>
        <v xml:space="preserve"> </v>
      </c>
      <c r="AF16" s="56" t="str">
        <f t="shared" si="19"/>
        <v xml:space="preserve"> </v>
      </c>
      <c r="AG16" s="56" t="str">
        <f t="shared" si="20"/>
        <v xml:space="preserve"> </v>
      </c>
      <c r="AH16" s="56" t="str">
        <f t="shared" si="21"/>
        <v xml:space="preserve"> </v>
      </c>
      <c r="AI16" s="57" t="str">
        <f t="shared" si="22"/>
        <v xml:space="preserve"> </v>
      </c>
      <c r="AK16" s="58">
        <f t="shared" si="3"/>
        <v>0</v>
      </c>
      <c r="AL16" s="58">
        <f t="shared" si="3"/>
        <v>0</v>
      </c>
      <c r="AM16" s="58">
        <f t="shared" si="3"/>
        <v>0</v>
      </c>
      <c r="AN16" s="58">
        <f t="shared" si="3"/>
        <v>0</v>
      </c>
    </row>
    <row r="17" spans="1:40" ht="14.1" customHeight="1" x14ac:dyDescent="0.25">
      <c r="A17" s="129"/>
      <c r="B17" s="122"/>
      <c r="C17" s="30" t="s">
        <v>49</v>
      </c>
      <c r="D17" s="31" t="s">
        <v>12</v>
      </c>
      <c r="E17" s="47"/>
      <c r="F17" s="47"/>
      <c r="G17" s="32">
        <f t="shared" ref="G17" si="62">E17-F17</f>
        <v>0</v>
      </c>
      <c r="H17" s="33">
        <f t="shared" ref="H17" si="63">IF(D17=0,0,VLOOKUP($D17,liquor,3))</f>
        <v>5.61</v>
      </c>
      <c r="I17" s="34">
        <f t="shared" ref="I17" si="64">ROUND(G17*H17*L17,2)</f>
        <v>0</v>
      </c>
      <c r="J17" s="35"/>
      <c r="K17" s="49">
        <v>24.7</v>
      </c>
      <c r="L17" s="36">
        <f>IF($G$38=0,0,ROUND((750*35.211/1000)/Input!$D$19,2))</f>
        <v>0</v>
      </c>
      <c r="M17" s="33">
        <f t="shared" ref="M17" si="65">IF(L17=0,0,K17/L17)</f>
        <v>0</v>
      </c>
      <c r="N17" s="37">
        <f t="shared" ref="N17" si="66">ROUND(K17*G17,2)</f>
        <v>0</v>
      </c>
      <c r="O17" s="38">
        <f t="shared" ref="O17" si="67">IF(N17=0,0,N17/I17)</f>
        <v>0</v>
      </c>
      <c r="Q17" s="56" t="str">
        <f t="shared" si="7"/>
        <v xml:space="preserve"> </v>
      </c>
      <c r="R17" s="56" t="str">
        <f t="shared" ref="R17" si="68">IF($D17=Q$3,$F17," ")</f>
        <v xml:space="preserve"> </v>
      </c>
      <c r="S17" s="56" t="str">
        <f t="shared" ref="S17" si="69">IF(Q17=" "," ",Q17-R17)</f>
        <v xml:space="preserve"> </v>
      </c>
      <c r="T17" s="57" t="str">
        <f t="shared" ref="T17" si="70">IF($D17=Q$3,$I17," ")</f>
        <v xml:space="preserve"> </v>
      </c>
      <c r="V17" s="56">
        <f t="shared" si="11"/>
        <v>0</v>
      </c>
      <c r="W17" s="56">
        <f t="shared" ref="W17" si="71">IF($D17=V$3,$F17," ")</f>
        <v>0</v>
      </c>
      <c r="X17" s="56">
        <f t="shared" ref="X17" si="72">IF(V17=" "," ",V17-W17)</f>
        <v>0</v>
      </c>
      <c r="Y17" s="57">
        <f t="shared" ref="Y17" si="73">IF($D17=V$3,$I17," ")</f>
        <v>0</v>
      </c>
      <c r="AA17" s="56" t="str">
        <f t="shared" si="15"/>
        <v xml:space="preserve"> </v>
      </c>
      <c r="AB17" s="56" t="str">
        <f t="shared" ref="AB17" si="74">IF($D17=AA$3,$F17," ")</f>
        <v xml:space="preserve"> </v>
      </c>
      <c r="AC17" s="56" t="str">
        <f t="shared" ref="AC17" si="75">IF(AA17=" "," ",AA17-AB17)</f>
        <v xml:space="preserve"> </v>
      </c>
      <c r="AD17" s="57" t="str">
        <f t="shared" ref="AD17" si="76">IF($D17=AA$3,$I17," ")</f>
        <v xml:space="preserve"> </v>
      </c>
      <c r="AF17" s="56" t="str">
        <f t="shared" si="19"/>
        <v xml:space="preserve"> </v>
      </c>
      <c r="AG17" s="56" t="str">
        <f t="shared" ref="AG17" si="77">IF($D17=AF$3,$F17," ")</f>
        <v xml:space="preserve"> </v>
      </c>
      <c r="AH17" s="56" t="str">
        <f t="shared" ref="AH17" si="78">IF(AF17=" "," ",AF17-AG17)</f>
        <v xml:space="preserve"> </v>
      </c>
      <c r="AI17" s="57" t="str">
        <f t="shared" ref="AI17" si="79">IF($D17=AF$3,$I17," ")</f>
        <v xml:space="preserve"> </v>
      </c>
      <c r="AK17" s="58">
        <f t="shared" si="3"/>
        <v>0</v>
      </c>
      <c r="AL17" s="58">
        <f t="shared" si="3"/>
        <v>0</v>
      </c>
      <c r="AM17" s="58">
        <f t="shared" si="3"/>
        <v>0</v>
      </c>
      <c r="AN17" s="58">
        <f t="shared" si="3"/>
        <v>0</v>
      </c>
    </row>
    <row r="18" spans="1:40" ht="14.1" customHeight="1" x14ac:dyDescent="0.25">
      <c r="A18" s="129"/>
      <c r="B18" s="131"/>
      <c r="C18" s="30" t="s">
        <v>148</v>
      </c>
      <c r="D18" s="31" t="s">
        <v>134</v>
      </c>
      <c r="E18" s="47"/>
      <c r="F18" s="47"/>
      <c r="G18" s="32">
        <f>E18-F18</f>
        <v>0</v>
      </c>
      <c r="H18" s="33">
        <f>IF(D18=0,0,VLOOKUP($D18,liquor,3))</f>
        <v>8.41</v>
      </c>
      <c r="I18" s="34">
        <f>ROUND(G18*H18*L18,2)</f>
        <v>0</v>
      </c>
      <c r="J18" s="35"/>
      <c r="K18" s="49">
        <v>52.7</v>
      </c>
      <c r="L18" s="36">
        <f>IF($G$38=0,0,ROUND((750*35.211/1000)/Input!$D$19,2))</f>
        <v>0</v>
      </c>
      <c r="M18" s="33">
        <f>IF(L18=0,0,K18/L18)</f>
        <v>0</v>
      </c>
      <c r="N18" s="37">
        <f>ROUND(K18*G18,2)</f>
        <v>0</v>
      </c>
      <c r="O18" s="38">
        <f>IF(N18=0,0,N18/I18)</f>
        <v>0</v>
      </c>
      <c r="Q18" s="56" t="str">
        <f t="shared" si="7"/>
        <v xml:space="preserve"> </v>
      </c>
      <c r="R18" s="56" t="str">
        <f t="shared" si="8"/>
        <v xml:space="preserve"> </v>
      </c>
      <c r="S18" s="56" t="str">
        <f t="shared" si="9"/>
        <v xml:space="preserve"> </v>
      </c>
      <c r="T18" s="57" t="str">
        <f t="shared" si="10"/>
        <v xml:space="preserve"> </v>
      </c>
      <c r="V18" s="56" t="str">
        <f t="shared" si="11"/>
        <v xml:space="preserve"> </v>
      </c>
      <c r="W18" s="56" t="str">
        <f t="shared" si="12"/>
        <v xml:space="preserve"> </v>
      </c>
      <c r="X18" s="56" t="str">
        <f t="shared" si="13"/>
        <v xml:space="preserve"> </v>
      </c>
      <c r="Y18" s="57" t="str">
        <f t="shared" si="14"/>
        <v xml:space="preserve"> </v>
      </c>
      <c r="AA18" s="56" t="str">
        <f t="shared" si="15"/>
        <v xml:space="preserve"> </v>
      </c>
      <c r="AB18" s="56" t="str">
        <f t="shared" si="16"/>
        <v xml:space="preserve"> </v>
      </c>
      <c r="AC18" s="56" t="str">
        <f t="shared" si="17"/>
        <v xml:space="preserve"> </v>
      </c>
      <c r="AD18" s="57" t="str">
        <f t="shared" si="18"/>
        <v xml:space="preserve"> </v>
      </c>
      <c r="AF18" s="56">
        <f t="shared" si="19"/>
        <v>0</v>
      </c>
      <c r="AG18" s="56">
        <f t="shared" si="20"/>
        <v>0</v>
      </c>
      <c r="AH18" s="56">
        <f t="shared" si="21"/>
        <v>0</v>
      </c>
      <c r="AI18" s="57">
        <f t="shared" si="22"/>
        <v>0</v>
      </c>
      <c r="AK18" s="58">
        <f t="shared" si="3"/>
        <v>0</v>
      </c>
      <c r="AL18" s="58">
        <f t="shared" si="3"/>
        <v>0</v>
      </c>
      <c r="AM18" s="58">
        <f t="shared" si="3"/>
        <v>0</v>
      </c>
      <c r="AN18" s="58">
        <f t="shared" si="3"/>
        <v>0</v>
      </c>
    </row>
    <row r="19" spans="1:40" ht="14.1" customHeight="1" x14ac:dyDescent="0.25">
      <c r="A19" s="129"/>
      <c r="B19" s="121" t="s">
        <v>50</v>
      </c>
      <c r="C19" s="30" t="s">
        <v>51</v>
      </c>
      <c r="D19" s="31" t="s">
        <v>14</v>
      </c>
      <c r="E19" s="47"/>
      <c r="F19" s="47"/>
      <c r="G19" s="32">
        <f t="shared" si="0"/>
        <v>0</v>
      </c>
      <c r="H19" s="33">
        <f t="shared" si="1"/>
        <v>6.54</v>
      </c>
      <c r="I19" s="34">
        <f t="shared" si="23"/>
        <v>0</v>
      </c>
      <c r="J19" s="35"/>
      <c r="K19" s="49">
        <v>28.7</v>
      </c>
      <c r="L19" s="36">
        <f>IF($G$38=0,0,ROUND((750*35.211/1000)/Input!$D$19,2))</f>
        <v>0</v>
      </c>
      <c r="M19" s="33">
        <f t="shared" si="24"/>
        <v>0</v>
      </c>
      <c r="N19" s="37">
        <f t="shared" si="25"/>
        <v>0</v>
      </c>
      <c r="O19" s="38">
        <f t="shared" si="2"/>
        <v>0</v>
      </c>
      <c r="Q19" s="56" t="str">
        <f t="shared" si="7"/>
        <v xml:space="preserve"> </v>
      </c>
      <c r="R19" s="56" t="str">
        <f t="shared" si="8"/>
        <v xml:space="preserve"> </v>
      </c>
      <c r="S19" s="56" t="str">
        <f t="shared" si="9"/>
        <v xml:space="preserve"> </v>
      </c>
      <c r="T19" s="57" t="str">
        <f t="shared" si="10"/>
        <v xml:space="preserve"> </v>
      </c>
      <c r="V19" s="56" t="str">
        <f t="shared" si="11"/>
        <v xml:space="preserve"> </v>
      </c>
      <c r="W19" s="56" t="str">
        <f t="shared" si="12"/>
        <v xml:space="preserve"> </v>
      </c>
      <c r="X19" s="56" t="str">
        <f t="shared" si="13"/>
        <v xml:space="preserve"> </v>
      </c>
      <c r="Y19" s="57" t="str">
        <f t="shared" si="14"/>
        <v xml:space="preserve"> </v>
      </c>
      <c r="AA19" s="56">
        <f t="shared" si="15"/>
        <v>0</v>
      </c>
      <c r="AB19" s="56">
        <f t="shared" si="16"/>
        <v>0</v>
      </c>
      <c r="AC19" s="56">
        <f t="shared" si="17"/>
        <v>0</v>
      </c>
      <c r="AD19" s="57">
        <f t="shared" si="18"/>
        <v>0</v>
      </c>
      <c r="AF19" s="56" t="str">
        <f t="shared" si="19"/>
        <v xml:space="preserve"> </v>
      </c>
      <c r="AG19" s="56" t="str">
        <f t="shared" si="20"/>
        <v xml:space="preserve"> </v>
      </c>
      <c r="AH19" s="56" t="str">
        <f t="shared" si="21"/>
        <v xml:space="preserve"> </v>
      </c>
      <c r="AI19" s="57" t="str">
        <f t="shared" si="22"/>
        <v xml:space="preserve"> </v>
      </c>
      <c r="AK19" s="58">
        <f t="shared" si="3"/>
        <v>0</v>
      </c>
      <c r="AL19" s="58">
        <f t="shared" si="3"/>
        <v>0</v>
      </c>
      <c r="AM19" s="58">
        <f t="shared" si="3"/>
        <v>0</v>
      </c>
      <c r="AN19" s="58">
        <f t="shared" si="3"/>
        <v>0</v>
      </c>
    </row>
    <row r="20" spans="1:40" ht="14.1" customHeight="1" x14ac:dyDescent="0.25">
      <c r="A20" s="129"/>
      <c r="B20" s="131"/>
      <c r="C20" s="30" t="s">
        <v>124</v>
      </c>
      <c r="D20" s="31" t="s">
        <v>134</v>
      </c>
      <c r="E20" s="47"/>
      <c r="F20" s="47"/>
      <c r="G20" s="32">
        <f>E20-F20</f>
        <v>0</v>
      </c>
      <c r="H20" s="33">
        <f>IF(D20=0,0,VLOOKUP($D20,liquor,3))</f>
        <v>8.41</v>
      </c>
      <c r="I20" s="34">
        <f>ROUND(G20*H20*L20,2)</f>
        <v>0</v>
      </c>
      <c r="J20" s="35"/>
      <c r="K20" s="49">
        <v>36.700000000000003</v>
      </c>
      <c r="L20" s="36">
        <f>IF($G$38=0,0,ROUND((750*35.211/1000)/Input!$D$19,2))</f>
        <v>0</v>
      </c>
      <c r="M20" s="33">
        <f>IF(L20=0,0,K20/L20)</f>
        <v>0</v>
      </c>
      <c r="N20" s="37">
        <f>ROUND(K20*G20,2)</f>
        <v>0</v>
      </c>
      <c r="O20" s="38">
        <f>IF(N20=0,0,N20/I20)</f>
        <v>0</v>
      </c>
      <c r="Q20" s="56" t="str">
        <f t="shared" si="7"/>
        <v xml:space="preserve"> </v>
      </c>
      <c r="R20" s="56" t="str">
        <f t="shared" si="8"/>
        <v xml:space="preserve"> </v>
      </c>
      <c r="S20" s="56" t="str">
        <f t="shared" si="9"/>
        <v xml:space="preserve"> </v>
      </c>
      <c r="T20" s="57" t="str">
        <f t="shared" si="10"/>
        <v xml:space="preserve"> </v>
      </c>
      <c r="V20" s="56" t="str">
        <f t="shared" si="11"/>
        <v xml:space="preserve"> </v>
      </c>
      <c r="W20" s="56" t="str">
        <f t="shared" si="12"/>
        <v xml:space="preserve"> </v>
      </c>
      <c r="X20" s="56" t="str">
        <f t="shared" si="13"/>
        <v xml:space="preserve"> </v>
      </c>
      <c r="Y20" s="57" t="str">
        <f t="shared" si="14"/>
        <v xml:space="preserve"> </v>
      </c>
      <c r="AA20" s="56" t="str">
        <f t="shared" si="15"/>
        <v xml:space="preserve"> </v>
      </c>
      <c r="AB20" s="56" t="str">
        <f t="shared" si="16"/>
        <v xml:space="preserve"> </v>
      </c>
      <c r="AC20" s="56" t="str">
        <f t="shared" si="17"/>
        <v xml:space="preserve"> </v>
      </c>
      <c r="AD20" s="57" t="str">
        <f t="shared" si="18"/>
        <v xml:space="preserve"> </v>
      </c>
      <c r="AF20" s="56">
        <f t="shared" si="19"/>
        <v>0</v>
      </c>
      <c r="AG20" s="56">
        <f t="shared" si="20"/>
        <v>0</v>
      </c>
      <c r="AH20" s="56">
        <f t="shared" si="21"/>
        <v>0</v>
      </c>
      <c r="AI20" s="57">
        <f t="shared" si="22"/>
        <v>0</v>
      </c>
      <c r="AK20" s="58">
        <f t="shared" si="3"/>
        <v>0</v>
      </c>
      <c r="AL20" s="58">
        <f t="shared" si="3"/>
        <v>0</v>
      </c>
      <c r="AM20" s="58">
        <f t="shared" si="3"/>
        <v>0</v>
      </c>
      <c r="AN20" s="58">
        <f t="shared" si="3"/>
        <v>0</v>
      </c>
    </row>
    <row r="21" spans="1:40" ht="14.1" customHeight="1" x14ac:dyDescent="0.25">
      <c r="A21" s="129"/>
      <c r="B21" s="132" t="s">
        <v>52</v>
      </c>
      <c r="C21" s="30" t="s">
        <v>53</v>
      </c>
      <c r="D21" s="31" t="s">
        <v>12</v>
      </c>
      <c r="E21" s="47"/>
      <c r="F21" s="47"/>
      <c r="G21" s="32">
        <f t="shared" si="0"/>
        <v>0</v>
      </c>
      <c r="H21" s="33">
        <f t="shared" si="1"/>
        <v>5.61</v>
      </c>
      <c r="I21" s="34">
        <f t="shared" si="23"/>
        <v>0</v>
      </c>
      <c r="J21" s="35"/>
      <c r="K21" s="49">
        <v>19.7</v>
      </c>
      <c r="L21" s="36">
        <f>IF($G$38=0,0,ROUND((750*35.211/1000)/Input!$D$19,2))</f>
        <v>0</v>
      </c>
      <c r="M21" s="33">
        <f t="shared" si="24"/>
        <v>0</v>
      </c>
      <c r="N21" s="37">
        <f t="shared" si="25"/>
        <v>0</v>
      </c>
      <c r="O21" s="38">
        <f t="shared" si="2"/>
        <v>0</v>
      </c>
      <c r="Q21" s="56" t="str">
        <f t="shared" si="7"/>
        <v xml:space="preserve"> </v>
      </c>
      <c r="R21" s="56" t="str">
        <f t="shared" si="8"/>
        <v xml:space="preserve"> </v>
      </c>
      <c r="S21" s="56" t="str">
        <f t="shared" si="9"/>
        <v xml:space="preserve"> </v>
      </c>
      <c r="T21" s="57" t="str">
        <f t="shared" si="10"/>
        <v xml:space="preserve"> </v>
      </c>
      <c r="V21" s="56">
        <f t="shared" si="11"/>
        <v>0</v>
      </c>
      <c r="W21" s="56">
        <f t="shared" si="12"/>
        <v>0</v>
      </c>
      <c r="X21" s="56">
        <f t="shared" si="13"/>
        <v>0</v>
      </c>
      <c r="Y21" s="57">
        <f t="shared" si="14"/>
        <v>0</v>
      </c>
      <c r="AA21" s="56" t="str">
        <f t="shared" si="15"/>
        <v xml:space="preserve"> </v>
      </c>
      <c r="AB21" s="56" t="str">
        <f t="shared" si="16"/>
        <v xml:space="preserve"> </v>
      </c>
      <c r="AC21" s="56" t="str">
        <f t="shared" si="17"/>
        <v xml:space="preserve"> </v>
      </c>
      <c r="AD21" s="57" t="str">
        <f t="shared" si="18"/>
        <v xml:space="preserve"> </v>
      </c>
      <c r="AF21" s="56" t="str">
        <f t="shared" si="19"/>
        <v xml:space="preserve"> </v>
      </c>
      <c r="AG21" s="56" t="str">
        <f t="shared" si="20"/>
        <v xml:space="preserve"> </v>
      </c>
      <c r="AH21" s="56" t="str">
        <f t="shared" si="21"/>
        <v xml:space="preserve"> </v>
      </c>
      <c r="AI21" s="57" t="str">
        <f t="shared" si="22"/>
        <v xml:space="preserve"> </v>
      </c>
      <c r="AK21" s="58">
        <f t="shared" si="3"/>
        <v>0</v>
      </c>
      <c r="AL21" s="58">
        <f t="shared" si="3"/>
        <v>0</v>
      </c>
      <c r="AM21" s="58">
        <f t="shared" si="3"/>
        <v>0</v>
      </c>
      <c r="AN21" s="58">
        <f t="shared" si="3"/>
        <v>0</v>
      </c>
    </row>
    <row r="22" spans="1:40" ht="14.1" customHeight="1" x14ac:dyDescent="0.25">
      <c r="A22" s="129"/>
      <c r="B22" s="132"/>
      <c r="C22" s="30" t="s">
        <v>54</v>
      </c>
      <c r="D22" s="31" t="s">
        <v>14</v>
      </c>
      <c r="E22" s="47"/>
      <c r="F22" s="47"/>
      <c r="G22" s="32">
        <f t="shared" si="0"/>
        <v>0</v>
      </c>
      <c r="H22" s="33">
        <f t="shared" si="1"/>
        <v>6.54</v>
      </c>
      <c r="I22" s="34">
        <f t="shared" si="23"/>
        <v>0</v>
      </c>
      <c r="J22" s="35"/>
      <c r="K22" s="49">
        <v>30.2</v>
      </c>
      <c r="L22" s="36">
        <f>IF($G$38=0,0,ROUND((750*35.211/1000)/Input!$D$19,2))</f>
        <v>0</v>
      </c>
      <c r="M22" s="33">
        <f t="shared" si="24"/>
        <v>0</v>
      </c>
      <c r="N22" s="37">
        <f t="shared" si="25"/>
        <v>0</v>
      </c>
      <c r="O22" s="38">
        <f t="shared" si="2"/>
        <v>0</v>
      </c>
      <c r="Q22" s="56" t="str">
        <f t="shared" si="7"/>
        <v xml:space="preserve"> </v>
      </c>
      <c r="R22" s="56" t="str">
        <f t="shared" si="8"/>
        <v xml:space="preserve"> </v>
      </c>
      <c r="S22" s="56" t="str">
        <f t="shared" si="9"/>
        <v xml:space="preserve"> </v>
      </c>
      <c r="T22" s="57" t="str">
        <f t="shared" si="10"/>
        <v xml:space="preserve"> </v>
      </c>
      <c r="V22" s="56" t="str">
        <f t="shared" si="11"/>
        <v xml:space="preserve"> </v>
      </c>
      <c r="W22" s="56" t="str">
        <f t="shared" si="12"/>
        <v xml:space="preserve"> </v>
      </c>
      <c r="X22" s="56" t="str">
        <f t="shared" si="13"/>
        <v xml:space="preserve"> </v>
      </c>
      <c r="Y22" s="57" t="str">
        <f t="shared" si="14"/>
        <v xml:space="preserve"> </v>
      </c>
      <c r="AA22" s="56">
        <f t="shared" si="15"/>
        <v>0</v>
      </c>
      <c r="AB22" s="56">
        <f t="shared" si="16"/>
        <v>0</v>
      </c>
      <c r="AC22" s="56">
        <f t="shared" si="17"/>
        <v>0</v>
      </c>
      <c r="AD22" s="57">
        <f t="shared" si="18"/>
        <v>0</v>
      </c>
      <c r="AF22" s="56" t="str">
        <f t="shared" si="19"/>
        <v xml:space="preserve"> </v>
      </c>
      <c r="AG22" s="56" t="str">
        <f t="shared" si="20"/>
        <v xml:space="preserve"> </v>
      </c>
      <c r="AH22" s="56" t="str">
        <f t="shared" si="21"/>
        <v xml:space="preserve"> </v>
      </c>
      <c r="AI22" s="57" t="str">
        <f t="shared" si="22"/>
        <v xml:space="preserve"> </v>
      </c>
      <c r="AK22" s="58">
        <f t="shared" si="3"/>
        <v>0</v>
      </c>
      <c r="AL22" s="58">
        <f t="shared" si="3"/>
        <v>0</v>
      </c>
      <c r="AM22" s="58">
        <f t="shared" si="3"/>
        <v>0</v>
      </c>
      <c r="AN22" s="58">
        <f t="shared" si="3"/>
        <v>0</v>
      </c>
    </row>
    <row r="23" spans="1:40" ht="14.1" customHeight="1" x14ac:dyDescent="0.25">
      <c r="A23" s="129"/>
      <c r="B23" s="132" t="s">
        <v>55</v>
      </c>
      <c r="C23" s="30" t="s">
        <v>56</v>
      </c>
      <c r="D23" s="31" t="s">
        <v>12</v>
      </c>
      <c r="E23" s="47"/>
      <c r="F23" s="47"/>
      <c r="G23" s="32">
        <f t="shared" si="0"/>
        <v>0</v>
      </c>
      <c r="H23" s="33">
        <f t="shared" si="1"/>
        <v>5.61</v>
      </c>
      <c r="I23" s="34">
        <f t="shared" si="23"/>
        <v>0</v>
      </c>
      <c r="J23" s="35"/>
      <c r="K23" s="49">
        <v>15.7</v>
      </c>
      <c r="L23" s="36">
        <f>IF($G$38=0,0,ROUND((750*35.211/1000)/Input!$D$19,2))</f>
        <v>0</v>
      </c>
      <c r="M23" s="33">
        <f t="shared" si="24"/>
        <v>0</v>
      </c>
      <c r="N23" s="37">
        <f t="shared" si="25"/>
        <v>0</v>
      </c>
      <c r="O23" s="38">
        <f t="shared" si="2"/>
        <v>0</v>
      </c>
      <c r="Q23" s="56" t="str">
        <f t="shared" si="7"/>
        <v xml:space="preserve"> </v>
      </c>
      <c r="R23" s="56" t="str">
        <f t="shared" si="8"/>
        <v xml:space="preserve"> </v>
      </c>
      <c r="S23" s="56" t="str">
        <f t="shared" si="9"/>
        <v xml:space="preserve"> </v>
      </c>
      <c r="T23" s="57" t="str">
        <f t="shared" si="10"/>
        <v xml:space="preserve"> </v>
      </c>
      <c r="V23" s="56">
        <f t="shared" si="11"/>
        <v>0</v>
      </c>
      <c r="W23" s="56">
        <f t="shared" si="12"/>
        <v>0</v>
      </c>
      <c r="X23" s="56">
        <f t="shared" si="13"/>
        <v>0</v>
      </c>
      <c r="Y23" s="57">
        <f t="shared" si="14"/>
        <v>0</v>
      </c>
      <c r="AA23" s="56" t="str">
        <f t="shared" si="15"/>
        <v xml:space="preserve"> </v>
      </c>
      <c r="AB23" s="56" t="str">
        <f t="shared" si="16"/>
        <v xml:space="preserve"> </v>
      </c>
      <c r="AC23" s="56" t="str">
        <f t="shared" si="17"/>
        <v xml:space="preserve"> </v>
      </c>
      <c r="AD23" s="57" t="str">
        <f t="shared" si="18"/>
        <v xml:space="preserve"> </v>
      </c>
      <c r="AF23" s="56" t="str">
        <f t="shared" si="19"/>
        <v xml:space="preserve"> </v>
      </c>
      <c r="AG23" s="56" t="str">
        <f t="shared" si="20"/>
        <v xml:space="preserve"> </v>
      </c>
      <c r="AH23" s="56" t="str">
        <f t="shared" si="21"/>
        <v xml:space="preserve"> </v>
      </c>
      <c r="AI23" s="57" t="str">
        <f t="shared" si="22"/>
        <v xml:space="preserve"> </v>
      </c>
      <c r="AK23" s="58">
        <f t="shared" si="3"/>
        <v>0</v>
      </c>
      <c r="AL23" s="58">
        <f t="shared" si="3"/>
        <v>0</v>
      </c>
      <c r="AM23" s="58">
        <f t="shared" si="3"/>
        <v>0</v>
      </c>
      <c r="AN23" s="58">
        <f t="shared" si="3"/>
        <v>0</v>
      </c>
    </row>
    <row r="24" spans="1:40" ht="14.1" customHeight="1" x14ac:dyDescent="0.25">
      <c r="A24" s="129"/>
      <c r="B24" s="132"/>
      <c r="C24" s="30" t="s">
        <v>57</v>
      </c>
      <c r="D24" s="31" t="s">
        <v>14</v>
      </c>
      <c r="E24" s="47"/>
      <c r="F24" s="47"/>
      <c r="G24" s="32">
        <f t="shared" si="0"/>
        <v>0</v>
      </c>
      <c r="H24" s="33">
        <f t="shared" si="1"/>
        <v>6.54</v>
      </c>
      <c r="I24" s="34">
        <f t="shared" si="23"/>
        <v>0</v>
      </c>
      <c r="J24" s="35"/>
      <c r="K24" s="49">
        <v>30.2</v>
      </c>
      <c r="L24" s="36">
        <f>IF($G$38=0,0,ROUND((750*35.211/1000)/Input!$D$19,2))</f>
        <v>0</v>
      </c>
      <c r="M24" s="33">
        <f t="shared" si="24"/>
        <v>0</v>
      </c>
      <c r="N24" s="37">
        <f t="shared" si="25"/>
        <v>0</v>
      </c>
      <c r="O24" s="38">
        <f t="shared" si="2"/>
        <v>0</v>
      </c>
      <c r="Q24" s="56" t="str">
        <f t="shared" si="7"/>
        <v xml:space="preserve"> </v>
      </c>
      <c r="R24" s="56" t="str">
        <f t="shared" si="8"/>
        <v xml:space="preserve"> </v>
      </c>
      <c r="S24" s="56" t="str">
        <f t="shared" si="9"/>
        <v xml:space="preserve"> </v>
      </c>
      <c r="T24" s="57" t="str">
        <f t="shared" si="10"/>
        <v xml:space="preserve"> </v>
      </c>
      <c r="V24" s="56" t="str">
        <f t="shared" si="11"/>
        <v xml:space="preserve"> </v>
      </c>
      <c r="W24" s="56" t="str">
        <f t="shared" si="12"/>
        <v xml:space="preserve"> </v>
      </c>
      <c r="X24" s="56" t="str">
        <f t="shared" si="13"/>
        <v xml:space="preserve"> </v>
      </c>
      <c r="Y24" s="57" t="str">
        <f t="shared" si="14"/>
        <v xml:space="preserve"> </v>
      </c>
      <c r="AA24" s="56">
        <f t="shared" si="15"/>
        <v>0</v>
      </c>
      <c r="AB24" s="56">
        <f t="shared" si="16"/>
        <v>0</v>
      </c>
      <c r="AC24" s="56">
        <f t="shared" si="17"/>
        <v>0</v>
      </c>
      <c r="AD24" s="57">
        <f t="shared" si="18"/>
        <v>0</v>
      </c>
      <c r="AF24" s="56" t="str">
        <f t="shared" si="19"/>
        <v xml:space="preserve"> </v>
      </c>
      <c r="AG24" s="56" t="str">
        <f t="shared" si="20"/>
        <v xml:space="preserve"> </v>
      </c>
      <c r="AH24" s="56" t="str">
        <f t="shared" si="21"/>
        <v xml:space="preserve"> </v>
      </c>
      <c r="AI24" s="57" t="str">
        <f t="shared" si="22"/>
        <v xml:space="preserve"> </v>
      </c>
      <c r="AK24" s="58">
        <f t="shared" si="3"/>
        <v>0</v>
      </c>
      <c r="AL24" s="58">
        <f t="shared" si="3"/>
        <v>0</v>
      </c>
      <c r="AM24" s="58">
        <f t="shared" si="3"/>
        <v>0</v>
      </c>
      <c r="AN24" s="58">
        <f t="shared" si="3"/>
        <v>0</v>
      </c>
    </row>
    <row r="25" spans="1:40" ht="14.1" customHeight="1" x14ac:dyDescent="0.25">
      <c r="A25" s="129"/>
      <c r="B25" s="121" t="s">
        <v>58</v>
      </c>
      <c r="C25" s="30" t="s">
        <v>59</v>
      </c>
      <c r="D25" s="31" t="s">
        <v>157</v>
      </c>
      <c r="E25" s="47"/>
      <c r="F25" s="47"/>
      <c r="G25" s="32">
        <f t="shared" si="0"/>
        <v>0</v>
      </c>
      <c r="H25" s="33">
        <f t="shared" si="1"/>
        <v>4.67</v>
      </c>
      <c r="I25" s="34">
        <f t="shared" si="23"/>
        <v>0</v>
      </c>
      <c r="J25" s="35"/>
      <c r="K25" s="49">
        <v>13.7</v>
      </c>
      <c r="L25" s="36">
        <f>IF($G$38=0,0,ROUND((750*35.211/1000)/Input!$D$19,2))</f>
        <v>0</v>
      </c>
      <c r="M25" s="33">
        <f t="shared" si="24"/>
        <v>0</v>
      </c>
      <c r="N25" s="37">
        <f t="shared" si="25"/>
        <v>0</v>
      </c>
      <c r="O25" s="38">
        <f t="shared" si="2"/>
        <v>0</v>
      </c>
      <c r="Q25" s="56">
        <f t="shared" si="7"/>
        <v>0</v>
      </c>
      <c r="R25" s="56">
        <f t="shared" si="8"/>
        <v>0</v>
      </c>
      <c r="S25" s="56">
        <f t="shared" si="9"/>
        <v>0</v>
      </c>
      <c r="T25" s="57">
        <f t="shared" si="10"/>
        <v>0</v>
      </c>
      <c r="V25" s="56" t="str">
        <f t="shared" si="11"/>
        <v xml:space="preserve"> </v>
      </c>
      <c r="W25" s="56" t="str">
        <f t="shared" si="12"/>
        <v xml:space="preserve"> </v>
      </c>
      <c r="X25" s="56" t="str">
        <f t="shared" si="13"/>
        <v xml:space="preserve"> </v>
      </c>
      <c r="Y25" s="57" t="str">
        <f t="shared" si="14"/>
        <v xml:space="preserve"> </v>
      </c>
      <c r="AA25" s="56" t="str">
        <f t="shared" si="15"/>
        <v xml:space="preserve"> </v>
      </c>
      <c r="AB25" s="56" t="str">
        <f t="shared" si="16"/>
        <v xml:space="preserve"> </v>
      </c>
      <c r="AC25" s="56" t="str">
        <f t="shared" si="17"/>
        <v xml:space="preserve"> </v>
      </c>
      <c r="AD25" s="57" t="str">
        <f t="shared" si="18"/>
        <v xml:space="preserve"> </v>
      </c>
      <c r="AF25" s="56" t="str">
        <f t="shared" si="19"/>
        <v xml:space="preserve"> </v>
      </c>
      <c r="AG25" s="56" t="str">
        <f t="shared" si="20"/>
        <v xml:space="preserve"> </v>
      </c>
      <c r="AH25" s="56" t="str">
        <f t="shared" si="21"/>
        <v xml:space="preserve"> </v>
      </c>
      <c r="AI25" s="57" t="str">
        <f t="shared" si="22"/>
        <v xml:space="preserve"> </v>
      </c>
      <c r="AK25" s="58">
        <f t="shared" si="3"/>
        <v>0</v>
      </c>
      <c r="AL25" s="58">
        <f t="shared" si="3"/>
        <v>0</v>
      </c>
      <c r="AM25" s="58">
        <f t="shared" si="3"/>
        <v>0</v>
      </c>
      <c r="AN25" s="58">
        <f t="shared" si="3"/>
        <v>0</v>
      </c>
    </row>
    <row r="26" spans="1:40" ht="14.1" customHeight="1" x14ac:dyDescent="0.25">
      <c r="A26" s="129"/>
      <c r="B26" s="122"/>
      <c r="C26" s="30" t="s">
        <v>149</v>
      </c>
      <c r="D26" s="31" t="s">
        <v>157</v>
      </c>
      <c r="E26" s="47"/>
      <c r="F26" s="47"/>
      <c r="G26" s="32">
        <f t="shared" ref="G26" si="80">E26-F26</f>
        <v>0</v>
      </c>
      <c r="H26" s="33">
        <f t="shared" ref="H26" si="81">IF(D26=0,0,VLOOKUP($D26,liquor,3))</f>
        <v>4.67</v>
      </c>
      <c r="I26" s="34">
        <f t="shared" ref="I26" si="82">ROUND(G26*H26*L26,2)</f>
        <v>0</v>
      </c>
      <c r="J26" s="35"/>
      <c r="K26" s="49">
        <v>13.7</v>
      </c>
      <c r="L26" s="36">
        <f>IF($G$38=0,0,ROUND((750*35.211/1000)/Input!$D$19,2))</f>
        <v>0</v>
      </c>
      <c r="M26" s="33">
        <f t="shared" ref="M26" si="83">IF(L26=0,0,K26/L26)</f>
        <v>0</v>
      </c>
      <c r="N26" s="37">
        <f t="shared" ref="N26" si="84">ROUND(K26*G26,2)</f>
        <v>0</v>
      </c>
      <c r="O26" s="38">
        <f t="shared" ref="O26" si="85">IF(N26=0,0,N26/I26)</f>
        <v>0</v>
      </c>
      <c r="Q26" s="56">
        <f t="shared" si="7"/>
        <v>0</v>
      </c>
      <c r="R26" s="56">
        <f t="shared" ref="R26" si="86">IF($D26=Q$3,$F26," ")</f>
        <v>0</v>
      </c>
      <c r="S26" s="56">
        <f t="shared" ref="S26" si="87">IF(Q26=" "," ",Q26-R26)</f>
        <v>0</v>
      </c>
      <c r="T26" s="57">
        <f t="shared" ref="T26" si="88">IF($D26=Q$3,$I26," ")</f>
        <v>0</v>
      </c>
      <c r="V26" s="56" t="str">
        <f t="shared" si="11"/>
        <v xml:space="preserve"> </v>
      </c>
      <c r="W26" s="56" t="str">
        <f t="shared" ref="W26" si="89">IF($D26=V$3,$F26," ")</f>
        <v xml:space="preserve"> </v>
      </c>
      <c r="X26" s="56" t="str">
        <f t="shared" ref="X26" si="90">IF(V26=" "," ",V26-W26)</f>
        <v xml:space="preserve"> </v>
      </c>
      <c r="Y26" s="57" t="str">
        <f t="shared" ref="Y26" si="91">IF($D26=V$3,$I26," ")</f>
        <v xml:space="preserve"> </v>
      </c>
      <c r="AA26" s="56" t="str">
        <f t="shared" si="15"/>
        <v xml:space="preserve"> </v>
      </c>
      <c r="AB26" s="56" t="str">
        <f t="shared" ref="AB26" si="92">IF($D26=AA$3,$F26," ")</f>
        <v xml:space="preserve"> </v>
      </c>
      <c r="AC26" s="56" t="str">
        <f t="shared" ref="AC26" si="93">IF(AA26=" "," ",AA26-AB26)</f>
        <v xml:space="preserve"> </v>
      </c>
      <c r="AD26" s="57" t="str">
        <f t="shared" ref="AD26" si="94">IF($D26=AA$3,$I26," ")</f>
        <v xml:space="preserve"> </v>
      </c>
      <c r="AF26" s="56" t="str">
        <f t="shared" si="19"/>
        <v xml:space="preserve"> </v>
      </c>
      <c r="AG26" s="56" t="str">
        <f t="shared" ref="AG26" si="95">IF($D26=AF$3,$F26," ")</f>
        <v xml:space="preserve"> </v>
      </c>
      <c r="AH26" s="56" t="str">
        <f t="shared" ref="AH26" si="96">IF(AF26=" "," ",AF26-AG26)</f>
        <v xml:space="preserve"> </v>
      </c>
      <c r="AI26" s="57" t="str">
        <f t="shared" ref="AI26" si="97">IF($D26=AF$3,$I26," ")</f>
        <v xml:space="preserve"> </v>
      </c>
      <c r="AK26" s="58">
        <f t="shared" si="3"/>
        <v>0</v>
      </c>
      <c r="AL26" s="58">
        <f t="shared" si="3"/>
        <v>0</v>
      </c>
      <c r="AM26" s="58">
        <f t="shared" si="3"/>
        <v>0</v>
      </c>
      <c r="AN26" s="58">
        <f t="shared" si="3"/>
        <v>0</v>
      </c>
    </row>
    <row r="27" spans="1:40" ht="14.1" customHeight="1" x14ac:dyDescent="0.25">
      <c r="A27" s="129"/>
      <c r="B27" s="122"/>
      <c r="C27" s="30" t="s">
        <v>60</v>
      </c>
      <c r="D27" s="31" t="s">
        <v>157</v>
      </c>
      <c r="E27" s="47"/>
      <c r="F27" s="47"/>
      <c r="G27" s="32">
        <f t="shared" si="0"/>
        <v>0</v>
      </c>
      <c r="H27" s="33">
        <f t="shared" si="1"/>
        <v>4.67</v>
      </c>
      <c r="I27" s="34">
        <f t="shared" si="23"/>
        <v>0</v>
      </c>
      <c r="J27" s="35"/>
      <c r="K27" s="49">
        <v>10.7</v>
      </c>
      <c r="L27" s="36">
        <f>IF($G$38=0,0,ROUND((750*35.211/1000)/Input!$D$19,2))</f>
        <v>0</v>
      </c>
      <c r="M27" s="33">
        <f t="shared" si="24"/>
        <v>0</v>
      </c>
      <c r="N27" s="37">
        <f t="shared" si="25"/>
        <v>0</v>
      </c>
      <c r="O27" s="38">
        <f t="shared" si="2"/>
        <v>0</v>
      </c>
      <c r="Q27" s="56">
        <f t="shared" si="7"/>
        <v>0</v>
      </c>
      <c r="R27" s="56">
        <f t="shared" si="8"/>
        <v>0</v>
      </c>
      <c r="S27" s="56">
        <f t="shared" si="9"/>
        <v>0</v>
      </c>
      <c r="T27" s="57">
        <f t="shared" si="10"/>
        <v>0</v>
      </c>
      <c r="V27" s="56" t="str">
        <f t="shared" si="11"/>
        <v xml:space="preserve"> </v>
      </c>
      <c r="W27" s="56" t="str">
        <f t="shared" si="12"/>
        <v xml:space="preserve"> </v>
      </c>
      <c r="X27" s="56" t="str">
        <f t="shared" si="13"/>
        <v xml:space="preserve"> </v>
      </c>
      <c r="Y27" s="57" t="str">
        <f t="shared" si="14"/>
        <v xml:space="preserve"> </v>
      </c>
      <c r="AA27" s="56" t="str">
        <f t="shared" si="15"/>
        <v xml:space="preserve"> </v>
      </c>
      <c r="AB27" s="56" t="str">
        <f t="shared" si="16"/>
        <v xml:space="preserve"> </v>
      </c>
      <c r="AC27" s="56" t="str">
        <f t="shared" si="17"/>
        <v xml:space="preserve"> </v>
      </c>
      <c r="AD27" s="57" t="str">
        <f t="shared" si="18"/>
        <v xml:space="preserve"> </v>
      </c>
      <c r="AF27" s="56" t="str">
        <f t="shared" si="19"/>
        <v xml:space="preserve"> </v>
      </c>
      <c r="AG27" s="56" t="str">
        <f t="shared" si="20"/>
        <v xml:space="preserve"> </v>
      </c>
      <c r="AH27" s="56" t="str">
        <f t="shared" si="21"/>
        <v xml:space="preserve"> </v>
      </c>
      <c r="AI27" s="57" t="str">
        <f t="shared" si="22"/>
        <v xml:space="preserve"> </v>
      </c>
      <c r="AK27" s="58">
        <f t="shared" si="3"/>
        <v>0</v>
      </c>
      <c r="AL27" s="58">
        <f t="shared" si="3"/>
        <v>0</v>
      </c>
      <c r="AM27" s="58">
        <f t="shared" si="3"/>
        <v>0</v>
      </c>
      <c r="AN27" s="58">
        <f t="shared" si="3"/>
        <v>0</v>
      </c>
    </row>
    <row r="28" spans="1:40" ht="14.1" customHeight="1" x14ac:dyDescent="0.25">
      <c r="A28" s="129"/>
      <c r="B28" s="122"/>
      <c r="C28" s="30" t="s">
        <v>61</v>
      </c>
      <c r="D28" s="31" t="s">
        <v>157</v>
      </c>
      <c r="E28" s="47"/>
      <c r="F28" s="47"/>
      <c r="G28" s="32">
        <f>E28-F28</f>
        <v>0</v>
      </c>
      <c r="H28" s="33">
        <f>IF(D28=0,0,VLOOKUP($D28,liquor,3))</f>
        <v>4.67</v>
      </c>
      <c r="I28" s="34">
        <f>ROUND(G28*H28*L28,2)</f>
        <v>0</v>
      </c>
      <c r="J28" s="35"/>
      <c r="K28" s="49">
        <v>9.1999999999999993</v>
      </c>
      <c r="L28" s="36">
        <f>IF($G$38=0,0,ROUND((750*35.211/1000)/Input!$D$19,2))</f>
        <v>0</v>
      </c>
      <c r="M28" s="33">
        <f>IF(L28=0,0,K28/L28)</f>
        <v>0</v>
      </c>
      <c r="N28" s="37">
        <f>ROUND(K28*G28,2)</f>
        <v>0</v>
      </c>
      <c r="O28" s="38">
        <f>IF(N28=0,0,N28/I28)</f>
        <v>0</v>
      </c>
      <c r="Q28" s="56">
        <f t="shared" si="7"/>
        <v>0</v>
      </c>
      <c r="R28" s="56">
        <f t="shared" si="8"/>
        <v>0</v>
      </c>
      <c r="S28" s="56">
        <f t="shared" si="9"/>
        <v>0</v>
      </c>
      <c r="T28" s="57">
        <f t="shared" si="10"/>
        <v>0</v>
      </c>
      <c r="V28" s="56" t="str">
        <f t="shared" si="11"/>
        <v xml:space="preserve"> </v>
      </c>
      <c r="W28" s="56" t="str">
        <f t="shared" si="12"/>
        <v xml:space="preserve"> </v>
      </c>
      <c r="X28" s="56" t="str">
        <f t="shared" si="13"/>
        <v xml:space="preserve"> </v>
      </c>
      <c r="Y28" s="57" t="str">
        <f t="shared" si="14"/>
        <v xml:space="preserve"> </v>
      </c>
      <c r="AA28" s="56" t="str">
        <f t="shared" si="15"/>
        <v xml:space="preserve"> </v>
      </c>
      <c r="AB28" s="56" t="str">
        <f t="shared" si="16"/>
        <v xml:space="preserve"> </v>
      </c>
      <c r="AC28" s="56" t="str">
        <f t="shared" si="17"/>
        <v xml:space="preserve"> </v>
      </c>
      <c r="AD28" s="57" t="str">
        <f t="shared" si="18"/>
        <v xml:space="preserve"> </v>
      </c>
      <c r="AF28" s="56" t="str">
        <f t="shared" si="19"/>
        <v xml:space="preserve"> </v>
      </c>
      <c r="AG28" s="56" t="str">
        <f t="shared" si="20"/>
        <v xml:space="preserve"> </v>
      </c>
      <c r="AH28" s="56" t="str">
        <f t="shared" si="21"/>
        <v xml:space="preserve"> </v>
      </c>
      <c r="AI28" s="57" t="str">
        <f t="shared" si="22"/>
        <v xml:space="preserve"> </v>
      </c>
      <c r="AK28" s="58">
        <f t="shared" si="3"/>
        <v>0</v>
      </c>
      <c r="AL28" s="58">
        <f t="shared" si="3"/>
        <v>0</v>
      </c>
      <c r="AM28" s="58">
        <f t="shared" si="3"/>
        <v>0</v>
      </c>
      <c r="AN28" s="58">
        <f t="shared" si="3"/>
        <v>0</v>
      </c>
    </row>
    <row r="29" spans="1:40" ht="14.1" customHeight="1" x14ac:dyDescent="0.25">
      <c r="A29" s="129"/>
      <c r="B29" s="123" t="s">
        <v>123</v>
      </c>
      <c r="C29" s="105" t="s">
        <v>160</v>
      </c>
      <c r="D29" s="31" t="s">
        <v>12</v>
      </c>
      <c r="E29" s="47"/>
      <c r="F29" s="47"/>
      <c r="G29" s="32">
        <f>E29-F29</f>
        <v>0</v>
      </c>
      <c r="H29" s="33">
        <f>IF(D29=0,0,VLOOKUP($D29,liquor,3))</f>
        <v>5.61</v>
      </c>
      <c r="I29" s="34">
        <f>ROUND(G29*H29*L29,2)</f>
        <v>0</v>
      </c>
      <c r="J29" s="35"/>
      <c r="K29" s="49">
        <v>16.7</v>
      </c>
      <c r="L29" s="36">
        <f>IF($G$38=0,0,ROUND((750*35.211/1000)/Input!$D$19,2))</f>
        <v>0</v>
      </c>
      <c r="M29" s="33">
        <f>IF(L29=0,0,K29/L29)</f>
        <v>0</v>
      </c>
      <c r="N29" s="37">
        <f>ROUND(K29*G29,2)</f>
        <v>0</v>
      </c>
      <c r="O29" s="38">
        <f>IF(N29=0,0,N29/I29)</f>
        <v>0</v>
      </c>
      <c r="Q29" s="56" t="str">
        <f t="shared" si="7"/>
        <v xml:space="preserve"> </v>
      </c>
      <c r="R29" s="56" t="str">
        <f t="shared" si="8"/>
        <v xml:space="preserve"> </v>
      </c>
      <c r="S29" s="56" t="str">
        <f t="shared" si="9"/>
        <v xml:space="preserve"> </v>
      </c>
      <c r="T29" s="57" t="str">
        <f t="shared" si="10"/>
        <v xml:space="preserve"> </v>
      </c>
      <c r="V29" s="56">
        <f t="shared" si="11"/>
        <v>0</v>
      </c>
      <c r="W29" s="56">
        <f t="shared" si="12"/>
        <v>0</v>
      </c>
      <c r="X29" s="56">
        <f t="shared" si="13"/>
        <v>0</v>
      </c>
      <c r="Y29" s="57">
        <f t="shared" si="14"/>
        <v>0</v>
      </c>
      <c r="AA29" s="56" t="str">
        <f t="shared" si="15"/>
        <v xml:space="preserve"> </v>
      </c>
      <c r="AB29" s="56" t="str">
        <f t="shared" si="16"/>
        <v xml:space="preserve"> </v>
      </c>
      <c r="AC29" s="56" t="str">
        <f t="shared" si="17"/>
        <v xml:space="preserve"> </v>
      </c>
      <c r="AD29" s="57" t="str">
        <f t="shared" si="18"/>
        <v xml:space="preserve"> </v>
      </c>
      <c r="AF29" s="56" t="str">
        <f t="shared" si="19"/>
        <v xml:space="preserve"> </v>
      </c>
      <c r="AG29" s="56" t="str">
        <f t="shared" si="20"/>
        <v xml:space="preserve"> </v>
      </c>
      <c r="AH29" s="56" t="str">
        <f t="shared" si="21"/>
        <v xml:space="preserve"> </v>
      </c>
      <c r="AI29" s="57" t="str">
        <f t="shared" si="22"/>
        <v xml:space="preserve"> </v>
      </c>
      <c r="AK29" s="58">
        <f t="shared" si="3"/>
        <v>0</v>
      </c>
      <c r="AL29" s="58">
        <f t="shared" si="3"/>
        <v>0</v>
      </c>
      <c r="AM29" s="58">
        <f t="shared" si="3"/>
        <v>0</v>
      </c>
      <c r="AN29" s="58">
        <f t="shared" si="3"/>
        <v>0</v>
      </c>
    </row>
    <row r="30" spans="1:40" ht="14.1" customHeight="1" x14ac:dyDescent="0.25">
      <c r="A30" s="129"/>
      <c r="B30" s="124"/>
      <c r="C30" s="48" t="s">
        <v>150</v>
      </c>
      <c r="D30" s="31" t="s">
        <v>134</v>
      </c>
      <c r="E30" s="47"/>
      <c r="F30" s="47"/>
      <c r="G30" s="32">
        <f>E30-F30</f>
        <v>0</v>
      </c>
      <c r="H30" s="33">
        <f>IF(D30=0,0,VLOOKUP($D30,liquor,3))</f>
        <v>8.41</v>
      </c>
      <c r="I30" s="34">
        <f>ROUND(G30*H30*L30,2)</f>
        <v>0</v>
      </c>
      <c r="J30" s="35"/>
      <c r="K30" s="49">
        <v>39.700000000000003</v>
      </c>
      <c r="L30" s="36">
        <f>IF($G$38=0,0,ROUND((750*35.211/1000)/Input!$D$19,2))</f>
        <v>0</v>
      </c>
      <c r="M30" s="33">
        <f>IF(L30=0,0,K30/L30)</f>
        <v>0</v>
      </c>
      <c r="N30" s="37">
        <f>ROUND(K30*G30,2)</f>
        <v>0</v>
      </c>
      <c r="O30" s="38">
        <f>IF(N30=0,0,N30/I30)</f>
        <v>0</v>
      </c>
      <c r="Q30" s="56" t="str">
        <f t="shared" si="7"/>
        <v xml:space="preserve"> </v>
      </c>
      <c r="R30" s="56" t="str">
        <f t="shared" si="8"/>
        <v xml:space="preserve"> </v>
      </c>
      <c r="S30" s="56" t="str">
        <f t="shared" si="9"/>
        <v xml:space="preserve"> </v>
      </c>
      <c r="T30" s="57" t="str">
        <f t="shared" si="10"/>
        <v xml:space="preserve"> </v>
      </c>
      <c r="V30" s="56" t="str">
        <f t="shared" si="11"/>
        <v xml:space="preserve"> </v>
      </c>
      <c r="W30" s="56" t="str">
        <f t="shared" si="12"/>
        <v xml:space="preserve"> </v>
      </c>
      <c r="X30" s="56" t="str">
        <f t="shared" si="13"/>
        <v xml:space="preserve"> </v>
      </c>
      <c r="Y30" s="57" t="str">
        <f t="shared" si="14"/>
        <v xml:space="preserve"> </v>
      </c>
      <c r="AA30" s="56" t="str">
        <f t="shared" si="15"/>
        <v xml:space="preserve"> </v>
      </c>
      <c r="AB30" s="56" t="str">
        <f t="shared" si="16"/>
        <v xml:space="preserve"> </v>
      </c>
      <c r="AC30" s="56" t="str">
        <f t="shared" si="17"/>
        <v xml:space="preserve"> </v>
      </c>
      <c r="AD30" s="57" t="str">
        <f t="shared" si="18"/>
        <v xml:space="preserve"> </v>
      </c>
      <c r="AF30" s="56">
        <f t="shared" si="19"/>
        <v>0</v>
      </c>
      <c r="AG30" s="56">
        <f t="shared" si="20"/>
        <v>0</v>
      </c>
      <c r="AH30" s="56">
        <f t="shared" si="21"/>
        <v>0</v>
      </c>
      <c r="AI30" s="57">
        <f t="shared" si="22"/>
        <v>0</v>
      </c>
      <c r="AK30" s="58">
        <f t="shared" si="3"/>
        <v>0</v>
      </c>
      <c r="AL30" s="58">
        <f t="shared" si="3"/>
        <v>0</v>
      </c>
      <c r="AM30" s="58">
        <f t="shared" si="3"/>
        <v>0</v>
      </c>
      <c r="AN30" s="58">
        <f t="shared" si="3"/>
        <v>0</v>
      </c>
    </row>
    <row r="31" spans="1:40" ht="14.1" customHeight="1" x14ac:dyDescent="0.25">
      <c r="A31" s="129"/>
      <c r="B31" s="124"/>
      <c r="C31" s="105" t="s">
        <v>161</v>
      </c>
      <c r="D31" s="31" t="s">
        <v>14</v>
      </c>
      <c r="E31" s="47"/>
      <c r="F31" s="47"/>
      <c r="G31" s="32">
        <f>E31-F31</f>
        <v>0</v>
      </c>
      <c r="H31" s="33">
        <f>IF(D31=0,0,VLOOKUP($D31,liquor,3))</f>
        <v>6.54</v>
      </c>
      <c r="I31" s="34">
        <f>ROUND(G31*H31*L31,2)</f>
        <v>0</v>
      </c>
      <c r="J31" s="35"/>
      <c r="K31" s="49">
        <v>32.700000000000003</v>
      </c>
      <c r="L31" s="36">
        <f>IF($G$38=0,0,ROUND((750*35.211/1000)/Input!$D$19,2))</f>
        <v>0</v>
      </c>
      <c r="M31" s="33">
        <f>IF(L31=0,0,K31/L31)</f>
        <v>0</v>
      </c>
      <c r="N31" s="37">
        <f>ROUND(K31*G31,2)</f>
        <v>0</v>
      </c>
      <c r="O31" s="38">
        <f>IF(N31=0,0,N31/I31)</f>
        <v>0</v>
      </c>
      <c r="Q31" s="56" t="str">
        <f t="shared" si="7"/>
        <v xml:space="preserve"> </v>
      </c>
      <c r="R31" s="56" t="str">
        <f t="shared" si="8"/>
        <v xml:space="preserve"> </v>
      </c>
      <c r="S31" s="56" t="str">
        <f t="shared" si="9"/>
        <v xml:space="preserve"> </v>
      </c>
      <c r="T31" s="57" t="str">
        <f t="shared" si="10"/>
        <v xml:space="preserve"> </v>
      </c>
      <c r="V31" s="56" t="str">
        <f t="shared" si="11"/>
        <v xml:space="preserve"> </v>
      </c>
      <c r="W31" s="56" t="str">
        <f t="shared" si="12"/>
        <v xml:space="preserve"> </v>
      </c>
      <c r="X31" s="56" t="str">
        <f t="shared" si="13"/>
        <v xml:space="preserve"> </v>
      </c>
      <c r="Y31" s="57" t="str">
        <f t="shared" si="14"/>
        <v xml:space="preserve"> </v>
      </c>
      <c r="AA31" s="56">
        <f t="shared" si="15"/>
        <v>0</v>
      </c>
      <c r="AB31" s="56">
        <f t="shared" si="16"/>
        <v>0</v>
      </c>
      <c r="AC31" s="56">
        <f t="shared" si="17"/>
        <v>0</v>
      </c>
      <c r="AD31" s="57">
        <f t="shared" si="18"/>
        <v>0</v>
      </c>
      <c r="AF31" s="56" t="str">
        <f t="shared" si="19"/>
        <v xml:space="preserve"> </v>
      </c>
      <c r="AG31" s="56" t="str">
        <f t="shared" si="20"/>
        <v xml:space="preserve"> </v>
      </c>
      <c r="AH31" s="56" t="str">
        <f t="shared" si="21"/>
        <v xml:space="preserve"> </v>
      </c>
      <c r="AI31" s="57" t="str">
        <f t="shared" si="22"/>
        <v xml:space="preserve"> </v>
      </c>
      <c r="AK31" s="58">
        <f t="shared" si="3"/>
        <v>0</v>
      </c>
      <c r="AL31" s="58">
        <f t="shared" si="3"/>
        <v>0</v>
      </c>
      <c r="AM31" s="58">
        <f t="shared" si="3"/>
        <v>0</v>
      </c>
      <c r="AN31" s="58">
        <f t="shared" si="3"/>
        <v>0</v>
      </c>
    </row>
    <row r="32" spans="1:40" ht="14.1" customHeight="1" x14ac:dyDescent="0.25">
      <c r="A32" s="129"/>
      <c r="B32" s="125"/>
      <c r="C32" s="105" t="s">
        <v>162</v>
      </c>
      <c r="D32" s="31" t="s">
        <v>134</v>
      </c>
      <c r="E32" s="47"/>
      <c r="F32" s="47"/>
      <c r="G32" s="32">
        <f t="shared" si="0"/>
        <v>0</v>
      </c>
      <c r="H32" s="33">
        <f t="shared" si="1"/>
        <v>8.41</v>
      </c>
      <c r="I32" s="34">
        <f t="shared" si="23"/>
        <v>0</v>
      </c>
      <c r="J32" s="35"/>
      <c r="K32" s="49">
        <v>33.700000000000003</v>
      </c>
      <c r="L32" s="36">
        <f>IF($G$38=0,0,ROUND((750*35.211/1000)/Input!$D$19,2))</f>
        <v>0</v>
      </c>
      <c r="M32" s="33">
        <f>IF(L32=0,0,K32/L32)</f>
        <v>0</v>
      </c>
      <c r="N32" s="37">
        <f>ROUND(K32*G32,2)</f>
        <v>0</v>
      </c>
      <c r="O32" s="38">
        <f>IF(N32=0,0,N32/I32)</f>
        <v>0</v>
      </c>
      <c r="Q32" s="56" t="str">
        <f t="shared" si="7"/>
        <v xml:space="preserve"> </v>
      </c>
      <c r="R32" s="56" t="str">
        <f t="shared" si="8"/>
        <v xml:space="preserve"> </v>
      </c>
      <c r="S32" s="56" t="str">
        <f t="shared" si="9"/>
        <v xml:space="preserve"> </v>
      </c>
      <c r="T32" s="57" t="str">
        <f t="shared" si="10"/>
        <v xml:space="preserve"> </v>
      </c>
      <c r="V32" s="56" t="str">
        <f t="shared" si="11"/>
        <v xml:space="preserve"> </v>
      </c>
      <c r="W32" s="56" t="str">
        <f t="shared" si="12"/>
        <v xml:space="preserve"> </v>
      </c>
      <c r="X32" s="56" t="str">
        <f t="shared" si="13"/>
        <v xml:space="preserve"> </v>
      </c>
      <c r="Y32" s="57" t="str">
        <f t="shared" si="14"/>
        <v xml:space="preserve"> </v>
      </c>
      <c r="AA32" s="56" t="str">
        <f t="shared" si="15"/>
        <v xml:space="preserve"> </v>
      </c>
      <c r="AB32" s="56" t="str">
        <f t="shared" si="16"/>
        <v xml:space="preserve"> </v>
      </c>
      <c r="AC32" s="56" t="str">
        <f t="shared" si="17"/>
        <v xml:space="preserve"> </v>
      </c>
      <c r="AD32" s="57" t="str">
        <f t="shared" si="18"/>
        <v xml:space="preserve"> </v>
      </c>
      <c r="AF32" s="56">
        <f t="shared" si="19"/>
        <v>0</v>
      </c>
      <c r="AG32" s="56">
        <f t="shared" si="20"/>
        <v>0</v>
      </c>
      <c r="AH32" s="56">
        <f t="shared" si="21"/>
        <v>0</v>
      </c>
      <c r="AI32" s="57">
        <f t="shared" si="22"/>
        <v>0</v>
      </c>
      <c r="AK32" s="58">
        <f t="shared" si="3"/>
        <v>0</v>
      </c>
      <c r="AL32" s="58">
        <f t="shared" si="3"/>
        <v>0</v>
      </c>
      <c r="AM32" s="58">
        <f t="shared" si="3"/>
        <v>0</v>
      </c>
      <c r="AN32" s="58">
        <f t="shared" si="3"/>
        <v>0</v>
      </c>
    </row>
    <row r="33" spans="1:40" ht="14.1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</row>
    <row r="34" spans="1:40" ht="14.1" customHeight="1" x14ac:dyDescent="0.25">
      <c r="A34" s="35"/>
      <c r="B34" s="35"/>
      <c r="C34" s="40" t="s">
        <v>62</v>
      </c>
      <c r="D34" s="40" t="s">
        <v>157</v>
      </c>
      <c r="E34" s="32">
        <f>Q34</f>
        <v>0</v>
      </c>
      <c r="F34" s="32">
        <f>R34</f>
        <v>0</v>
      </c>
      <c r="G34" s="32">
        <f>S34</f>
        <v>0</v>
      </c>
      <c r="H34" s="33">
        <f>VLOOKUP($D34,liquor,3)</f>
        <v>4.67</v>
      </c>
      <c r="I34" s="34">
        <f>T34</f>
        <v>0</v>
      </c>
      <c r="J34" s="35"/>
      <c r="K34" s="35"/>
      <c r="L34" s="39">
        <f>L32</f>
        <v>0</v>
      </c>
      <c r="M34" s="35"/>
      <c r="N34" s="37">
        <f>AK34</f>
        <v>0</v>
      </c>
      <c r="O34" s="38">
        <f>IF(N34=0,0,N34/I34)</f>
        <v>0</v>
      </c>
      <c r="Q34" s="56">
        <f>SUM(Q6:Q33)</f>
        <v>0</v>
      </c>
      <c r="R34" s="56">
        <f>SUM(R6:R33)</f>
        <v>0</v>
      </c>
      <c r="S34" s="56">
        <f>Q34-R34</f>
        <v>0</v>
      </c>
      <c r="T34" s="57">
        <f>ROUND(ROUND(S34*$L34,0)*$H34,2)</f>
        <v>0</v>
      </c>
      <c r="AK34" s="58">
        <f>SUM(AK6:AK33)</f>
        <v>0</v>
      </c>
      <c r="AL34" s="58">
        <f>SUM(AL6:AL33)</f>
        <v>0</v>
      </c>
      <c r="AM34" s="58">
        <f>SUM(AM6:AM33)</f>
        <v>0</v>
      </c>
      <c r="AN34" s="58">
        <f>SUM(AN6:AN33)</f>
        <v>0</v>
      </c>
    </row>
    <row r="35" spans="1:40" ht="14.1" customHeight="1" x14ac:dyDescent="0.25">
      <c r="A35" s="35"/>
      <c r="B35" s="35"/>
      <c r="C35" s="35"/>
      <c r="D35" s="40" t="s">
        <v>12</v>
      </c>
      <c r="E35" s="32">
        <f>V35</f>
        <v>0</v>
      </c>
      <c r="F35" s="32">
        <f>W35</f>
        <v>0</v>
      </c>
      <c r="G35" s="32">
        <f>X35</f>
        <v>0</v>
      </c>
      <c r="H35" s="33">
        <f>VLOOKUP($D35,liquor,3)</f>
        <v>5.61</v>
      </c>
      <c r="I35" s="34">
        <f>Y35</f>
        <v>0</v>
      </c>
      <c r="J35" s="35"/>
      <c r="K35" s="35"/>
      <c r="L35" s="39">
        <f>L34</f>
        <v>0</v>
      </c>
      <c r="M35" s="35"/>
      <c r="N35" s="37">
        <f>AL34</f>
        <v>0</v>
      </c>
      <c r="O35" s="38">
        <f>IF(N35=0,0,N35/I35)</f>
        <v>0</v>
      </c>
      <c r="V35" s="56">
        <f>SUM(V6:V33)</f>
        <v>0</v>
      </c>
      <c r="W35" s="56">
        <f>SUM(W6:W33)</f>
        <v>0</v>
      </c>
      <c r="X35" s="56">
        <f>V35-W35</f>
        <v>0</v>
      </c>
      <c r="Y35" s="57">
        <f>ROUND(ROUND(X35*$L35,0)*$H35,2)</f>
        <v>0</v>
      </c>
    </row>
    <row r="36" spans="1:40" ht="14.1" customHeight="1" x14ac:dyDescent="0.25">
      <c r="A36" s="35"/>
      <c r="B36" s="35"/>
      <c r="C36" s="35"/>
      <c r="D36" s="40" t="s">
        <v>14</v>
      </c>
      <c r="E36" s="32">
        <f>AA36</f>
        <v>0</v>
      </c>
      <c r="F36" s="32">
        <f>AB36</f>
        <v>0</v>
      </c>
      <c r="G36" s="32">
        <f>AC36</f>
        <v>0</v>
      </c>
      <c r="H36" s="33">
        <f>VLOOKUP($D36,liquor,3)</f>
        <v>6.54</v>
      </c>
      <c r="I36" s="34">
        <f>AD36</f>
        <v>0</v>
      </c>
      <c r="J36" s="35"/>
      <c r="K36" s="35"/>
      <c r="L36" s="39">
        <f>L35</f>
        <v>0</v>
      </c>
      <c r="M36" s="35"/>
      <c r="N36" s="37">
        <f>AM34</f>
        <v>0</v>
      </c>
      <c r="O36" s="38">
        <f>IF(N36=0,0,N36/I36)</f>
        <v>0</v>
      </c>
      <c r="AA36" s="56">
        <f>SUM(AA6:AA33)</f>
        <v>0</v>
      </c>
      <c r="AB36" s="56">
        <f>SUM(AB6:AB33)</f>
        <v>0</v>
      </c>
      <c r="AC36" s="56">
        <f>AA36-AB36</f>
        <v>0</v>
      </c>
      <c r="AD36" s="57">
        <f>ROUND(ROUND(AC36*$L36,0)*$H36,2)</f>
        <v>0</v>
      </c>
      <c r="AF36" s="59"/>
      <c r="AG36" s="59"/>
      <c r="AH36" s="59"/>
      <c r="AI36" s="59"/>
    </row>
    <row r="37" spans="1:40" ht="14.1" customHeight="1" x14ac:dyDescent="0.25">
      <c r="A37" s="35"/>
      <c r="B37" s="35"/>
      <c r="C37" s="35"/>
      <c r="D37" s="40" t="s">
        <v>134</v>
      </c>
      <c r="E37" s="32">
        <f>AF37</f>
        <v>0</v>
      </c>
      <c r="F37" s="32">
        <f>AG37</f>
        <v>0</v>
      </c>
      <c r="G37" s="32">
        <f>AH37</f>
        <v>0</v>
      </c>
      <c r="H37" s="33">
        <f>VLOOKUP($D37,liquor,3)</f>
        <v>8.41</v>
      </c>
      <c r="I37" s="34">
        <f>AI37</f>
        <v>0</v>
      </c>
      <c r="J37" s="35"/>
      <c r="K37" s="35"/>
      <c r="L37" s="39">
        <f>L36</f>
        <v>0</v>
      </c>
      <c r="M37" s="35"/>
      <c r="N37" s="37">
        <f>AN34</f>
        <v>0</v>
      </c>
      <c r="O37" s="38">
        <f>IF(N37=0,0,N37/I37)</f>
        <v>0</v>
      </c>
      <c r="AA37" s="60"/>
      <c r="AB37" s="60"/>
      <c r="AC37" s="60"/>
      <c r="AD37" s="59"/>
      <c r="AF37" s="56">
        <f>SUM(AF6:AF33)</f>
        <v>0</v>
      </c>
      <c r="AG37" s="56">
        <f>SUM(AG6:AG33)</f>
        <v>0</v>
      </c>
      <c r="AH37" s="56">
        <f>SUM(AH6:AH33)</f>
        <v>0</v>
      </c>
      <c r="AI37" s="57">
        <f>ROUND(ROUND(AH37*$L37,0)*$H37,2)</f>
        <v>0</v>
      </c>
    </row>
    <row r="38" spans="1:40" ht="14.1" customHeight="1" x14ac:dyDescent="0.25">
      <c r="A38" s="35"/>
      <c r="B38" s="35"/>
      <c r="C38" s="35"/>
      <c r="D38" s="40" t="s">
        <v>63</v>
      </c>
      <c r="E38" s="32">
        <f>SUM(E34:E37)</f>
        <v>0</v>
      </c>
      <c r="F38" s="32">
        <f>SUM(F34:F37)</f>
        <v>0</v>
      </c>
      <c r="G38" s="32">
        <f>SUM(G34:G37)</f>
        <v>0</v>
      </c>
      <c r="H38" s="34">
        <f>IF(L38=0,0,I38/G38/L38)</f>
        <v>0</v>
      </c>
      <c r="I38" s="34">
        <f>SUM(I34:I37)</f>
        <v>0</v>
      </c>
      <c r="J38" s="35"/>
      <c r="K38" s="35"/>
      <c r="L38" s="39">
        <f>L36</f>
        <v>0</v>
      </c>
      <c r="M38" s="35"/>
      <c r="N38" s="37">
        <f>SUM(N34:N36)</f>
        <v>0</v>
      </c>
      <c r="O38" s="38">
        <f>IF(N38=0,0,N38/I38)</f>
        <v>0</v>
      </c>
    </row>
    <row r="39" spans="1:40" ht="14.1" customHeight="1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Q39" s="134" t="s">
        <v>22</v>
      </c>
      <c r="R39" s="134"/>
      <c r="S39" s="134"/>
      <c r="T39" s="134"/>
      <c r="V39" s="134" t="s">
        <v>24</v>
      </c>
      <c r="W39" s="134"/>
      <c r="X39" s="134"/>
      <c r="Y39" s="134"/>
      <c r="AK39" s="55" t="s">
        <v>22</v>
      </c>
      <c r="AL39" s="55" t="s">
        <v>24</v>
      </c>
    </row>
    <row r="40" spans="1:40" ht="14.1" customHeight="1" x14ac:dyDescent="0.25">
      <c r="A40" s="129" t="s">
        <v>64</v>
      </c>
      <c r="B40" s="116" t="s">
        <v>65</v>
      </c>
      <c r="C40" s="116"/>
      <c r="D40" s="31" t="s">
        <v>22</v>
      </c>
      <c r="E40" s="50"/>
      <c r="F40" s="50"/>
      <c r="G40" s="41">
        <f>E40-F40</f>
        <v>0</v>
      </c>
      <c r="H40" s="33">
        <f>IF(D40=0,0,VLOOKUP(D40,beer,3))</f>
        <v>3.74</v>
      </c>
      <c r="I40" s="34">
        <f>ROUND(G40*H40*L40,2)</f>
        <v>0</v>
      </c>
      <c r="J40" s="35"/>
      <c r="K40" s="49">
        <v>0.9</v>
      </c>
      <c r="L40" s="42">
        <v>1</v>
      </c>
      <c r="M40" s="33">
        <f>K40/L40</f>
        <v>0.9</v>
      </c>
      <c r="N40" s="37">
        <f>ROUND(K40*G40,2)</f>
        <v>0</v>
      </c>
      <c r="O40" s="38">
        <f>IF(N40=0,0,N40/I40)</f>
        <v>0</v>
      </c>
      <c r="Q40" s="61">
        <f t="shared" ref="Q40:Q52" si="98">IF($D40=Q$39,$E40,0)</f>
        <v>0</v>
      </c>
      <c r="R40" s="61">
        <f>IF($D40=Q$39,$F40,0)</f>
        <v>0</v>
      </c>
      <c r="S40" s="61">
        <f>Q40-R40</f>
        <v>0</v>
      </c>
      <c r="T40" s="57">
        <f>IF($D40=Q$39,$I40,0)</f>
        <v>0</v>
      </c>
      <c r="V40" s="61">
        <f t="shared" ref="V40:V52" si="99">IF($D40=V$39,$E40,0)</f>
        <v>0</v>
      </c>
      <c r="W40" s="61">
        <f>IF($D40=V$39,$F40,0)</f>
        <v>0</v>
      </c>
      <c r="X40" s="61">
        <f>V40-W40</f>
        <v>0</v>
      </c>
      <c r="Y40" s="57">
        <f>IF($D40=V$39,$I40,0)</f>
        <v>0</v>
      </c>
      <c r="AK40" s="58">
        <f t="shared" ref="AK40:AL52" si="100">IF($D40=AK$39,$N40,0)</f>
        <v>0</v>
      </c>
      <c r="AL40" s="58">
        <f t="shared" si="100"/>
        <v>0</v>
      </c>
    </row>
    <row r="41" spans="1:40" ht="14.1" customHeight="1" x14ac:dyDescent="0.25">
      <c r="A41" s="129"/>
      <c r="B41" s="119" t="s">
        <v>141</v>
      </c>
      <c r="C41" s="120"/>
      <c r="D41" s="31" t="s">
        <v>24</v>
      </c>
      <c r="E41" s="50"/>
      <c r="F41" s="50"/>
      <c r="G41" s="41">
        <f>E41-F41</f>
        <v>0</v>
      </c>
      <c r="H41" s="33">
        <f>IF(D41=0,0,VLOOKUP(D41,beer,3))</f>
        <v>4.67</v>
      </c>
      <c r="I41" s="34">
        <f>ROUND(G41*H41*L41,2)</f>
        <v>0</v>
      </c>
      <c r="J41" s="35"/>
      <c r="K41" s="49">
        <v>1</v>
      </c>
      <c r="L41" s="42">
        <f t="shared" ref="L41:L50" si="101">L40</f>
        <v>1</v>
      </c>
      <c r="M41" s="33">
        <f>K41/L41</f>
        <v>1</v>
      </c>
      <c r="N41" s="37">
        <f>ROUND(K41*G41,2)</f>
        <v>0</v>
      </c>
      <c r="O41" s="38">
        <f>IF(N41=0,0,N41/I41)</f>
        <v>0</v>
      </c>
      <c r="Q41" s="61">
        <f t="shared" si="98"/>
        <v>0</v>
      </c>
      <c r="R41" s="61">
        <f>IF($D41=Q$39,$F41,0)</f>
        <v>0</v>
      </c>
      <c r="S41" s="61">
        <f>Q41-R41</f>
        <v>0</v>
      </c>
      <c r="T41" s="57">
        <f>IF($D41=Q$39,$I41,0)</f>
        <v>0</v>
      </c>
      <c r="V41" s="61">
        <f t="shared" si="99"/>
        <v>0</v>
      </c>
      <c r="W41" s="61">
        <f>IF($D41=V$39,$F41,0)</f>
        <v>0</v>
      </c>
      <c r="X41" s="61">
        <f>V41-W41</f>
        <v>0</v>
      </c>
      <c r="Y41" s="57">
        <f>IF($D41=V$39,$I41,0)</f>
        <v>0</v>
      </c>
      <c r="AK41" s="58">
        <f t="shared" si="100"/>
        <v>0</v>
      </c>
      <c r="AL41" s="58">
        <f t="shared" si="100"/>
        <v>0</v>
      </c>
    </row>
    <row r="42" spans="1:40" ht="14.1" customHeight="1" x14ac:dyDescent="0.25">
      <c r="A42" s="129"/>
      <c r="B42" s="119" t="s">
        <v>142</v>
      </c>
      <c r="C42" s="120"/>
      <c r="D42" s="31" t="s">
        <v>22</v>
      </c>
      <c r="E42" s="50"/>
      <c r="F42" s="50"/>
      <c r="G42" s="41">
        <f>E42-F42</f>
        <v>0</v>
      </c>
      <c r="H42" s="33">
        <f>IF(D42=0,0,VLOOKUP(D42,beer,3))</f>
        <v>3.74</v>
      </c>
      <c r="I42" s="34">
        <f>ROUND(G42*H42*L42,2)</f>
        <v>0</v>
      </c>
      <c r="J42" s="35"/>
      <c r="K42" s="49">
        <v>1</v>
      </c>
      <c r="L42" s="42">
        <f t="shared" si="101"/>
        <v>1</v>
      </c>
      <c r="M42" s="33">
        <f>K42/L42</f>
        <v>1</v>
      </c>
      <c r="N42" s="37">
        <f>ROUND(K42*G42,2)</f>
        <v>0</v>
      </c>
      <c r="O42" s="38">
        <f>IF(N42=0,0,N42/I42)</f>
        <v>0</v>
      </c>
      <c r="Q42" s="61">
        <f>IF($D42=Q$39,$E42,0)</f>
        <v>0</v>
      </c>
      <c r="R42" s="61">
        <f>IF($D42=Q$39,$F42,0)</f>
        <v>0</v>
      </c>
      <c r="S42" s="61">
        <f>Q42-R42</f>
        <v>0</v>
      </c>
      <c r="T42" s="57">
        <f>IF($D42=Q$39,$I42,0)</f>
        <v>0</v>
      </c>
      <c r="V42" s="61">
        <f>IF($D42=V$39,$E42,0)</f>
        <v>0</v>
      </c>
      <c r="W42" s="61">
        <f>IF($D42=V$39,$F42,0)</f>
        <v>0</v>
      </c>
      <c r="X42" s="61">
        <f>V42-W42</f>
        <v>0</v>
      </c>
      <c r="Y42" s="57">
        <f>IF($D42=V$39,$I42,0)</f>
        <v>0</v>
      </c>
      <c r="AK42" s="58">
        <f t="shared" si="100"/>
        <v>0</v>
      </c>
      <c r="AL42" s="58">
        <f t="shared" si="100"/>
        <v>0</v>
      </c>
    </row>
    <row r="43" spans="1:40" ht="14.1" customHeight="1" x14ac:dyDescent="0.25">
      <c r="A43" s="129"/>
      <c r="B43" s="119" t="s">
        <v>66</v>
      </c>
      <c r="C43" s="120"/>
      <c r="D43" s="31" t="s">
        <v>22</v>
      </c>
      <c r="E43" s="50"/>
      <c r="F43" s="50"/>
      <c r="G43" s="41">
        <f>E43-F43</f>
        <v>0</v>
      </c>
      <c r="H43" s="33">
        <f>IF(D43=0,0,VLOOKUP(D43,beer,3))</f>
        <v>3.74</v>
      </c>
      <c r="I43" s="34">
        <f>ROUND(G43*H43*L43,2)</f>
        <v>0</v>
      </c>
      <c r="J43" s="35"/>
      <c r="K43" s="49">
        <v>0.9</v>
      </c>
      <c r="L43" s="42">
        <f t="shared" si="101"/>
        <v>1</v>
      </c>
      <c r="M43" s="33">
        <f>K43/L43</f>
        <v>0.9</v>
      </c>
      <c r="N43" s="37">
        <f>ROUND(K43*G43,2)</f>
        <v>0</v>
      </c>
      <c r="O43" s="38">
        <f>IF(N43=0,0,N43/I43)</f>
        <v>0</v>
      </c>
      <c r="Q43" s="61">
        <f t="shared" si="98"/>
        <v>0</v>
      </c>
      <c r="R43" s="61">
        <f>IF($D43=Q$39,$F43,0)</f>
        <v>0</v>
      </c>
      <c r="S43" s="61">
        <f>Q43-R43</f>
        <v>0</v>
      </c>
      <c r="T43" s="57">
        <f>IF($D43=Q$39,$I43,0)</f>
        <v>0</v>
      </c>
      <c r="V43" s="61">
        <f t="shared" si="99"/>
        <v>0</v>
      </c>
      <c r="W43" s="61">
        <f>IF($D43=V$39,$F43,0)</f>
        <v>0</v>
      </c>
      <c r="X43" s="61">
        <f>V43-W43</f>
        <v>0</v>
      </c>
      <c r="Y43" s="57">
        <f>IF($D43=V$39,$I43,0)</f>
        <v>0</v>
      </c>
      <c r="AK43" s="58">
        <f t="shared" si="100"/>
        <v>0</v>
      </c>
      <c r="AL43" s="58">
        <f t="shared" si="100"/>
        <v>0</v>
      </c>
    </row>
    <row r="44" spans="1:40" ht="14.1" customHeight="1" x14ac:dyDescent="0.25">
      <c r="A44" s="129"/>
      <c r="B44" s="119" t="s">
        <v>100</v>
      </c>
      <c r="C44" s="120"/>
      <c r="D44" s="31" t="s">
        <v>22</v>
      </c>
      <c r="E44" s="50"/>
      <c r="F44" s="50"/>
      <c r="G44" s="41">
        <f t="shared" ref="G44:G50" si="102">E44-F44</f>
        <v>0</v>
      </c>
      <c r="H44" s="33">
        <f t="shared" ref="H44:H50" si="103">IF(D44=0,0,VLOOKUP(D44,beer,3))</f>
        <v>3.74</v>
      </c>
      <c r="I44" s="34">
        <f t="shared" ref="I44:I50" si="104">ROUND(G44*H44*L44,2)</f>
        <v>0</v>
      </c>
      <c r="J44" s="35"/>
      <c r="K44" s="49">
        <v>0.9</v>
      </c>
      <c r="L44" s="42">
        <f t="shared" si="101"/>
        <v>1</v>
      </c>
      <c r="M44" s="33">
        <f t="shared" ref="M44:M50" si="105">K44/L44</f>
        <v>0.9</v>
      </c>
      <c r="N44" s="37">
        <f t="shared" ref="N44:N50" si="106">ROUND(K44*G44,2)</f>
        <v>0</v>
      </c>
      <c r="O44" s="38">
        <f t="shared" ref="O44:O50" si="107">IF(N44=0,0,N44/I44)</f>
        <v>0</v>
      </c>
      <c r="Q44" s="61">
        <f t="shared" si="98"/>
        <v>0</v>
      </c>
      <c r="R44" s="61">
        <f t="shared" ref="R44:R50" si="108">IF($D44=Q$39,$F44,0)</f>
        <v>0</v>
      </c>
      <c r="S44" s="61">
        <f t="shared" ref="S44:S50" si="109">Q44-R44</f>
        <v>0</v>
      </c>
      <c r="T44" s="57">
        <f t="shared" ref="T44:T50" si="110">IF($D44=Q$39,$I44,0)</f>
        <v>0</v>
      </c>
      <c r="V44" s="61">
        <f t="shared" si="99"/>
        <v>0</v>
      </c>
      <c r="W44" s="61">
        <f t="shared" ref="W44:W50" si="111">IF($D44=V$39,$F44,0)</f>
        <v>0</v>
      </c>
      <c r="X44" s="61">
        <f t="shared" ref="X44:X50" si="112">V44-W44</f>
        <v>0</v>
      </c>
      <c r="Y44" s="57">
        <f t="shared" ref="Y44:Y50" si="113">IF($D44=V$39,$I44,0)</f>
        <v>0</v>
      </c>
      <c r="AK44" s="58">
        <f t="shared" si="100"/>
        <v>0</v>
      </c>
      <c r="AL44" s="58">
        <f t="shared" si="100"/>
        <v>0</v>
      </c>
    </row>
    <row r="45" spans="1:40" ht="14.1" customHeight="1" x14ac:dyDescent="0.25">
      <c r="A45" s="129"/>
      <c r="B45" s="119" t="s">
        <v>67</v>
      </c>
      <c r="C45" s="120"/>
      <c r="D45" s="31" t="s">
        <v>24</v>
      </c>
      <c r="E45" s="50"/>
      <c r="F45" s="50"/>
      <c r="G45" s="41">
        <f t="shared" si="102"/>
        <v>0</v>
      </c>
      <c r="H45" s="33">
        <f t="shared" si="103"/>
        <v>4.67</v>
      </c>
      <c r="I45" s="34">
        <f t="shared" si="104"/>
        <v>0</v>
      </c>
      <c r="J45" s="35"/>
      <c r="K45" s="49">
        <v>1.18</v>
      </c>
      <c r="L45" s="42">
        <f t="shared" si="101"/>
        <v>1</v>
      </c>
      <c r="M45" s="33">
        <f t="shared" si="105"/>
        <v>1.18</v>
      </c>
      <c r="N45" s="37">
        <f t="shared" si="106"/>
        <v>0</v>
      </c>
      <c r="O45" s="38">
        <f t="shared" si="107"/>
        <v>0</v>
      </c>
      <c r="Q45" s="61">
        <f t="shared" si="98"/>
        <v>0</v>
      </c>
      <c r="R45" s="61">
        <f t="shared" si="108"/>
        <v>0</v>
      </c>
      <c r="S45" s="61">
        <f t="shared" si="109"/>
        <v>0</v>
      </c>
      <c r="T45" s="57">
        <f t="shared" si="110"/>
        <v>0</v>
      </c>
      <c r="V45" s="61">
        <f t="shared" si="99"/>
        <v>0</v>
      </c>
      <c r="W45" s="61">
        <f t="shared" si="111"/>
        <v>0</v>
      </c>
      <c r="X45" s="61">
        <f t="shared" si="112"/>
        <v>0</v>
      </c>
      <c r="Y45" s="57">
        <f t="shared" si="113"/>
        <v>0</v>
      </c>
      <c r="AK45" s="58">
        <f t="shared" si="100"/>
        <v>0</v>
      </c>
      <c r="AL45" s="58">
        <f t="shared" si="100"/>
        <v>0</v>
      </c>
    </row>
    <row r="46" spans="1:40" ht="14.1" customHeight="1" x14ac:dyDescent="0.25">
      <c r="A46" s="129"/>
      <c r="B46" s="119" t="s">
        <v>68</v>
      </c>
      <c r="C46" s="120"/>
      <c r="D46" s="31" t="s">
        <v>24</v>
      </c>
      <c r="E46" s="50"/>
      <c r="F46" s="50"/>
      <c r="G46" s="41">
        <f t="shared" si="102"/>
        <v>0</v>
      </c>
      <c r="H46" s="33">
        <f t="shared" si="103"/>
        <v>4.67</v>
      </c>
      <c r="I46" s="34">
        <f t="shared" si="104"/>
        <v>0</v>
      </c>
      <c r="J46" s="35"/>
      <c r="K46" s="49">
        <v>1.18</v>
      </c>
      <c r="L46" s="42">
        <f t="shared" si="101"/>
        <v>1</v>
      </c>
      <c r="M46" s="33">
        <f t="shared" si="105"/>
        <v>1.18</v>
      </c>
      <c r="N46" s="37">
        <f t="shared" si="106"/>
        <v>0</v>
      </c>
      <c r="O46" s="38">
        <f t="shared" si="107"/>
        <v>0</v>
      </c>
      <c r="Q46" s="61">
        <f t="shared" si="98"/>
        <v>0</v>
      </c>
      <c r="R46" s="61">
        <f t="shared" si="108"/>
        <v>0</v>
      </c>
      <c r="S46" s="61">
        <f t="shared" si="109"/>
        <v>0</v>
      </c>
      <c r="T46" s="57">
        <f t="shared" si="110"/>
        <v>0</v>
      </c>
      <c r="V46" s="61">
        <f t="shared" si="99"/>
        <v>0</v>
      </c>
      <c r="W46" s="61">
        <f t="shared" si="111"/>
        <v>0</v>
      </c>
      <c r="X46" s="61">
        <f t="shared" si="112"/>
        <v>0</v>
      </c>
      <c r="Y46" s="57">
        <f t="shared" si="113"/>
        <v>0</v>
      </c>
      <c r="AK46" s="58">
        <f t="shared" si="100"/>
        <v>0</v>
      </c>
      <c r="AL46" s="58">
        <f t="shared" si="100"/>
        <v>0</v>
      </c>
    </row>
    <row r="47" spans="1:40" ht="14.1" customHeight="1" x14ac:dyDescent="0.25">
      <c r="A47" s="129"/>
      <c r="B47" s="119" t="s">
        <v>69</v>
      </c>
      <c r="C47" s="120"/>
      <c r="D47" s="31" t="s">
        <v>22</v>
      </c>
      <c r="E47" s="50"/>
      <c r="F47" s="50"/>
      <c r="G47" s="41">
        <f t="shared" si="102"/>
        <v>0</v>
      </c>
      <c r="H47" s="33">
        <f t="shared" si="103"/>
        <v>3.74</v>
      </c>
      <c r="I47" s="34">
        <f t="shared" si="104"/>
        <v>0</v>
      </c>
      <c r="J47" s="35"/>
      <c r="K47" s="49">
        <v>0.97</v>
      </c>
      <c r="L47" s="42">
        <f t="shared" si="101"/>
        <v>1</v>
      </c>
      <c r="M47" s="33">
        <f t="shared" si="105"/>
        <v>0.97</v>
      </c>
      <c r="N47" s="37">
        <f t="shared" si="106"/>
        <v>0</v>
      </c>
      <c r="O47" s="38">
        <f t="shared" si="107"/>
        <v>0</v>
      </c>
      <c r="Q47" s="61">
        <f t="shared" si="98"/>
        <v>0</v>
      </c>
      <c r="R47" s="61">
        <f t="shared" si="108"/>
        <v>0</v>
      </c>
      <c r="S47" s="61">
        <f t="shared" si="109"/>
        <v>0</v>
      </c>
      <c r="T47" s="57">
        <f t="shared" si="110"/>
        <v>0</v>
      </c>
      <c r="V47" s="61">
        <f t="shared" si="99"/>
        <v>0</v>
      </c>
      <c r="W47" s="61">
        <f t="shared" si="111"/>
        <v>0</v>
      </c>
      <c r="X47" s="61">
        <f t="shared" si="112"/>
        <v>0</v>
      </c>
      <c r="Y47" s="57">
        <f t="shared" si="113"/>
        <v>0</v>
      </c>
      <c r="AK47" s="58">
        <f t="shared" si="100"/>
        <v>0</v>
      </c>
      <c r="AL47" s="58">
        <f t="shared" si="100"/>
        <v>0</v>
      </c>
    </row>
    <row r="48" spans="1:40" ht="14.1" customHeight="1" x14ac:dyDescent="0.25">
      <c r="A48" s="129"/>
      <c r="B48" s="119" t="s">
        <v>70</v>
      </c>
      <c r="C48" s="120"/>
      <c r="D48" s="31" t="s">
        <v>22</v>
      </c>
      <c r="E48" s="50"/>
      <c r="F48" s="50"/>
      <c r="G48" s="41">
        <f t="shared" si="102"/>
        <v>0</v>
      </c>
      <c r="H48" s="33">
        <f t="shared" si="103"/>
        <v>3.74</v>
      </c>
      <c r="I48" s="34">
        <f t="shared" si="104"/>
        <v>0</v>
      </c>
      <c r="J48" s="35"/>
      <c r="K48" s="49">
        <v>0.9</v>
      </c>
      <c r="L48" s="42">
        <f t="shared" si="101"/>
        <v>1</v>
      </c>
      <c r="M48" s="33">
        <f t="shared" si="105"/>
        <v>0.9</v>
      </c>
      <c r="N48" s="37">
        <f t="shared" si="106"/>
        <v>0</v>
      </c>
      <c r="O48" s="38">
        <f t="shared" si="107"/>
        <v>0</v>
      </c>
      <c r="Q48" s="61">
        <f t="shared" si="98"/>
        <v>0</v>
      </c>
      <c r="R48" s="61">
        <f t="shared" si="108"/>
        <v>0</v>
      </c>
      <c r="S48" s="61">
        <f t="shared" si="109"/>
        <v>0</v>
      </c>
      <c r="T48" s="57">
        <f t="shared" si="110"/>
        <v>0</v>
      </c>
      <c r="V48" s="61">
        <f t="shared" si="99"/>
        <v>0</v>
      </c>
      <c r="W48" s="61">
        <f t="shared" si="111"/>
        <v>0</v>
      </c>
      <c r="X48" s="61">
        <f t="shared" si="112"/>
        <v>0</v>
      </c>
      <c r="Y48" s="57">
        <f t="shared" si="113"/>
        <v>0</v>
      </c>
      <c r="AK48" s="58">
        <f t="shared" si="100"/>
        <v>0</v>
      </c>
      <c r="AL48" s="58">
        <f t="shared" si="100"/>
        <v>0</v>
      </c>
    </row>
    <row r="49" spans="1:38" ht="14.1" customHeight="1" x14ac:dyDescent="0.25">
      <c r="A49" s="129"/>
      <c r="B49" s="119" t="s">
        <v>143</v>
      </c>
      <c r="C49" s="120"/>
      <c r="D49" s="31" t="s">
        <v>22</v>
      </c>
      <c r="E49" s="50"/>
      <c r="F49" s="50"/>
      <c r="G49" s="41">
        <f t="shared" si="102"/>
        <v>0</v>
      </c>
      <c r="H49" s="33">
        <f t="shared" si="103"/>
        <v>3.74</v>
      </c>
      <c r="I49" s="34">
        <f t="shared" si="104"/>
        <v>0</v>
      </c>
      <c r="J49" s="35"/>
      <c r="K49" s="49">
        <v>0.69</v>
      </c>
      <c r="L49" s="42">
        <f t="shared" si="101"/>
        <v>1</v>
      </c>
      <c r="M49" s="33">
        <f t="shared" si="105"/>
        <v>0.69</v>
      </c>
      <c r="N49" s="37">
        <f t="shared" si="106"/>
        <v>0</v>
      </c>
      <c r="O49" s="38">
        <f t="shared" si="107"/>
        <v>0</v>
      </c>
      <c r="Q49" s="61">
        <f t="shared" si="98"/>
        <v>0</v>
      </c>
      <c r="R49" s="61">
        <f t="shared" si="108"/>
        <v>0</v>
      </c>
      <c r="S49" s="61">
        <f t="shared" si="109"/>
        <v>0</v>
      </c>
      <c r="T49" s="57">
        <f t="shared" si="110"/>
        <v>0</v>
      </c>
      <c r="V49" s="61">
        <f t="shared" si="99"/>
        <v>0</v>
      </c>
      <c r="W49" s="61">
        <f t="shared" si="111"/>
        <v>0</v>
      </c>
      <c r="X49" s="61">
        <f t="shared" si="112"/>
        <v>0</v>
      </c>
      <c r="Y49" s="57">
        <f t="shared" si="113"/>
        <v>0</v>
      </c>
      <c r="AK49" s="58">
        <f t="shared" si="100"/>
        <v>0</v>
      </c>
      <c r="AL49" s="58">
        <f t="shared" si="100"/>
        <v>0</v>
      </c>
    </row>
    <row r="50" spans="1:38" ht="14.1" customHeight="1" x14ac:dyDescent="0.25">
      <c r="A50" s="129"/>
      <c r="B50" s="119" t="s">
        <v>144</v>
      </c>
      <c r="C50" s="120"/>
      <c r="D50" s="31" t="s">
        <v>22</v>
      </c>
      <c r="E50" s="50"/>
      <c r="F50" s="50"/>
      <c r="G50" s="41">
        <f t="shared" si="102"/>
        <v>0</v>
      </c>
      <c r="H50" s="33">
        <f t="shared" si="103"/>
        <v>3.74</v>
      </c>
      <c r="I50" s="34">
        <f t="shared" si="104"/>
        <v>0</v>
      </c>
      <c r="J50" s="35"/>
      <c r="K50" s="49">
        <v>0.9</v>
      </c>
      <c r="L50" s="42">
        <f t="shared" si="101"/>
        <v>1</v>
      </c>
      <c r="M50" s="33">
        <f t="shared" si="105"/>
        <v>0.9</v>
      </c>
      <c r="N50" s="37">
        <f t="shared" si="106"/>
        <v>0</v>
      </c>
      <c r="O50" s="38">
        <f t="shared" si="107"/>
        <v>0</v>
      </c>
      <c r="Q50" s="61">
        <f t="shared" si="98"/>
        <v>0</v>
      </c>
      <c r="R50" s="61">
        <f t="shared" si="108"/>
        <v>0</v>
      </c>
      <c r="S50" s="61">
        <f t="shared" si="109"/>
        <v>0</v>
      </c>
      <c r="T50" s="57">
        <f t="shared" si="110"/>
        <v>0</v>
      </c>
      <c r="V50" s="61">
        <f t="shared" si="99"/>
        <v>0</v>
      </c>
      <c r="W50" s="61">
        <f t="shared" si="111"/>
        <v>0</v>
      </c>
      <c r="X50" s="61">
        <f t="shared" si="112"/>
        <v>0</v>
      </c>
      <c r="Y50" s="57">
        <f t="shared" si="113"/>
        <v>0</v>
      </c>
      <c r="AK50" s="58">
        <f t="shared" si="100"/>
        <v>0</v>
      </c>
      <c r="AL50" s="58">
        <f t="shared" si="100"/>
        <v>0</v>
      </c>
    </row>
    <row r="51" spans="1:38" ht="14.1" customHeight="1" x14ac:dyDescent="0.25">
      <c r="A51" s="129"/>
      <c r="B51" s="126"/>
      <c r="C51" s="127"/>
      <c r="D51" s="31" t="s">
        <v>22</v>
      </c>
      <c r="E51" s="50"/>
      <c r="F51" s="50"/>
      <c r="G51" s="41">
        <f>E51-F51</f>
        <v>0</v>
      </c>
      <c r="H51" s="33">
        <f>IF(D51=0,0,VLOOKUP(D51,beer,3))</f>
        <v>3.74</v>
      </c>
      <c r="I51" s="34">
        <f>ROUND(G51*H51*L51,2)</f>
        <v>0</v>
      </c>
      <c r="J51" s="35"/>
      <c r="K51" s="49">
        <v>0</v>
      </c>
      <c r="L51" s="42">
        <f>L44</f>
        <v>1</v>
      </c>
      <c r="M51" s="33">
        <f>K51/L51</f>
        <v>0</v>
      </c>
      <c r="N51" s="37">
        <f>ROUND(K51*G51,2)</f>
        <v>0</v>
      </c>
      <c r="O51" s="38">
        <f>IF(N51=0,0,N51/I51)</f>
        <v>0</v>
      </c>
      <c r="Q51" s="61">
        <f t="shared" si="98"/>
        <v>0</v>
      </c>
      <c r="R51" s="61">
        <f>IF($D51=Q$39,$F51,0)</f>
        <v>0</v>
      </c>
      <c r="S51" s="61">
        <f>Q51-R51</f>
        <v>0</v>
      </c>
      <c r="T51" s="57">
        <f>IF($D51=Q$39,$I51,0)</f>
        <v>0</v>
      </c>
      <c r="V51" s="61">
        <f t="shared" si="99"/>
        <v>0</v>
      </c>
      <c r="W51" s="61">
        <f>IF($D51=V$39,$F51,0)</f>
        <v>0</v>
      </c>
      <c r="X51" s="61">
        <f>V51-W51</f>
        <v>0</v>
      </c>
      <c r="Y51" s="57">
        <f>IF($D51=V$39,$I51,0)</f>
        <v>0</v>
      </c>
      <c r="AK51" s="58">
        <f t="shared" si="100"/>
        <v>0</v>
      </c>
      <c r="AL51" s="58">
        <f t="shared" si="100"/>
        <v>0</v>
      </c>
    </row>
    <row r="52" spans="1:38" ht="14.1" customHeight="1" x14ac:dyDescent="0.25">
      <c r="A52" s="129"/>
      <c r="B52" s="126"/>
      <c r="C52" s="127"/>
      <c r="D52" s="31" t="s">
        <v>22</v>
      </c>
      <c r="E52" s="50"/>
      <c r="F52" s="50"/>
      <c r="G52" s="41">
        <f>E52-F52</f>
        <v>0</v>
      </c>
      <c r="H52" s="33">
        <f>IF(D52=0,0,VLOOKUP(D52,beer,3))</f>
        <v>3.74</v>
      </c>
      <c r="I52" s="34">
        <f>ROUND(G52*H52*L52,2)</f>
        <v>0</v>
      </c>
      <c r="J52" s="35"/>
      <c r="K52" s="49">
        <v>0</v>
      </c>
      <c r="L52" s="42">
        <f>L45</f>
        <v>1</v>
      </c>
      <c r="M52" s="33">
        <f>K52/L52</f>
        <v>0</v>
      </c>
      <c r="N52" s="37">
        <f>ROUND(K52*G52,2)</f>
        <v>0</v>
      </c>
      <c r="O52" s="38">
        <f>IF(N52=0,0,N52/I52)</f>
        <v>0</v>
      </c>
      <c r="Q52" s="61">
        <f t="shared" si="98"/>
        <v>0</v>
      </c>
      <c r="R52" s="61">
        <f>IF($D52=Q$39,$F52,0)</f>
        <v>0</v>
      </c>
      <c r="S52" s="61">
        <f>Q52-R52</f>
        <v>0</v>
      </c>
      <c r="T52" s="57">
        <f>IF($D52=Q$39,$I52,0)</f>
        <v>0</v>
      </c>
      <c r="V52" s="61">
        <f t="shared" si="99"/>
        <v>0</v>
      </c>
      <c r="W52" s="61">
        <f>IF($D52=V$39,$F52,0)</f>
        <v>0</v>
      </c>
      <c r="X52" s="61">
        <f>V52-W52</f>
        <v>0</v>
      </c>
      <c r="Y52" s="57">
        <f>IF($D52=V$39,$I52,0)</f>
        <v>0</v>
      </c>
      <c r="AK52" s="58">
        <f t="shared" si="100"/>
        <v>0</v>
      </c>
      <c r="AL52" s="58">
        <f t="shared" si="100"/>
        <v>0</v>
      </c>
    </row>
    <row r="53" spans="1:38" ht="14.1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</row>
    <row r="54" spans="1:38" ht="14.1" customHeight="1" x14ac:dyDescent="0.25">
      <c r="A54" s="35"/>
      <c r="B54" s="35"/>
      <c r="C54" s="43" t="s">
        <v>62</v>
      </c>
      <c r="D54" s="40" t="s">
        <v>22</v>
      </c>
      <c r="E54" s="41">
        <f>Q54</f>
        <v>0</v>
      </c>
      <c r="F54" s="41">
        <f>R54</f>
        <v>0</v>
      </c>
      <c r="G54" s="41">
        <f>S54</f>
        <v>0</v>
      </c>
      <c r="H54" s="33">
        <f>IF(D54=0,0,VLOOKUP(D54,beer,3))</f>
        <v>3.74</v>
      </c>
      <c r="I54" s="33">
        <f>T54</f>
        <v>0</v>
      </c>
      <c r="J54" s="35"/>
      <c r="K54" s="35"/>
      <c r="L54" s="42">
        <f>L52</f>
        <v>1</v>
      </c>
      <c r="M54" s="35"/>
      <c r="N54" s="37">
        <f>AK54</f>
        <v>0</v>
      </c>
      <c r="O54" s="38">
        <f>IF(N54=0,0,N54/I54)</f>
        <v>0</v>
      </c>
      <c r="Q54" s="61">
        <f>SUM(Q40:Q53)</f>
        <v>0</v>
      </c>
      <c r="R54" s="61">
        <f>SUM(R40:R53)</f>
        <v>0</v>
      </c>
      <c r="S54" s="61">
        <f>Q54-R54</f>
        <v>0</v>
      </c>
      <c r="T54" s="57">
        <f>SUM(T40:T53)</f>
        <v>0</v>
      </c>
      <c r="AK54" s="58">
        <f>SUM(AK40:AK53)</f>
        <v>0</v>
      </c>
      <c r="AL54" s="58">
        <f>SUM(AL40:AL53)</f>
        <v>0</v>
      </c>
    </row>
    <row r="55" spans="1:38" ht="14.1" customHeight="1" x14ac:dyDescent="0.25">
      <c r="A55" s="35"/>
      <c r="B55" s="35"/>
      <c r="C55" s="35"/>
      <c r="D55" s="40" t="s">
        <v>24</v>
      </c>
      <c r="E55" s="41">
        <f>V55</f>
        <v>0</v>
      </c>
      <c r="F55" s="41">
        <f>W55</f>
        <v>0</v>
      </c>
      <c r="G55" s="41">
        <f>X55</f>
        <v>0</v>
      </c>
      <c r="H55" s="33">
        <f>IF(D55=0,0,VLOOKUP(D55,beer,3))</f>
        <v>4.67</v>
      </c>
      <c r="I55" s="33">
        <f>Y55</f>
        <v>0</v>
      </c>
      <c r="J55" s="35"/>
      <c r="K55" s="35"/>
      <c r="L55" s="42">
        <f>L54</f>
        <v>1</v>
      </c>
      <c r="M55" s="35"/>
      <c r="N55" s="37">
        <f>AL54</f>
        <v>0</v>
      </c>
      <c r="O55" s="38">
        <f>IF(N55=0,0,N55/I55)</f>
        <v>0</v>
      </c>
      <c r="V55" s="61">
        <f>SUM(V40:V53)</f>
        <v>0</v>
      </c>
      <c r="W55" s="61">
        <f>SUM(W40:W53)</f>
        <v>0</v>
      </c>
      <c r="X55" s="61">
        <f>V55-W55</f>
        <v>0</v>
      </c>
      <c r="Y55" s="57">
        <f>SUM(Y40:Y53)</f>
        <v>0</v>
      </c>
    </row>
    <row r="56" spans="1:38" ht="14.1" customHeight="1" x14ac:dyDescent="0.25">
      <c r="A56" s="35"/>
      <c r="B56" s="35"/>
      <c r="C56" s="35"/>
      <c r="D56" s="40" t="s">
        <v>63</v>
      </c>
      <c r="E56" s="41">
        <f>SUM(E54:E55)</f>
        <v>0</v>
      </c>
      <c r="F56" s="41">
        <f>SUM(F54:F55)</f>
        <v>0</v>
      </c>
      <c r="G56" s="41">
        <f>SUM(G54:G55)</f>
        <v>0</v>
      </c>
      <c r="H56" s="33">
        <f>IF(G56=0,0,I56/G56)</f>
        <v>0</v>
      </c>
      <c r="I56" s="33">
        <f>SUM(I54:I55)</f>
        <v>0</v>
      </c>
      <c r="J56" s="35"/>
      <c r="K56" s="35"/>
      <c r="L56" s="42">
        <f>L55</f>
        <v>1</v>
      </c>
      <c r="M56" s="35"/>
      <c r="N56" s="37">
        <f>SUM(N54:N55)</f>
        <v>0</v>
      </c>
      <c r="O56" s="38">
        <f>IF(N56=0,0,N56/I56)</f>
        <v>0</v>
      </c>
    </row>
    <row r="57" spans="1:38" ht="14.1" customHeight="1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AK57" s="55" t="s">
        <v>71</v>
      </c>
    </row>
    <row r="58" spans="1:38" ht="14.1" customHeight="1" x14ac:dyDescent="0.25">
      <c r="A58" s="129" t="s">
        <v>72</v>
      </c>
      <c r="B58" s="116" t="s">
        <v>16</v>
      </c>
      <c r="C58" s="116"/>
      <c r="D58" s="44" t="s">
        <v>71</v>
      </c>
      <c r="E58" s="47"/>
      <c r="F58" s="47"/>
      <c r="G58" s="32">
        <f t="shared" ref="G58:G63" si="114">E58-F58</f>
        <v>0</v>
      </c>
      <c r="H58" s="33">
        <f>Input!D22</f>
        <v>4.67</v>
      </c>
      <c r="I58" s="34">
        <f t="shared" ref="I58:I63" si="115">ROUND(G58*H58*L58,2)</f>
        <v>0</v>
      </c>
      <c r="J58" s="35"/>
      <c r="K58" s="49">
        <v>3.86</v>
      </c>
      <c r="L58" s="42">
        <f>L62</f>
        <v>5</v>
      </c>
      <c r="M58" s="33">
        <f t="shared" ref="M58:M63" si="116">K58/L58</f>
        <v>0.77200000000000002</v>
      </c>
      <c r="N58" s="37">
        <f t="shared" ref="N58:N63" si="117">ROUND(K58*G58,2)</f>
        <v>0</v>
      </c>
      <c r="O58" s="38">
        <f t="shared" ref="O58:O63" si="118">IF(N58=0,0,N58/I58)</f>
        <v>0</v>
      </c>
      <c r="Q58" s="56">
        <f t="shared" ref="Q58:Q63" si="119">E58</f>
        <v>0</v>
      </c>
      <c r="R58" s="56">
        <f t="shared" ref="R58:R63" si="120">F58</f>
        <v>0</v>
      </c>
      <c r="S58" s="56">
        <f t="shared" ref="S58:S63" si="121">Q58-R58</f>
        <v>0</v>
      </c>
      <c r="T58" s="57">
        <f t="shared" ref="T58:T63" si="122">I58</f>
        <v>0</v>
      </c>
      <c r="AK58" s="58">
        <f t="shared" ref="AK58:AK63" si="123">IF($D58=AK$57,$N58,0)</f>
        <v>0</v>
      </c>
    </row>
    <row r="59" spans="1:38" ht="14.1" customHeight="1" x14ac:dyDescent="0.25">
      <c r="A59" s="129"/>
      <c r="B59" s="116" t="s">
        <v>17</v>
      </c>
      <c r="C59" s="116"/>
      <c r="D59" s="44" t="s">
        <v>71</v>
      </c>
      <c r="E59" s="47"/>
      <c r="F59" s="47"/>
      <c r="G59" s="32">
        <f t="shared" si="114"/>
        <v>0</v>
      </c>
      <c r="H59" s="33">
        <f>Input!D23</f>
        <v>4.67</v>
      </c>
      <c r="I59" s="34">
        <f t="shared" si="115"/>
        <v>0</v>
      </c>
      <c r="J59" s="35"/>
      <c r="K59" s="49">
        <v>3.86</v>
      </c>
      <c r="L59" s="42">
        <f>L58</f>
        <v>5</v>
      </c>
      <c r="M59" s="33">
        <f t="shared" si="116"/>
        <v>0.77200000000000002</v>
      </c>
      <c r="N59" s="37">
        <f t="shared" si="117"/>
        <v>0</v>
      </c>
      <c r="O59" s="38">
        <f t="shared" si="118"/>
        <v>0</v>
      </c>
      <c r="Q59" s="56">
        <f t="shared" si="119"/>
        <v>0</v>
      </c>
      <c r="R59" s="56">
        <f t="shared" si="120"/>
        <v>0</v>
      </c>
      <c r="S59" s="56">
        <f t="shared" si="121"/>
        <v>0</v>
      </c>
      <c r="T59" s="57">
        <f t="shared" si="122"/>
        <v>0</v>
      </c>
      <c r="AK59" s="58">
        <f t="shared" si="123"/>
        <v>0</v>
      </c>
    </row>
    <row r="60" spans="1:38" ht="14.1" customHeight="1" x14ac:dyDescent="0.25">
      <c r="A60" s="129"/>
      <c r="B60" s="116" t="s">
        <v>131</v>
      </c>
      <c r="C60" s="116"/>
      <c r="D60" s="44" t="s">
        <v>71</v>
      </c>
      <c r="E60" s="47"/>
      <c r="F60" s="47"/>
      <c r="G60" s="32">
        <f>E60-F60</f>
        <v>0</v>
      </c>
      <c r="H60" s="33">
        <f>Input!D24</f>
        <v>4.67</v>
      </c>
      <c r="I60" s="34">
        <f>ROUND(G60*H60*L60,2)</f>
        <v>0</v>
      </c>
      <c r="J60" s="35"/>
      <c r="K60" s="49">
        <v>3.86</v>
      </c>
      <c r="L60" s="42">
        <f>L59</f>
        <v>5</v>
      </c>
      <c r="M60" s="33">
        <f>K60/L60</f>
        <v>0.77200000000000002</v>
      </c>
      <c r="N60" s="37">
        <f>ROUND(K60*G60,2)</f>
        <v>0</v>
      </c>
      <c r="O60" s="38">
        <f>IF(N60=0,0,N60/I60)</f>
        <v>0</v>
      </c>
      <c r="Q60" s="56">
        <f t="shared" si="119"/>
        <v>0</v>
      </c>
      <c r="R60" s="56">
        <f t="shared" si="120"/>
        <v>0</v>
      </c>
      <c r="S60" s="56">
        <f>Q60-R60</f>
        <v>0</v>
      </c>
      <c r="T60" s="57">
        <f t="shared" si="122"/>
        <v>0</v>
      </c>
      <c r="AK60" s="58">
        <f t="shared" si="123"/>
        <v>0</v>
      </c>
    </row>
    <row r="61" spans="1:38" ht="14.1" customHeight="1" x14ac:dyDescent="0.25">
      <c r="A61" s="129"/>
      <c r="B61" s="116" t="s">
        <v>132</v>
      </c>
      <c r="C61" s="116"/>
      <c r="D61" s="44" t="s">
        <v>71</v>
      </c>
      <c r="E61" s="106"/>
      <c r="F61" s="47"/>
      <c r="G61" s="32">
        <f>E61-F61</f>
        <v>0</v>
      </c>
      <c r="H61" s="33">
        <f>Input!D25</f>
        <v>4.67</v>
      </c>
      <c r="I61" s="34">
        <f>ROUND(G61*H61*L61,2)</f>
        <v>0</v>
      </c>
      <c r="J61" s="35"/>
      <c r="K61" s="49">
        <v>3.86</v>
      </c>
      <c r="L61" s="42">
        <f>L60</f>
        <v>5</v>
      </c>
      <c r="M61" s="33">
        <f>K61/L61</f>
        <v>0.77200000000000002</v>
      </c>
      <c r="N61" s="37">
        <f>ROUND(K61*G61,2)</f>
        <v>0</v>
      </c>
      <c r="O61" s="38">
        <f>IF(N61=0,0,N61/I61)</f>
        <v>0</v>
      </c>
      <c r="Q61" s="56">
        <f t="shared" si="119"/>
        <v>0</v>
      </c>
      <c r="R61" s="56">
        <f t="shared" si="120"/>
        <v>0</v>
      </c>
      <c r="S61" s="56">
        <f>Q61-R61</f>
        <v>0</v>
      </c>
      <c r="T61" s="57">
        <f t="shared" si="122"/>
        <v>0</v>
      </c>
      <c r="AK61" s="58">
        <f t="shared" si="123"/>
        <v>0</v>
      </c>
    </row>
    <row r="62" spans="1:38" ht="14.1" customHeight="1" x14ac:dyDescent="0.25">
      <c r="A62" s="129"/>
      <c r="B62" s="116" t="s">
        <v>18</v>
      </c>
      <c r="C62" s="116"/>
      <c r="D62" s="44" t="s">
        <v>71</v>
      </c>
      <c r="E62" s="47"/>
      <c r="F62" s="47"/>
      <c r="G62" s="32">
        <f>E62-F62</f>
        <v>0</v>
      </c>
      <c r="H62" s="33">
        <f>Input!D26</f>
        <v>4.67</v>
      </c>
      <c r="I62" s="34">
        <f>ROUND(G62*H62*L62,2)</f>
        <v>0</v>
      </c>
      <c r="J62" s="35"/>
      <c r="K62" s="49">
        <v>3.86</v>
      </c>
      <c r="L62" s="42">
        <v>5</v>
      </c>
      <c r="M62" s="33">
        <f>K62/L62</f>
        <v>0.77200000000000002</v>
      </c>
      <c r="N62" s="37">
        <f>ROUND(K62*G62,2)</f>
        <v>0</v>
      </c>
      <c r="O62" s="38">
        <f>IF(N62=0,0,N62/I62)</f>
        <v>0</v>
      </c>
      <c r="Q62" s="56">
        <f t="shared" si="119"/>
        <v>0</v>
      </c>
      <c r="R62" s="56">
        <f t="shared" si="120"/>
        <v>0</v>
      </c>
      <c r="S62" s="56">
        <f>Q62-R62</f>
        <v>0</v>
      </c>
      <c r="T62" s="57">
        <f t="shared" si="122"/>
        <v>0</v>
      </c>
      <c r="AK62" s="58">
        <f>IF($D62=AK$57,$N62,0)</f>
        <v>0</v>
      </c>
    </row>
    <row r="63" spans="1:38" ht="14.1" customHeight="1" x14ac:dyDescent="0.25">
      <c r="A63" s="129"/>
      <c r="B63" s="116" t="s">
        <v>20</v>
      </c>
      <c r="C63" s="116"/>
      <c r="D63" s="44" t="s">
        <v>71</v>
      </c>
      <c r="E63" s="47"/>
      <c r="F63" s="47"/>
      <c r="G63" s="32">
        <f t="shared" si="114"/>
        <v>0</v>
      </c>
      <c r="H63" s="33">
        <f>Input!D27</f>
        <v>4.67</v>
      </c>
      <c r="I63" s="34">
        <f t="shared" si="115"/>
        <v>0</v>
      </c>
      <c r="J63" s="35"/>
      <c r="K63" s="49">
        <v>4.99</v>
      </c>
      <c r="L63" s="42">
        <f>L59</f>
        <v>5</v>
      </c>
      <c r="M63" s="33">
        <f t="shared" si="116"/>
        <v>0.998</v>
      </c>
      <c r="N63" s="37">
        <f t="shared" si="117"/>
        <v>0</v>
      </c>
      <c r="O63" s="38">
        <f t="shared" si="118"/>
        <v>0</v>
      </c>
      <c r="Q63" s="56">
        <f t="shared" si="119"/>
        <v>0</v>
      </c>
      <c r="R63" s="56">
        <f t="shared" si="120"/>
        <v>0</v>
      </c>
      <c r="S63" s="56">
        <f t="shared" si="121"/>
        <v>0</v>
      </c>
      <c r="T63" s="57">
        <f t="shared" si="122"/>
        <v>0</v>
      </c>
      <c r="AK63" s="58">
        <f t="shared" si="123"/>
        <v>0</v>
      </c>
    </row>
    <row r="64" spans="1:38" ht="14.1" customHeight="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</row>
    <row r="65" spans="1:37" ht="14.1" customHeight="1" x14ac:dyDescent="0.25">
      <c r="A65" s="35"/>
      <c r="B65" s="35"/>
      <c r="C65" s="43" t="s">
        <v>62</v>
      </c>
      <c r="D65" s="40" t="s">
        <v>71</v>
      </c>
      <c r="E65" s="32">
        <f>Q65</f>
        <v>0</v>
      </c>
      <c r="F65" s="32">
        <f>R65</f>
        <v>0</v>
      </c>
      <c r="G65" s="32">
        <f>S65</f>
        <v>0</v>
      </c>
      <c r="H65" s="33">
        <f>IF(I65=0,0,I65/G65)</f>
        <v>0</v>
      </c>
      <c r="I65" s="33">
        <f>T65</f>
        <v>0</v>
      </c>
      <c r="J65" s="35"/>
      <c r="K65" s="35"/>
      <c r="L65" s="42">
        <f>L62</f>
        <v>5</v>
      </c>
      <c r="M65" s="35"/>
      <c r="N65" s="37">
        <f>AK65</f>
        <v>0</v>
      </c>
      <c r="O65" s="38">
        <f>IF(N65=0,0,N65/I65)</f>
        <v>0</v>
      </c>
      <c r="Q65" s="56">
        <f>SUM(Q58:Q64)</f>
        <v>0</v>
      </c>
      <c r="R65" s="56">
        <f>SUM(R58:R64)</f>
        <v>0</v>
      </c>
      <c r="S65" s="56">
        <f>SUM(S58:S64)</f>
        <v>0</v>
      </c>
      <c r="T65" s="58">
        <f>SUM(T58:T64)</f>
        <v>0</v>
      </c>
      <c r="AK65" s="58">
        <f>SUM(AK58:AK64)</f>
        <v>0</v>
      </c>
    </row>
    <row r="66" spans="1:37" ht="14.1" customHeight="1" x14ac:dyDescent="0.25">
      <c r="A66" s="35"/>
      <c r="B66" s="35"/>
      <c r="C66" s="35"/>
      <c r="D66" s="40" t="s">
        <v>63</v>
      </c>
      <c r="E66" s="32">
        <f>SUM(E65:E65)</f>
        <v>0</v>
      </c>
      <c r="F66" s="32">
        <f>SUM(F65:F65)</f>
        <v>0</v>
      </c>
      <c r="G66" s="32">
        <f>SUM(G65:G65)</f>
        <v>0</v>
      </c>
      <c r="H66" s="33"/>
      <c r="I66" s="33">
        <f>SUM(I65:I65)</f>
        <v>0</v>
      </c>
      <c r="J66" s="35"/>
      <c r="K66" s="35"/>
      <c r="L66" s="35"/>
      <c r="M66" s="35"/>
      <c r="N66" s="37">
        <f>SUM(N65:N65)</f>
        <v>0</v>
      </c>
      <c r="O66" s="38">
        <f>IF(N66=0,0,N66/I66)</f>
        <v>0</v>
      </c>
    </row>
    <row r="67" spans="1:37" ht="14.1" customHeigh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37" ht="14.1" customHeight="1" x14ac:dyDescent="0.25">
      <c r="A68" s="45" t="s">
        <v>1</v>
      </c>
      <c r="B68" s="46"/>
      <c r="C68" s="116">
        <f>Input!C7</f>
        <v>0</v>
      </c>
      <c r="D68" s="116"/>
      <c r="E68" s="116"/>
      <c r="F68" s="116"/>
      <c r="G68" s="116"/>
      <c r="H68" s="116"/>
      <c r="I68" s="116"/>
      <c r="J68" s="35"/>
      <c r="K68" s="35"/>
      <c r="L68" s="35"/>
      <c r="M68" s="35"/>
      <c r="N68" s="35"/>
      <c r="O68" s="35"/>
    </row>
    <row r="70" spans="1:37" s="52" customFormat="1" hidden="1" x14ac:dyDescent="0.25">
      <c r="B70" s="52" t="s">
        <v>12</v>
      </c>
      <c r="C70" s="52" t="s">
        <v>22</v>
      </c>
    </row>
    <row r="71" spans="1:37" s="52" customFormat="1" hidden="1" x14ac:dyDescent="0.25">
      <c r="B71" s="52" t="s">
        <v>14</v>
      </c>
      <c r="C71" s="52" t="s">
        <v>24</v>
      </c>
    </row>
    <row r="72" spans="1:37" s="52" customFormat="1" hidden="1" x14ac:dyDescent="0.25">
      <c r="B72" s="52" t="s">
        <v>134</v>
      </c>
    </row>
    <row r="73" spans="1:37" s="52" customFormat="1" hidden="1" x14ac:dyDescent="0.25">
      <c r="B73" s="103" t="s">
        <v>157</v>
      </c>
    </row>
  </sheetData>
  <sheetProtection sheet="1" objects="1" scenarios="1"/>
  <mergeCells count="48">
    <mergeCell ref="Q2:AI2"/>
    <mergeCell ref="AK2:AN2"/>
    <mergeCell ref="B51:C51"/>
    <mergeCell ref="B42:C42"/>
    <mergeCell ref="B13:B15"/>
    <mergeCell ref="B41:C41"/>
    <mergeCell ref="B21:B22"/>
    <mergeCell ref="AA3:AD3"/>
    <mergeCell ref="V3:Y3"/>
    <mergeCell ref="B44:C44"/>
    <mergeCell ref="AF3:AI3"/>
    <mergeCell ref="Q3:T3"/>
    <mergeCell ref="A4:B4"/>
    <mergeCell ref="N4:O4"/>
    <mergeCell ref="Q39:T39"/>
    <mergeCell ref="V39:Y39"/>
    <mergeCell ref="A40:A52"/>
    <mergeCell ref="B40:C40"/>
    <mergeCell ref="A5:B5"/>
    <mergeCell ref="A58:A63"/>
    <mergeCell ref="B59:C59"/>
    <mergeCell ref="B62:C62"/>
    <mergeCell ref="B10:B12"/>
    <mergeCell ref="B60:C60"/>
    <mergeCell ref="A6:A32"/>
    <mergeCell ref="B6:B9"/>
    <mergeCell ref="B16:B18"/>
    <mergeCell ref="B19:B20"/>
    <mergeCell ref="B49:C49"/>
    <mergeCell ref="B45:C45"/>
    <mergeCell ref="C5:D5"/>
    <mergeCell ref="B23:B24"/>
    <mergeCell ref="C68:I68"/>
    <mergeCell ref="B63:C63"/>
    <mergeCell ref="B61:C61"/>
    <mergeCell ref="B58:C58"/>
    <mergeCell ref="A1:O1"/>
    <mergeCell ref="A2:O2"/>
    <mergeCell ref="A3:O3"/>
    <mergeCell ref="B43:C43"/>
    <mergeCell ref="B25:B28"/>
    <mergeCell ref="B29:B32"/>
    <mergeCell ref="B50:C50"/>
    <mergeCell ref="B52:C52"/>
    <mergeCell ref="E4:G4"/>
    <mergeCell ref="B46:C46"/>
    <mergeCell ref="B47:C47"/>
    <mergeCell ref="B48:C48"/>
  </mergeCells>
  <phoneticPr fontId="0" type="noConversion"/>
  <dataValidations count="2">
    <dataValidation type="list" allowBlank="1" showInputMessage="1" showErrorMessage="1" sqref="D6:D32">
      <formula1>$B$70:$B$73</formula1>
    </dataValidation>
    <dataValidation type="list" allowBlank="1" showInputMessage="1" showErrorMessage="1" sqref="D40:D50">
      <formula1>$C$70:$C$71</formula1>
    </dataValidation>
  </dataValidations>
  <printOptions horizontalCentered="1"/>
  <pageMargins left="0.3" right="0.12" top="0.15" bottom="0.5" header="0.5" footer="0.25"/>
  <pageSetup scale="77" orientation="portrait" r:id="rId1"/>
  <headerFooter alignWithMargins="0">
    <oddFooter>&amp;R&amp;8Version 2013.10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34.83203125" style="14" customWidth="1"/>
    <col min="2" max="4" width="20.83203125" style="14" customWidth="1"/>
    <col min="5" max="5" width="9.33203125" style="14"/>
    <col min="6" max="6" width="28" style="68" hidden="1" customWidth="1"/>
    <col min="7" max="7" width="14.5" style="68" hidden="1" customWidth="1"/>
    <col min="8" max="9" width="10.5" style="68" hidden="1" customWidth="1"/>
    <col min="10" max="10" width="11" style="68" hidden="1" customWidth="1"/>
    <col min="11" max="11" width="14.5" style="68" hidden="1" customWidth="1"/>
    <col min="12" max="12" width="11.83203125" style="68" hidden="1" customWidth="1"/>
    <col min="13" max="13" width="14.33203125" style="68" hidden="1" customWidth="1"/>
    <col min="14" max="14" width="11.83203125" style="68" hidden="1" customWidth="1"/>
    <col min="15" max="16384" width="9.33203125" style="14"/>
  </cols>
  <sheetData>
    <row r="1" spans="1:15" ht="15.75" x14ac:dyDescent="0.25">
      <c r="A1" s="137" t="s">
        <v>122</v>
      </c>
      <c r="B1" s="137"/>
      <c r="C1" s="137"/>
      <c r="D1" s="137"/>
      <c r="E1" s="65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38">
        <f>Input!C6</f>
        <v>0</v>
      </c>
      <c r="B2" s="138"/>
      <c r="C2" s="138"/>
      <c r="D2" s="138"/>
    </row>
    <row r="3" spans="1:15" x14ac:dyDescent="0.25">
      <c r="A3" s="139">
        <f>Input!C5</f>
        <v>0</v>
      </c>
      <c r="B3" s="139"/>
      <c r="C3" s="139"/>
      <c r="D3" s="139"/>
    </row>
    <row r="4" spans="1:15" ht="6.95" customHeight="1" x14ac:dyDescent="0.25"/>
    <row r="5" spans="1:15" x14ac:dyDescent="0.25">
      <c r="B5" s="18" t="s">
        <v>73</v>
      </c>
      <c r="C5" s="18" t="s">
        <v>74</v>
      </c>
      <c r="D5" s="18" t="s">
        <v>75</v>
      </c>
    </row>
    <row r="6" spans="1:15" x14ac:dyDescent="0.25">
      <c r="A6" s="15" t="s">
        <v>158</v>
      </c>
      <c r="B6" s="18">
        <f>ROUND(Point!G34*Point!L34,0)</f>
        <v>0</v>
      </c>
      <c r="C6" s="69">
        <f>Input!D18</f>
        <v>4.67</v>
      </c>
      <c r="D6" s="20">
        <f>ROUND(B6*C6,2)</f>
        <v>0</v>
      </c>
    </row>
    <row r="7" spans="1:15" x14ac:dyDescent="0.25">
      <c r="A7" s="15" t="s">
        <v>76</v>
      </c>
      <c r="B7" s="18">
        <f>ROUND(Point!G35*Point!L35,0)</f>
        <v>0</v>
      </c>
      <c r="C7" s="69">
        <f>Input!D15</f>
        <v>5.61</v>
      </c>
      <c r="D7" s="20">
        <f>ROUND(B7*C7,2)</f>
        <v>0</v>
      </c>
    </row>
    <row r="8" spans="1:15" x14ac:dyDescent="0.25">
      <c r="A8" s="15" t="s">
        <v>77</v>
      </c>
      <c r="B8" s="18">
        <f>ROUND(Point!G36*Point!L36,0)</f>
        <v>0</v>
      </c>
      <c r="C8" s="69">
        <f>Input!D16</f>
        <v>6.54</v>
      </c>
      <c r="D8" s="20">
        <f>ROUND(B8*C8,2)</f>
        <v>0</v>
      </c>
    </row>
    <row r="9" spans="1:15" x14ac:dyDescent="0.25">
      <c r="A9" s="15" t="s">
        <v>135</v>
      </c>
      <c r="B9" s="18">
        <f>ROUND(Point!G37*Point!L37,0)</f>
        <v>0</v>
      </c>
      <c r="C9" s="69">
        <f>Input!D17</f>
        <v>8.41</v>
      </c>
      <c r="D9" s="20">
        <f>ROUND(B9*C9,2)</f>
        <v>0</v>
      </c>
    </row>
    <row r="10" spans="1:15" s="74" customFormat="1" x14ac:dyDescent="0.25">
      <c r="A10" s="70" t="s">
        <v>78</v>
      </c>
      <c r="B10" s="71">
        <f>SUM(B6:B9)</f>
        <v>0</v>
      </c>
      <c r="C10" s="72"/>
      <c r="D10" s="73">
        <f>SUM(D6:D9)</f>
        <v>0</v>
      </c>
      <c r="F10" s="68"/>
      <c r="G10" s="68"/>
      <c r="H10" s="68"/>
      <c r="I10" s="68"/>
      <c r="J10" s="68"/>
      <c r="K10" s="68"/>
      <c r="L10" s="68"/>
      <c r="M10" s="68"/>
      <c r="N10" s="68"/>
    </row>
    <row r="11" spans="1:15" ht="6.95" customHeight="1" x14ac:dyDescent="0.25"/>
    <row r="12" spans="1:15" x14ac:dyDescent="0.25">
      <c r="A12" s="15" t="s">
        <v>21</v>
      </c>
      <c r="B12" s="18">
        <f>ROUND(Point!G54*Point!L54,0)</f>
        <v>0</v>
      </c>
      <c r="C12" s="69">
        <f>Input!D29</f>
        <v>3.74</v>
      </c>
      <c r="D12" s="20">
        <f>ROUND(B12*C12,2)</f>
        <v>0</v>
      </c>
    </row>
    <row r="13" spans="1:15" x14ac:dyDescent="0.25">
      <c r="A13" s="15" t="s">
        <v>23</v>
      </c>
      <c r="B13" s="18">
        <f>ROUND(Point!G55*Point!L55,0)</f>
        <v>0</v>
      </c>
      <c r="C13" s="69">
        <f>Input!D30</f>
        <v>4.67</v>
      </c>
      <c r="D13" s="20">
        <f>ROUND(B13*C13,2)</f>
        <v>0</v>
      </c>
    </row>
    <row r="14" spans="1:15" s="74" customFormat="1" x14ac:dyDescent="0.25">
      <c r="A14" s="70" t="s">
        <v>79</v>
      </c>
      <c r="B14" s="71">
        <f>SUM(B12:B13)</f>
        <v>0</v>
      </c>
      <c r="C14" s="72"/>
      <c r="D14" s="73">
        <f>SUM(D12:D13)</f>
        <v>0</v>
      </c>
      <c r="F14" s="68"/>
      <c r="G14" s="68"/>
      <c r="H14" s="68"/>
      <c r="I14" s="68"/>
      <c r="J14" s="68"/>
      <c r="K14" s="68"/>
      <c r="L14" s="68"/>
      <c r="M14" s="68"/>
      <c r="N14" s="68"/>
    </row>
    <row r="15" spans="1:15" ht="6.95" customHeight="1" x14ac:dyDescent="0.25"/>
    <row r="16" spans="1:15" x14ac:dyDescent="0.25">
      <c r="A16" s="15" t="s">
        <v>80</v>
      </c>
      <c r="B16" s="18">
        <f>ROUND(Point!G58*Point!L58,0)</f>
        <v>0</v>
      </c>
      <c r="C16" s="69">
        <f>Input!D22</f>
        <v>4.67</v>
      </c>
      <c r="D16" s="20">
        <f t="shared" ref="D16:D21" si="0">ROUND(B16*C16,2)</f>
        <v>0</v>
      </c>
    </row>
    <row r="17" spans="1:14" x14ac:dyDescent="0.25">
      <c r="A17" s="15" t="s">
        <v>81</v>
      </c>
      <c r="B17" s="18">
        <f>ROUND(Point!G59*Point!L59,0)</f>
        <v>0</v>
      </c>
      <c r="C17" s="69">
        <f>Input!D23</f>
        <v>4.67</v>
      </c>
      <c r="D17" s="20">
        <f t="shared" si="0"/>
        <v>0</v>
      </c>
    </row>
    <row r="18" spans="1:14" x14ac:dyDescent="0.25">
      <c r="A18" s="15" t="s">
        <v>136</v>
      </c>
      <c r="B18" s="18">
        <f>ROUND(Point!G60*Point!L60,0)</f>
        <v>0</v>
      </c>
      <c r="C18" s="69">
        <f>Input!D24</f>
        <v>4.67</v>
      </c>
      <c r="D18" s="20">
        <f t="shared" si="0"/>
        <v>0</v>
      </c>
    </row>
    <row r="19" spans="1:14" x14ac:dyDescent="0.25">
      <c r="A19" s="15" t="s">
        <v>137</v>
      </c>
      <c r="B19" s="18">
        <f>ROUND(Point!G61*Point!L61,0)</f>
        <v>0</v>
      </c>
      <c r="C19" s="69">
        <f>Input!D25</f>
        <v>4.67</v>
      </c>
      <c r="D19" s="20">
        <f t="shared" si="0"/>
        <v>0</v>
      </c>
    </row>
    <row r="20" spans="1:14" x14ac:dyDescent="0.25">
      <c r="A20" s="15" t="s">
        <v>82</v>
      </c>
      <c r="B20" s="18">
        <f>ROUND(Point!G62*Point!L62,0)</f>
        <v>0</v>
      </c>
      <c r="C20" s="69">
        <f>Input!D26</f>
        <v>4.67</v>
      </c>
      <c r="D20" s="20">
        <f t="shared" si="0"/>
        <v>0</v>
      </c>
    </row>
    <row r="21" spans="1:14" x14ac:dyDescent="0.25">
      <c r="A21" s="15" t="s">
        <v>20</v>
      </c>
      <c r="B21" s="18">
        <f>ROUND(Point!G63*Point!L63,0)</f>
        <v>0</v>
      </c>
      <c r="C21" s="69">
        <f>Input!D27</f>
        <v>4.67</v>
      </c>
      <c r="D21" s="20">
        <f t="shared" si="0"/>
        <v>0</v>
      </c>
    </row>
    <row r="22" spans="1:14" s="74" customFormat="1" x14ac:dyDescent="0.25">
      <c r="A22" s="70" t="s">
        <v>83</v>
      </c>
      <c r="B22" s="71">
        <f>SUM(B16:B21)</f>
        <v>0</v>
      </c>
      <c r="C22" s="72"/>
      <c r="D22" s="73">
        <f>SUM(D16:D21)</f>
        <v>0</v>
      </c>
      <c r="F22" s="68"/>
      <c r="G22" s="68"/>
      <c r="H22" s="68"/>
      <c r="I22" s="68"/>
      <c r="J22" s="68"/>
      <c r="K22" s="68"/>
      <c r="L22" s="68"/>
      <c r="M22" s="68"/>
      <c r="N22" s="68"/>
    </row>
    <row r="23" spans="1:14" ht="6.95" customHeight="1" x14ac:dyDescent="0.25"/>
    <row r="24" spans="1:14" x14ac:dyDescent="0.25">
      <c r="A24" s="75" t="s">
        <v>25</v>
      </c>
      <c r="B24" s="76"/>
      <c r="C24" s="77" t="s">
        <v>84</v>
      </c>
      <c r="D24" s="78">
        <f>ROUND(SUM(D10,D14,D22),2)</f>
        <v>0</v>
      </c>
    </row>
    <row r="25" spans="1:14" x14ac:dyDescent="0.25">
      <c r="A25" s="79" t="str">
        <f>Point!C4</f>
        <v>Cash</v>
      </c>
      <c r="B25" s="80">
        <f>Input!C11</f>
        <v>0.21</v>
      </c>
      <c r="C25" s="77" t="s">
        <v>85</v>
      </c>
      <c r="D25" s="73">
        <f>IF(Input!C9="Y",ROUND(Summary!D24*B25,2),0)</f>
        <v>0</v>
      </c>
    </row>
    <row r="26" spans="1:14" x14ac:dyDescent="0.25">
      <c r="A26" s="75" t="s">
        <v>1</v>
      </c>
      <c r="B26" s="80">
        <f>Input!C10</f>
        <v>7.0000000000000007E-2</v>
      </c>
      <c r="C26" s="77" t="s">
        <v>86</v>
      </c>
      <c r="D26" s="73">
        <f>ROUND(SUM(D24:D25)*B26,2)</f>
        <v>0</v>
      </c>
    </row>
    <row r="27" spans="1:14" x14ac:dyDescent="0.25">
      <c r="A27" s="79">
        <f>Input!C7</f>
        <v>0</v>
      </c>
      <c r="B27" s="76"/>
      <c r="C27" s="77" t="s">
        <v>87</v>
      </c>
      <c r="D27" s="73">
        <f>SUM(D24:D26)</f>
        <v>0</v>
      </c>
    </row>
    <row r="28" spans="1:14" x14ac:dyDescent="0.25">
      <c r="A28" s="75" t="s">
        <v>88</v>
      </c>
      <c r="B28" s="76"/>
      <c r="C28" s="77" t="s">
        <v>89</v>
      </c>
      <c r="D28" s="73">
        <f>Input!C12</f>
        <v>0</v>
      </c>
    </row>
    <row r="29" spans="1:14" x14ac:dyDescent="0.25">
      <c r="A29" s="79">
        <f>Input!C8</f>
        <v>0</v>
      </c>
      <c r="B29" s="76"/>
      <c r="C29" s="77" t="s">
        <v>90</v>
      </c>
      <c r="D29" s="73">
        <f>IF(Input!C9="Y",Summary!D27,0)</f>
        <v>0</v>
      </c>
    </row>
    <row r="30" spans="1:14" x14ac:dyDescent="0.25">
      <c r="B30" s="76"/>
      <c r="C30" s="77" t="s">
        <v>91</v>
      </c>
      <c r="D30" s="73">
        <f>D29+D28-D27</f>
        <v>0</v>
      </c>
    </row>
    <row r="31" spans="1:14" ht="6.95" customHeight="1" x14ac:dyDescent="0.25"/>
    <row r="32" spans="1:14" x14ac:dyDescent="0.25">
      <c r="A32" s="81"/>
      <c r="B32" s="81"/>
      <c r="C32" s="81"/>
      <c r="D32" s="81"/>
    </row>
    <row r="33" spans="1:4" x14ac:dyDescent="0.25">
      <c r="A33" s="140" t="s">
        <v>92</v>
      </c>
      <c r="B33" s="140"/>
      <c r="C33" s="140"/>
      <c r="D33" s="140"/>
    </row>
    <row r="34" spans="1:4" ht="6.95" customHeight="1" x14ac:dyDescent="0.25"/>
    <row r="35" spans="1:4" x14ac:dyDescent="0.25">
      <c r="A35" s="82"/>
      <c r="B35" s="83" t="s">
        <v>93</v>
      </c>
      <c r="C35" s="71" t="s">
        <v>94</v>
      </c>
      <c r="D35" s="71" t="s">
        <v>95</v>
      </c>
    </row>
    <row r="36" spans="1:4" x14ac:dyDescent="0.25">
      <c r="A36" s="15" t="s">
        <v>158</v>
      </c>
      <c r="B36" s="69">
        <f>D6</f>
        <v>0</v>
      </c>
      <c r="C36" s="69">
        <f>Point!N34</f>
        <v>0</v>
      </c>
      <c r="D36" s="84">
        <f>IF(B36=0,0,C36/B36)</f>
        <v>0</v>
      </c>
    </row>
    <row r="37" spans="1:4" x14ac:dyDescent="0.25">
      <c r="A37" s="15" t="s">
        <v>76</v>
      </c>
      <c r="B37" s="69">
        <f>D7</f>
        <v>0</v>
      </c>
      <c r="C37" s="69">
        <f>Point!N35</f>
        <v>0</v>
      </c>
      <c r="D37" s="84">
        <f>IF(B37=0,0,C37/B37)</f>
        <v>0</v>
      </c>
    </row>
    <row r="38" spans="1:4" x14ac:dyDescent="0.25">
      <c r="A38" s="15" t="s">
        <v>77</v>
      </c>
      <c r="B38" s="69">
        <f>D8</f>
        <v>0</v>
      </c>
      <c r="C38" s="69">
        <f>Point!N36</f>
        <v>0</v>
      </c>
      <c r="D38" s="84">
        <f>IF(B38=0,0,C38/B38)</f>
        <v>0</v>
      </c>
    </row>
    <row r="39" spans="1:4" x14ac:dyDescent="0.25">
      <c r="A39" s="15" t="s">
        <v>146</v>
      </c>
      <c r="B39" s="69">
        <f>D9</f>
        <v>0</v>
      </c>
      <c r="C39" s="69">
        <f>Point!N37</f>
        <v>0</v>
      </c>
      <c r="D39" s="84">
        <f>IF(B39=0,0,C39/B39)</f>
        <v>0</v>
      </c>
    </row>
    <row r="40" spans="1:4" x14ac:dyDescent="0.25">
      <c r="A40" s="70" t="s">
        <v>78</v>
      </c>
      <c r="B40" s="78">
        <f>SUM(B36:B39)</f>
        <v>0</v>
      </c>
      <c r="C40" s="78">
        <f>SUM(C36:C39)</f>
        <v>0</v>
      </c>
      <c r="D40" s="85">
        <f>IF(B40=0,0,C40/B40)</f>
        <v>0</v>
      </c>
    </row>
    <row r="41" spans="1:4" ht="6.95" customHeight="1" x14ac:dyDescent="0.25"/>
    <row r="42" spans="1:4" x14ac:dyDescent="0.25">
      <c r="A42" s="70" t="s">
        <v>96</v>
      </c>
      <c r="B42" s="86">
        <f>Input!D19</f>
        <v>1.5</v>
      </c>
      <c r="C42" s="87"/>
      <c r="D42" s="88"/>
    </row>
    <row r="43" spans="1:4" ht="6.95" customHeight="1" x14ac:dyDescent="0.25"/>
    <row r="44" spans="1:4" x14ac:dyDescent="0.25">
      <c r="A44" s="15" t="s">
        <v>21</v>
      </c>
      <c r="B44" s="69">
        <f>D12</f>
        <v>0</v>
      </c>
      <c r="C44" s="69">
        <f>Point!N54</f>
        <v>0</v>
      </c>
      <c r="D44" s="84">
        <f>IF(B44=0,0,C44/B44)</f>
        <v>0</v>
      </c>
    </row>
    <row r="45" spans="1:4" x14ac:dyDescent="0.25">
      <c r="A45" s="15" t="s">
        <v>23</v>
      </c>
      <c r="B45" s="69">
        <f>D13</f>
        <v>0</v>
      </c>
      <c r="C45" s="69">
        <f>Point!N55</f>
        <v>0</v>
      </c>
      <c r="D45" s="84">
        <f>IF(B45=0,0,C45/B45)</f>
        <v>0</v>
      </c>
    </row>
    <row r="46" spans="1:4" x14ac:dyDescent="0.25">
      <c r="A46" s="70" t="s">
        <v>79</v>
      </c>
      <c r="B46" s="78">
        <f>SUM(B44:B45)</f>
        <v>0</v>
      </c>
      <c r="C46" s="78">
        <f>SUM(C44:C45)</f>
        <v>0</v>
      </c>
      <c r="D46" s="85">
        <f>IF(B46=0,0,C46/B46)</f>
        <v>0</v>
      </c>
    </row>
    <row r="47" spans="1:4" ht="6.95" customHeight="1" x14ac:dyDescent="0.25"/>
    <row r="48" spans="1:4" x14ac:dyDescent="0.25">
      <c r="A48" s="15" t="s">
        <v>15</v>
      </c>
      <c r="B48" s="69">
        <f>D22</f>
        <v>0</v>
      </c>
      <c r="C48" s="69">
        <f>Point!N65</f>
        <v>0</v>
      </c>
      <c r="D48" s="84">
        <f>IF(B48=0,0,C48/B48)</f>
        <v>0</v>
      </c>
    </row>
    <row r="49" spans="1:7" x14ac:dyDescent="0.25">
      <c r="A49" s="70" t="s">
        <v>97</v>
      </c>
      <c r="B49" s="78">
        <f>SUM(B48:B48)</f>
        <v>0</v>
      </c>
      <c r="C49" s="78">
        <f>SUM(C48:C48)</f>
        <v>0</v>
      </c>
      <c r="D49" s="85">
        <f>IF(B49=0,0,C49/B49)</f>
        <v>0</v>
      </c>
    </row>
    <row r="50" spans="1:7" ht="6.95" customHeight="1" x14ac:dyDescent="0.25"/>
    <row r="51" spans="1:7" x14ac:dyDescent="0.25">
      <c r="A51" s="89" t="s">
        <v>98</v>
      </c>
      <c r="B51" s="78">
        <f>B40+B46+B49</f>
        <v>0</v>
      </c>
      <c r="C51" s="78">
        <f>C40+C46+C49</f>
        <v>0</v>
      </c>
      <c r="D51" s="85">
        <f>IF(B51=0,0,C51/B51)</f>
        <v>0</v>
      </c>
    </row>
    <row r="55" spans="1:7" s="68" customFormat="1" hidden="1" x14ac:dyDescent="0.25">
      <c r="F55" s="90" t="s">
        <v>101</v>
      </c>
      <c r="G55" s="91">
        <f>Input!C12</f>
        <v>0</v>
      </c>
    </row>
    <row r="56" spans="1:7" s="68" customFormat="1" hidden="1" x14ac:dyDescent="0.25">
      <c r="F56" s="90" t="s">
        <v>86</v>
      </c>
      <c r="G56" s="91">
        <f>ROUND(IF(Input!C10=0,0,G55-(G55/(1+Input!C10))),2)</f>
        <v>0</v>
      </c>
    </row>
    <row r="57" spans="1:7" s="68" customFormat="1" hidden="1" x14ac:dyDescent="0.25">
      <c r="F57" s="90" t="s">
        <v>102</v>
      </c>
      <c r="G57" s="91">
        <f>D14</f>
        <v>0</v>
      </c>
    </row>
    <row r="58" spans="1:7" s="68" customFormat="1" hidden="1" x14ac:dyDescent="0.25">
      <c r="F58" s="90" t="s">
        <v>103</v>
      </c>
      <c r="G58" s="91">
        <f>D22</f>
        <v>0</v>
      </c>
    </row>
    <row r="59" spans="1:7" s="68" customFormat="1" hidden="1" x14ac:dyDescent="0.25">
      <c r="F59" s="90" t="s">
        <v>104</v>
      </c>
      <c r="G59" s="91">
        <f>G55-SUM(G56:G58)</f>
        <v>0</v>
      </c>
    </row>
    <row r="60" spans="1:7" s="68" customFormat="1" hidden="1" x14ac:dyDescent="0.25">
      <c r="F60" s="90" t="s">
        <v>105</v>
      </c>
      <c r="G60" s="91">
        <f>G55-SUM(G56:G59)</f>
        <v>0</v>
      </c>
    </row>
    <row r="61" spans="1:7" s="68" customFormat="1" hidden="1" x14ac:dyDescent="0.25">
      <c r="G61" s="92"/>
    </row>
    <row r="62" spans="1:7" s="68" customFormat="1" hidden="1" x14ac:dyDescent="0.25">
      <c r="F62" s="90" t="s">
        <v>104</v>
      </c>
      <c r="G62" s="91">
        <f>G59</f>
        <v>0</v>
      </c>
    </row>
    <row r="63" spans="1:7" s="68" customFormat="1" hidden="1" x14ac:dyDescent="0.25">
      <c r="F63" s="90" t="s">
        <v>106</v>
      </c>
      <c r="G63" s="93">
        <f>Point!G38</f>
        <v>0</v>
      </c>
    </row>
    <row r="64" spans="1:7" s="68" customFormat="1" hidden="1" x14ac:dyDescent="0.25">
      <c r="F64" s="90" t="s">
        <v>107</v>
      </c>
      <c r="G64" s="93" t="e">
        <f>26.40825/G62*G63</f>
        <v>#DIV/0!</v>
      </c>
    </row>
    <row r="65" spans="6:14" s="68" customFormat="1" hidden="1" x14ac:dyDescent="0.25"/>
    <row r="66" spans="6:14" s="68" customFormat="1" hidden="1" x14ac:dyDescent="0.25">
      <c r="G66" s="94" t="s">
        <v>32</v>
      </c>
      <c r="H66" s="94" t="s">
        <v>26</v>
      </c>
      <c r="I66" s="94" t="s">
        <v>110</v>
      </c>
      <c r="K66" s="94" t="s">
        <v>34</v>
      </c>
      <c r="N66" s="94" t="s">
        <v>111</v>
      </c>
    </row>
    <row r="67" spans="6:14" s="68" customFormat="1" hidden="1" x14ac:dyDescent="0.25">
      <c r="F67" s="90" t="s">
        <v>12</v>
      </c>
      <c r="G67" s="93">
        <f>Point!G34</f>
        <v>0</v>
      </c>
      <c r="H67" s="91">
        <f>Point!H34</f>
        <v>4.67</v>
      </c>
      <c r="I67" s="93">
        <f>ROUND(G67*(750*35.211/1000)/Input!$E$19,2)</f>
        <v>0</v>
      </c>
      <c r="J67" s="95">
        <f>IF($I$71=0,0,I67/$I$71)</f>
        <v>0</v>
      </c>
      <c r="K67" s="91">
        <f>ROUND(H67*I67,2)</f>
        <v>0</v>
      </c>
      <c r="L67" s="95">
        <f>IF($K$71=0,0,K67/$K$71)</f>
        <v>0</v>
      </c>
      <c r="M67" s="91">
        <f>ROUND($M$71*L67,2)</f>
        <v>0</v>
      </c>
      <c r="N67" s="93">
        <f>ROUND(IF(M67=0,0,26.40825/(M67/H67)*G67),2)</f>
        <v>0</v>
      </c>
    </row>
    <row r="68" spans="6:14" s="68" customFormat="1" hidden="1" x14ac:dyDescent="0.25">
      <c r="F68" s="90" t="s">
        <v>108</v>
      </c>
      <c r="G68" s="93">
        <f>Point!G35</f>
        <v>0</v>
      </c>
      <c r="H68" s="91">
        <f>Point!H35</f>
        <v>5.61</v>
      </c>
      <c r="I68" s="93">
        <f>ROUND(G68*(750*35.211/1000)/Input!$E$19,2)</f>
        <v>0</v>
      </c>
      <c r="J68" s="95">
        <f>IF($I$71=0,0,I68/$I$71)</f>
        <v>0</v>
      </c>
      <c r="K68" s="91">
        <f>ROUND(H68*I68,2)</f>
        <v>0</v>
      </c>
      <c r="L68" s="95">
        <f>IF($K$71=0,0,K68/$K$71)</f>
        <v>0</v>
      </c>
      <c r="M68" s="91">
        <f>ROUND($M$71*L68,2)</f>
        <v>0</v>
      </c>
      <c r="N68" s="93">
        <f>ROUND(IF(M68=0,0,26.40825/(M68/H68)*G68),2)</f>
        <v>0</v>
      </c>
    </row>
    <row r="69" spans="6:14" s="68" customFormat="1" hidden="1" x14ac:dyDescent="0.25">
      <c r="F69" s="90" t="s">
        <v>109</v>
      </c>
      <c r="G69" s="93">
        <f>Point!G36</f>
        <v>0</v>
      </c>
      <c r="H69" s="91">
        <f>Point!H36</f>
        <v>6.54</v>
      </c>
      <c r="I69" s="93">
        <f>ROUND(G69*(750*35.211/1000)/Input!$E$19,2)</f>
        <v>0</v>
      </c>
      <c r="J69" s="95">
        <f>IF($I$71=0,0,I69/$I$71)</f>
        <v>0</v>
      </c>
      <c r="K69" s="91">
        <f>ROUND(H69*I69,2)</f>
        <v>0</v>
      </c>
      <c r="L69" s="95">
        <f>IF($K$71=0,0,K69/$K$71)</f>
        <v>0</v>
      </c>
      <c r="M69" s="91">
        <f>ROUND($M$71*L69,2)</f>
        <v>0</v>
      </c>
      <c r="N69" s="93">
        <f>ROUND(IF(M69=0,0,26.40825/(M69/H69)*G69),2)</f>
        <v>0</v>
      </c>
    </row>
    <row r="70" spans="6:14" s="68" customFormat="1" hidden="1" x14ac:dyDescent="0.25">
      <c r="F70" s="90" t="s">
        <v>138</v>
      </c>
      <c r="G70" s="93">
        <f>Point!G37</f>
        <v>0</v>
      </c>
      <c r="H70" s="91">
        <f>Point!H37</f>
        <v>8.41</v>
      </c>
      <c r="I70" s="93">
        <f>ROUND(G70*(750*35.211/1000)/Input!$E$19,2)</f>
        <v>0</v>
      </c>
      <c r="J70" s="95">
        <f>IF($I$71=0,0,I70/$I$71)</f>
        <v>0</v>
      </c>
      <c r="K70" s="91">
        <f>ROUND(H70*I70,2)</f>
        <v>0</v>
      </c>
      <c r="L70" s="95">
        <f>IF($K$71=0,0,K70/$K$71)</f>
        <v>0</v>
      </c>
      <c r="M70" s="91">
        <f>ROUND($M$71*L70,2)</f>
        <v>0</v>
      </c>
      <c r="N70" s="93">
        <f>ROUND(IF(M70=0,0,26.40825/(M70/H70)*G70),2)</f>
        <v>0</v>
      </c>
    </row>
    <row r="71" spans="6:14" s="68" customFormat="1" hidden="1" x14ac:dyDescent="0.25">
      <c r="G71" s="93">
        <f>SUM(G67:G70)</f>
        <v>0</v>
      </c>
      <c r="I71" s="93">
        <f>SUM(I67:I69)</f>
        <v>0</v>
      </c>
      <c r="J71" s="95">
        <f>SUM(J67:J69)</f>
        <v>0</v>
      </c>
      <c r="K71" s="91">
        <f>SUM(K67:K70)</f>
        <v>0</v>
      </c>
      <c r="L71" s="95">
        <f>SUM(L67:L69)</f>
        <v>0</v>
      </c>
      <c r="M71" s="91">
        <f>G59</f>
        <v>0</v>
      </c>
      <c r="N71" s="93">
        <f>MAX(N67:N69)</f>
        <v>0</v>
      </c>
    </row>
    <row r="72" spans="6:14" x14ac:dyDescent="0.25">
      <c r="I72" s="96"/>
    </row>
  </sheetData>
  <sheetProtection sheet="1" objects="1" scenarios="1"/>
  <mergeCells count="4">
    <mergeCell ref="A1:D1"/>
    <mergeCell ref="A2:D2"/>
    <mergeCell ref="A3:D3"/>
    <mergeCell ref="A33:D33"/>
  </mergeCells>
  <phoneticPr fontId="0" type="noConversion"/>
  <printOptions horizontalCentered="1"/>
  <pageMargins left="0.5" right="0.5" top="0.5" bottom="0.5" header="0.5" footer="0.25"/>
  <pageSetup orientation="portrait" r:id="rId1"/>
  <headerFooter alignWithMargins="0">
    <oddFooter>&amp;R&amp;8Version 2013.10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="90" zoomScaleNormal="90" workbookViewId="0">
      <selection activeCell="B1" sqref="B1:B58"/>
    </sheetView>
  </sheetViews>
  <sheetFormatPr defaultRowHeight="18" x14ac:dyDescent="0.25"/>
  <cols>
    <col min="1" max="1" width="38.33203125" style="3" bestFit="1" customWidth="1"/>
    <col min="2" max="2" width="18.1640625" style="3" bestFit="1" customWidth="1"/>
    <col min="3" max="3" width="9.33203125" style="3"/>
    <col min="4" max="4" width="21.6640625" style="3" customWidth="1"/>
    <col min="5" max="5" width="23.5" style="3" bestFit="1" customWidth="1"/>
    <col min="6" max="7" width="18.1640625" style="4" bestFit="1" customWidth="1"/>
    <col min="8" max="16384" width="9.33203125" style="3"/>
  </cols>
  <sheetData>
    <row r="1" spans="1:7" x14ac:dyDescent="0.25">
      <c r="A1" s="1" t="s">
        <v>118</v>
      </c>
      <c r="B1" s="2">
        <f>Input!C5</f>
        <v>0</v>
      </c>
      <c r="D1" s="141" t="s">
        <v>125</v>
      </c>
      <c r="E1" s="141"/>
      <c r="F1" s="141"/>
      <c r="G1" s="141"/>
    </row>
    <row r="2" spans="1:7" x14ac:dyDescent="0.25">
      <c r="A2" s="1"/>
      <c r="B2" s="2"/>
      <c r="D2" s="141">
        <f>Input!C5</f>
        <v>0</v>
      </c>
      <c r="E2" s="141"/>
      <c r="F2" s="141"/>
      <c r="G2" s="141"/>
    </row>
    <row r="3" spans="1:7" x14ac:dyDescent="0.25">
      <c r="A3" s="5" t="s">
        <v>119</v>
      </c>
      <c r="B3" s="2" t="str">
        <f>Summary!A25</f>
        <v>Cash</v>
      </c>
      <c r="D3" s="142">
        <f>Input!C6</f>
        <v>0</v>
      </c>
      <c r="E3" s="142"/>
      <c r="F3" s="142"/>
      <c r="G3" s="142"/>
    </row>
    <row r="4" spans="1:7" x14ac:dyDescent="0.25">
      <c r="A4" s="5" t="s">
        <v>114</v>
      </c>
      <c r="B4" s="2">
        <f>Input!C6</f>
        <v>0</v>
      </c>
      <c r="F4" s="3"/>
      <c r="G4" s="3"/>
    </row>
    <row r="5" spans="1:7" x14ac:dyDescent="0.25">
      <c r="F5" s="3"/>
      <c r="G5" s="3"/>
    </row>
    <row r="6" spans="1:7" x14ac:dyDescent="0.25">
      <c r="A6" s="5" t="s">
        <v>104</v>
      </c>
      <c r="B6" s="6">
        <f>Summary!D10</f>
        <v>0</v>
      </c>
      <c r="F6" s="12" t="s">
        <v>127</v>
      </c>
      <c r="G6" s="12" t="s">
        <v>128</v>
      </c>
    </row>
    <row r="7" spans="1:7" x14ac:dyDescent="0.25">
      <c r="A7" s="5" t="s">
        <v>102</v>
      </c>
      <c r="B7" s="6">
        <f>Summary!D14</f>
        <v>0</v>
      </c>
      <c r="D7" s="2">
        <v>454598</v>
      </c>
      <c r="E7" s="5" t="s">
        <v>126</v>
      </c>
      <c r="F7" s="13">
        <f>G13</f>
        <v>0</v>
      </c>
      <c r="G7" s="13"/>
    </row>
    <row r="8" spans="1:7" x14ac:dyDescent="0.25">
      <c r="A8" s="5" t="s">
        <v>103</v>
      </c>
      <c r="B8" s="6">
        <f>Summary!D22</f>
        <v>0</v>
      </c>
      <c r="D8" s="2">
        <v>464691</v>
      </c>
      <c r="E8" s="5" t="s">
        <v>104</v>
      </c>
      <c r="F8" s="13"/>
      <c r="G8" s="13">
        <f>IF(Summary!A25="Host",Summary!D10,0)</f>
        <v>0</v>
      </c>
    </row>
    <row r="9" spans="1:7" x14ac:dyDescent="0.25">
      <c r="A9" s="7"/>
      <c r="B9" s="7"/>
      <c r="D9" s="2">
        <v>464692</v>
      </c>
      <c r="E9" s="5" t="s">
        <v>102</v>
      </c>
      <c r="F9" s="13"/>
      <c r="G9" s="13">
        <f>IF(Summary!A25="Host",Summary!D14,0)</f>
        <v>0</v>
      </c>
    </row>
    <row r="10" spans="1:7" x14ac:dyDescent="0.25">
      <c r="D10" s="2">
        <v>464693</v>
      </c>
      <c r="E10" s="5" t="s">
        <v>103</v>
      </c>
      <c r="F10" s="13"/>
      <c r="G10" s="13">
        <f>IF(Summary!A25="Host",Summary!D22,0)</f>
        <v>0</v>
      </c>
    </row>
    <row r="11" spans="1:7" x14ac:dyDescent="0.25">
      <c r="A11" s="5" t="s">
        <v>115</v>
      </c>
      <c r="B11" s="6">
        <f>Summary!C40</f>
        <v>0</v>
      </c>
      <c r="D11" s="2">
        <v>454598</v>
      </c>
      <c r="E11" s="5" t="s">
        <v>129</v>
      </c>
      <c r="F11" s="13"/>
      <c r="G11" s="13">
        <f>IF(Summary!A25="Host",Summary!D25,0)</f>
        <v>0</v>
      </c>
    </row>
    <row r="12" spans="1:7" x14ac:dyDescent="0.25">
      <c r="A12" s="5" t="s">
        <v>116</v>
      </c>
      <c r="B12" s="6">
        <f>+Summary!C46</f>
        <v>0</v>
      </c>
      <c r="D12" s="2">
        <v>202220</v>
      </c>
      <c r="E12" s="5" t="s">
        <v>86</v>
      </c>
      <c r="F12" s="13"/>
      <c r="G12" s="13">
        <f>IF(Summary!A25="Host",Summary!D26,0)</f>
        <v>0</v>
      </c>
    </row>
    <row r="13" spans="1:7" x14ac:dyDescent="0.25">
      <c r="A13" s="5" t="s">
        <v>117</v>
      </c>
      <c r="B13" s="6">
        <f>+Summary!C49</f>
        <v>0</v>
      </c>
      <c r="F13" s="13">
        <f>SUM(F7:F12)</f>
        <v>0</v>
      </c>
      <c r="G13" s="13">
        <f>SUM(G7:G12)</f>
        <v>0</v>
      </c>
    </row>
    <row r="15" spans="1:7" x14ac:dyDescent="0.25">
      <c r="G15" s="13">
        <f>+F13-G13</f>
        <v>0</v>
      </c>
    </row>
    <row r="17" spans="1:5" x14ac:dyDescent="0.25">
      <c r="A17" s="8" t="s">
        <v>42</v>
      </c>
      <c r="B17" s="9">
        <f>Point!G8</f>
        <v>0</v>
      </c>
      <c r="D17" s="62" t="s">
        <v>145</v>
      </c>
      <c r="E17" s="62"/>
    </row>
    <row r="18" spans="1:5" x14ac:dyDescent="0.25">
      <c r="A18" s="8" t="s">
        <v>59</v>
      </c>
      <c r="B18" s="9">
        <f>Point!G25</f>
        <v>0</v>
      </c>
      <c r="D18" s="63" t="str">
        <f>Point!C29</f>
        <v>Fireball</v>
      </c>
      <c r="E18" s="63">
        <f>Point!G29</f>
        <v>0</v>
      </c>
    </row>
    <row r="19" spans="1:5" x14ac:dyDescent="0.25">
      <c r="A19" s="8" t="s">
        <v>155</v>
      </c>
      <c r="B19" s="9">
        <f>Point!G10</f>
        <v>0</v>
      </c>
      <c r="D19" s="63" t="str">
        <f>Point!C30</f>
        <v>Johnnie Walker Black</v>
      </c>
      <c r="E19" s="63">
        <f>Point!G30</f>
        <v>0</v>
      </c>
    </row>
    <row r="20" spans="1:5" x14ac:dyDescent="0.25">
      <c r="A20" s="8" t="s">
        <v>152</v>
      </c>
      <c r="B20" s="9">
        <f>Point!G13</f>
        <v>0</v>
      </c>
      <c r="D20" s="63" t="str">
        <f>Point!C31</f>
        <v>Jameson</v>
      </c>
      <c r="E20" s="63">
        <f>Point!G31</f>
        <v>0</v>
      </c>
    </row>
    <row r="21" spans="1:5" x14ac:dyDescent="0.25">
      <c r="A21" s="8" t="s">
        <v>153</v>
      </c>
      <c r="B21" s="9">
        <f>Point!G16</f>
        <v>0</v>
      </c>
      <c r="D21" s="63" t="str">
        <f>Point!C32</f>
        <v>Grey Goose</v>
      </c>
      <c r="E21" s="63">
        <f>Point!G32</f>
        <v>0</v>
      </c>
    </row>
    <row r="22" spans="1:5" x14ac:dyDescent="0.25">
      <c r="A22" s="8" t="s">
        <v>154</v>
      </c>
      <c r="B22" s="9">
        <f>Point!G6</f>
        <v>0</v>
      </c>
      <c r="D22" s="62"/>
      <c r="E22" s="62"/>
    </row>
    <row r="23" spans="1:5" x14ac:dyDescent="0.25">
      <c r="A23" s="8" t="s">
        <v>44</v>
      </c>
      <c r="B23" s="9">
        <f>Point!G11</f>
        <v>0</v>
      </c>
      <c r="D23" s="63">
        <f>Point!B51</f>
        <v>0</v>
      </c>
      <c r="E23" s="64">
        <f>Point!G51</f>
        <v>0</v>
      </c>
    </row>
    <row r="24" spans="1:5" x14ac:dyDescent="0.25">
      <c r="A24" s="8" t="s">
        <v>149</v>
      </c>
      <c r="B24" s="9">
        <f>Point!G26</f>
        <v>0</v>
      </c>
      <c r="D24" s="63">
        <f>Point!B52</f>
        <v>0</v>
      </c>
      <c r="E24" s="64">
        <f>Point!G52</f>
        <v>0</v>
      </c>
    </row>
    <row r="25" spans="1:5" x14ac:dyDescent="0.25">
      <c r="A25" s="8" t="s">
        <v>130</v>
      </c>
      <c r="B25" s="9">
        <f>Point!G12</f>
        <v>0</v>
      </c>
    </row>
    <row r="26" spans="1:5" x14ac:dyDescent="0.25">
      <c r="A26" s="8" t="s">
        <v>147</v>
      </c>
      <c r="B26" s="9">
        <f>Point!G9</f>
        <v>0</v>
      </c>
    </row>
    <row r="27" spans="1:5" x14ac:dyDescent="0.25">
      <c r="A27" s="8" t="s">
        <v>57</v>
      </c>
      <c r="B27" s="9">
        <f>Point!G24</f>
        <v>0</v>
      </c>
    </row>
    <row r="28" spans="1:5" x14ac:dyDescent="0.25">
      <c r="A28" s="8" t="s">
        <v>51</v>
      </c>
      <c r="B28" s="9">
        <f>Point!G19</f>
        <v>0</v>
      </c>
    </row>
    <row r="29" spans="1:5" x14ac:dyDescent="0.25">
      <c r="A29" s="8" t="s">
        <v>46</v>
      </c>
      <c r="B29" s="9">
        <f>Point!G14</f>
        <v>0</v>
      </c>
    </row>
    <row r="30" spans="1:5" x14ac:dyDescent="0.25">
      <c r="A30" s="8" t="s">
        <v>124</v>
      </c>
      <c r="B30" s="9">
        <f>Point!G20</f>
        <v>0</v>
      </c>
    </row>
    <row r="31" spans="1:5" x14ac:dyDescent="0.25">
      <c r="A31" s="8" t="s">
        <v>54</v>
      </c>
      <c r="B31" s="9">
        <f>Point!G22</f>
        <v>0</v>
      </c>
    </row>
    <row r="32" spans="1:5" x14ac:dyDescent="0.25">
      <c r="A32" s="8" t="s">
        <v>53</v>
      </c>
      <c r="B32" s="9">
        <f>Point!G21</f>
        <v>0</v>
      </c>
    </row>
    <row r="33" spans="1:6" x14ac:dyDescent="0.25">
      <c r="A33" s="8" t="s">
        <v>49</v>
      </c>
      <c r="B33" s="9">
        <f>Point!G17</f>
        <v>0</v>
      </c>
    </row>
    <row r="34" spans="1:6" x14ac:dyDescent="0.25">
      <c r="A34" s="8" t="s">
        <v>148</v>
      </c>
      <c r="B34" s="9">
        <f>Point!G18</f>
        <v>0</v>
      </c>
    </row>
    <row r="35" spans="1:6" x14ac:dyDescent="0.25">
      <c r="A35" s="8" t="s">
        <v>60</v>
      </c>
      <c r="B35" s="9">
        <f>Point!G27</f>
        <v>0</v>
      </c>
    </row>
    <row r="36" spans="1:6" x14ac:dyDescent="0.25">
      <c r="A36" s="8" t="s">
        <v>56</v>
      </c>
      <c r="B36" s="9">
        <f>Point!G23</f>
        <v>0</v>
      </c>
      <c r="F36" s="3"/>
    </row>
    <row r="37" spans="1:6" x14ac:dyDescent="0.25">
      <c r="A37" s="8" t="s">
        <v>41</v>
      </c>
      <c r="B37" s="9">
        <f>Point!G7</f>
        <v>0</v>
      </c>
    </row>
    <row r="38" spans="1:6" x14ac:dyDescent="0.25">
      <c r="A38" s="8" t="s">
        <v>47</v>
      </c>
      <c r="B38" s="9">
        <f>Point!G15</f>
        <v>0</v>
      </c>
    </row>
    <row r="39" spans="1:6" x14ac:dyDescent="0.25">
      <c r="A39" s="8" t="s">
        <v>61</v>
      </c>
      <c r="B39" s="9">
        <f>Point!G28</f>
        <v>0</v>
      </c>
    </row>
    <row r="40" spans="1:6" x14ac:dyDescent="0.25">
      <c r="F40" s="3"/>
    </row>
    <row r="41" spans="1:6" x14ac:dyDescent="0.25">
      <c r="A41" s="10" t="s">
        <v>65</v>
      </c>
      <c r="B41" s="11">
        <f>Point!G40</f>
        <v>0</v>
      </c>
    </row>
    <row r="42" spans="1:6" x14ac:dyDescent="0.25">
      <c r="A42" s="10" t="s">
        <v>141</v>
      </c>
      <c r="B42" s="11">
        <f>Point!G41</f>
        <v>0</v>
      </c>
      <c r="F42" s="3"/>
    </row>
    <row r="43" spans="1:6" x14ac:dyDescent="0.25">
      <c r="A43" s="10" t="s">
        <v>142</v>
      </c>
      <c r="B43" s="11">
        <f>Point!G42</f>
        <v>0</v>
      </c>
      <c r="F43" s="3"/>
    </row>
    <row r="44" spans="1:6" x14ac:dyDescent="0.25">
      <c r="A44" s="10" t="s">
        <v>66</v>
      </c>
      <c r="B44" s="11">
        <f>Point!G43</f>
        <v>0</v>
      </c>
      <c r="F44" s="3"/>
    </row>
    <row r="45" spans="1:6" x14ac:dyDescent="0.25">
      <c r="A45" s="10" t="s">
        <v>100</v>
      </c>
      <c r="B45" s="11">
        <f>Point!G44</f>
        <v>0</v>
      </c>
      <c r="F45" s="3"/>
    </row>
    <row r="46" spans="1:6" x14ac:dyDescent="0.25">
      <c r="A46" s="10" t="s">
        <v>67</v>
      </c>
      <c r="B46" s="11">
        <f>Point!G45</f>
        <v>0</v>
      </c>
    </row>
    <row r="47" spans="1:6" x14ac:dyDescent="0.25">
      <c r="A47" s="10" t="s">
        <v>68</v>
      </c>
      <c r="B47" s="11">
        <f>Point!G46</f>
        <v>0</v>
      </c>
    </row>
    <row r="48" spans="1:6" x14ac:dyDescent="0.25">
      <c r="A48" s="10" t="s">
        <v>69</v>
      </c>
      <c r="B48" s="11">
        <f>Point!G47</f>
        <v>0</v>
      </c>
    </row>
    <row r="49" spans="1:2" x14ac:dyDescent="0.25">
      <c r="A49" s="10" t="s">
        <v>70</v>
      </c>
      <c r="B49" s="11">
        <f>Point!G48</f>
        <v>0</v>
      </c>
    </row>
    <row r="50" spans="1:2" x14ac:dyDescent="0.25">
      <c r="A50" s="10" t="s">
        <v>143</v>
      </c>
      <c r="B50" s="11">
        <f>Point!G49</f>
        <v>0</v>
      </c>
    </row>
    <row r="51" spans="1:2" x14ac:dyDescent="0.25">
      <c r="A51" s="10" t="s">
        <v>144</v>
      </c>
      <c r="B51" s="11">
        <f>Point!G50</f>
        <v>0</v>
      </c>
    </row>
    <row r="53" spans="1:2" x14ac:dyDescent="0.25">
      <c r="A53" s="10" t="s">
        <v>16</v>
      </c>
      <c r="B53" s="9">
        <f>Point!G58</f>
        <v>0</v>
      </c>
    </row>
    <row r="54" spans="1:2" x14ac:dyDescent="0.25">
      <c r="A54" s="10" t="s">
        <v>17</v>
      </c>
      <c r="B54" s="9">
        <f>Point!G59</f>
        <v>0</v>
      </c>
    </row>
    <row r="55" spans="1:2" x14ac:dyDescent="0.25">
      <c r="A55" s="10" t="s">
        <v>131</v>
      </c>
      <c r="B55" s="9">
        <f>Point!G60</f>
        <v>0</v>
      </c>
    </row>
    <row r="56" spans="1:2" x14ac:dyDescent="0.25">
      <c r="A56" s="10" t="s">
        <v>132</v>
      </c>
      <c r="B56" s="9">
        <f>Point!G61</f>
        <v>0</v>
      </c>
    </row>
    <row r="57" spans="1:2" x14ac:dyDescent="0.25">
      <c r="A57" s="10" t="s">
        <v>18</v>
      </c>
      <c r="B57" s="9">
        <f>Point!G62</f>
        <v>0</v>
      </c>
    </row>
    <row r="58" spans="1:2" x14ac:dyDescent="0.25">
      <c r="A58" s="10" t="s">
        <v>20</v>
      </c>
      <c r="B58" s="9">
        <f>Point!G63</f>
        <v>0</v>
      </c>
    </row>
  </sheetData>
  <sheetProtection sheet="1" objects="1" scenarios="1"/>
  <mergeCells count="3">
    <mergeCell ref="D1:G1"/>
    <mergeCell ref="D2:G2"/>
    <mergeCell ref="D3:G3"/>
  </mergeCells>
  <phoneticPr fontId="0" type="noConversion"/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Input</vt:lpstr>
      <vt:lpstr>Point</vt:lpstr>
      <vt:lpstr>Summary</vt:lpstr>
      <vt:lpstr>Accounting</vt:lpstr>
      <vt:lpstr>beer</vt:lpstr>
      <vt:lpstr>liquor</vt:lpstr>
      <vt:lpstr>Accounting!Print_Area</vt:lpstr>
      <vt:lpstr>Point!Print_Area</vt:lpstr>
    </vt:vector>
  </TitlesOfParts>
  <Company>Glennon Bittan Investments,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K. Pulver</dc:creator>
  <cp:lastModifiedBy>Owner</cp:lastModifiedBy>
  <cp:lastPrinted>2018-06-04T19:14:02Z</cp:lastPrinted>
  <dcterms:created xsi:type="dcterms:W3CDTF">2006-12-04T13:28:32Z</dcterms:created>
  <dcterms:modified xsi:type="dcterms:W3CDTF">2018-06-08T00:07:07Z</dcterms:modified>
</cp:coreProperties>
</file>