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rstonecapabilities-my.sharepoint.com/personal/murtaza_vahanvaty_cornerstonecapabilities_com/Documents/Personal/portfolio-analysis/"/>
    </mc:Choice>
  </mc:AlternateContent>
  <xr:revisionPtr revIDLastSave="10" documentId="13_ncr:1_{E0D6C6C6-189A-294A-8866-7AFDE04785AB}" xr6:coauthVersionLast="47" xr6:coauthVersionMax="47" xr10:uidLastSave="{528F0045-DDA9-4040-B544-1562CEDEAE5C}"/>
  <bookViews>
    <workbookView xWindow="-38320" yWindow="-1200" windowWidth="38320" windowHeight="21100" activeTab="1" xr2:uid="{85F24617-F8E1-6B46-AC69-15B573B893BA}"/>
  </bookViews>
  <sheets>
    <sheet name="Sheet1" sheetId="1" r:id="rId1"/>
    <sheet name="LRP" sheetId="2" r:id="rId2"/>
    <sheet name="NF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2" l="1"/>
  <c r="C28" i="2"/>
  <c r="C34" i="4"/>
  <c r="C35" i="4" s="1"/>
  <c r="C28" i="4"/>
  <c r="AA5" i="4"/>
  <c r="AB5" i="4"/>
  <c r="AB20" i="4" s="1"/>
  <c r="Z5" i="4"/>
  <c r="Y12" i="4"/>
  <c r="Y16" i="4" s="1"/>
  <c r="Z16" i="4"/>
  <c r="Z17" i="4"/>
  <c r="Z18" i="4"/>
  <c r="Z23" i="4" s="1"/>
  <c r="Z19" i="4"/>
  <c r="Z20" i="4"/>
  <c r="Z21" i="4"/>
  <c r="Z22" i="4"/>
  <c r="AA16" i="4"/>
  <c r="AA17" i="4"/>
  <c r="AA18" i="4"/>
  <c r="AA19" i="4"/>
  <c r="AA20" i="4"/>
  <c r="AA21" i="4"/>
  <c r="AA22" i="4"/>
  <c r="AB16" i="4"/>
  <c r="AB17" i="4"/>
  <c r="AB18" i="4" s="1"/>
  <c r="AB23" i="4" s="1"/>
  <c r="AB19" i="4"/>
  <c r="AB21" i="4"/>
  <c r="AB22" i="4"/>
  <c r="X34" i="4"/>
  <c r="AB12" i="4"/>
  <c r="AA12" i="4"/>
  <c r="Z12" i="4"/>
  <c r="AB10" i="4"/>
  <c r="AA10" i="4"/>
  <c r="Z10" i="4"/>
  <c r="AB9" i="4"/>
  <c r="AA9" i="4"/>
  <c r="Z9" i="4"/>
  <c r="AB8" i="4"/>
  <c r="AA8" i="4"/>
  <c r="Z8" i="4"/>
  <c r="AB7" i="4"/>
  <c r="AA7" i="4"/>
  <c r="Z7" i="4"/>
  <c r="E5" i="2"/>
  <c r="E22" i="2" s="1"/>
  <c r="D12" i="2"/>
  <c r="D16" i="2"/>
  <c r="D17" i="2"/>
  <c r="D18" i="2"/>
  <c r="D23" i="2" s="1"/>
  <c r="E16" i="2"/>
  <c r="C32" i="2"/>
  <c r="AK5" i="2"/>
  <c r="AK22" i="2" s="1"/>
  <c r="AL5" i="2"/>
  <c r="AL7" i="2" s="1"/>
  <c r="AJ12" i="2"/>
  <c r="AJ16" i="2"/>
  <c r="AJ17" i="2"/>
  <c r="AK19" i="2"/>
  <c r="AK20" i="2"/>
  <c r="AK21" i="2"/>
  <c r="AI32" i="2"/>
  <c r="AK12" i="2"/>
  <c r="AK10" i="2"/>
  <c r="AK9" i="2"/>
  <c r="AK8" i="2"/>
  <c r="AK7" i="2"/>
  <c r="V5" i="2"/>
  <c r="W5" i="2"/>
  <c r="X5" i="2"/>
  <c r="X19" i="2" s="1"/>
  <c r="U12" i="2"/>
  <c r="U16" i="2"/>
  <c r="U17" i="2" s="1"/>
  <c r="V16" i="2"/>
  <c r="V17" i="2"/>
  <c r="V18" i="2"/>
  <c r="W19" i="2"/>
  <c r="T32" i="2"/>
  <c r="V8" i="2"/>
  <c r="W7" i="2"/>
  <c r="V7" i="2"/>
  <c r="D12" i="4"/>
  <c r="D16" i="4"/>
  <c r="E5" i="4"/>
  <c r="E16" i="4" s="1"/>
  <c r="E9" i="4"/>
  <c r="E12" i="2"/>
  <c r="E9" i="2"/>
  <c r="E8" i="2"/>
  <c r="E7" i="2"/>
  <c r="D3" i="1"/>
  <c r="C10" i="1"/>
  <c r="C4" i="1"/>
  <c r="C5" i="1"/>
  <c r="E17" i="4" l="1"/>
  <c r="E18" i="4" s="1"/>
  <c r="E23" i="4" s="1"/>
  <c r="W21" i="2"/>
  <c r="W12" i="2"/>
  <c r="W22" i="2"/>
  <c r="W10" i="2"/>
  <c r="W9" i="2"/>
  <c r="X7" i="2"/>
  <c r="X20" i="2"/>
  <c r="V19" i="2"/>
  <c r="V21" i="2"/>
  <c r="V22" i="2"/>
  <c r="V12" i="2"/>
  <c r="V10" i="2"/>
  <c r="E19" i="4"/>
  <c r="D4" i="1"/>
  <c r="D5" i="1" s="1"/>
  <c r="W16" i="2"/>
  <c r="E17" i="2"/>
  <c r="E18" i="2"/>
  <c r="Y5" i="2"/>
  <c r="X21" i="2"/>
  <c r="X10" i="2"/>
  <c r="X22" i="2"/>
  <c r="X9" i="2"/>
  <c r="X8" i="2"/>
  <c r="AL22" i="2"/>
  <c r="AL12" i="2"/>
  <c r="AL16" i="2"/>
  <c r="AL10" i="2"/>
  <c r="AL9" i="2"/>
  <c r="AL8" i="2"/>
  <c r="Y17" i="4"/>
  <c r="Y18" i="4"/>
  <c r="Y23" i="4" s="1"/>
  <c r="E10" i="4"/>
  <c r="V9" i="2"/>
  <c r="V20" i="2"/>
  <c r="AJ18" i="2"/>
  <c r="AJ23" i="2" s="1"/>
  <c r="V23" i="2"/>
  <c r="AL21" i="2"/>
  <c r="D17" i="4"/>
  <c r="D18" i="4"/>
  <c r="D23" i="4" s="1"/>
  <c r="X16" i="2"/>
  <c r="AL20" i="2"/>
  <c r="AA23" i="4"/>
  <c r="E20" i="4"/>
  <c r="E21" i="4"/>
  <c r="E12" i="4"/>
  <c r="E22" i="4"/>
  <c r="E7" i="4"/>
  <c r="E8" i="4"/>
  <c r="F5" i="4"/>
  <c r="W8" i="2"/>
  <c r="X12" i="2"/>
  <c r="W20" i="2"/>
  <c r="AL19" i="2"/>
  <c r="AM5" i="2"/>
  <c r="F5" i="2"/>
  <c r="E19" i="2"/>
  <c r="E20" i="2"/>
  <c r="E10" i="2"/>
  <c r="E21" i="2"/>
  <c r="U18" i="2"/>
  <c r="U23" i="2" s="1"/>
  <c r="AK16" i="2"/>
  <c r="AC5" i="4"/>
  <c r="AL17" i="2" l="1"/>
  <c r="AL18" i="2" s="1"/>
  <c r="AL23" i="2" s="1"/>
  <c r="Z5" i="2"/>
  <c r="Y21" i="2"/>
  <c r="Y9" i="2"/>
  <c r="Y22" i="2"/>
  <c r="Y8" i="2"/>
  <c r="Y7" i="2"/>
  <c r="Y20" i="2"/>
  <c r="Y19" i="2"/>
  <c r="Y16" i="2"/>
  <c r="Y12" i="2"/>
  <c r="Y10" i="2"/>
  <c r="X17" i="2"/>
  <c r="X18" i="2" s="1"/>
  <c r="X23" i="2" s="1"/>
  <c r="F19" i="4"/>
  <c r="F20" i="4"/>
  <c r="F10" i="4"/>
  <c r="F21" i="4"/>
  <c r="F12" i="4"/>
  <c r="F16" i="4"/>
  <c r="F9" i="4"/>
  <c r="F7" i="4"/>
  <c r="G5" i="4"/>
  <c r="F22" i="4"/>
  <c r="F8" i="4"/>
  <c r="E23" i="2"/>
  <c r="G5" i="2"/>
  <c r="F19" i="2"/>
  <c r="F20" i="2"/>
  <c r="F21" i="2"/>
  <c r="F22" i="2"/>
  <c r="F12" i="2"/>
  <c r="F10" i="2"/>
  <c r="F9" i="2"/>
  <c r="F8" i="2"/>
  <c r="F7" i="2"/>
  <c r="F16" i="2"/>
  <c r="W18" i="2"/>
  <c r="W23" i="2" s="1"/>
  <c r="W17" i="2"/>
  <c r="AC20" i="4"/>
  <c r="AC21" i="4"/>
  <c r="AC22" i="4"/>
  <c r="AD5" i="4"/>
  <c r="AC7" i="4"/>
  <c r="AC16" i="4"/>
  <c r="AC8" i="4"/>
  <c r="AC9" i="4"/>
  <c r="AC12" i="4"/>
  <c r="AC10" i="4"/>
  <c r="AC19" i="4"/>
  <c r="AM22" i="2"/>
  <c r="AM12" i="2"/>
  <c r="AM10" i="2"/>
  <c r="AM16" i="2"/>
  <c r="AM9" i="2"/>
  <c r="AM8" i="2"/>
  <c r="AM7" i="2"/>
  <c r="AN5" i="2"/>
  <c r="AM19" i="2"/>
  <c r="AM20" i="2"/>
  <c r="AM21" i="2"/>
  <c r="AK17" i="2"/>
  <c r="AK18" i="2" s="1"/>
  <c r="AK23" i="2" s="1"/>
  <c r="F17" i="4" l="1"/>
  <c r="F18" i="4" s="1"/>
  <c r="F23" i="4" s="1"/>
  <c r="Y17" i="2"/>
  <c r="Y18" i="2" s="1"/>
  <c r="Y23" i="2" s="1"/>
  <c r="AA5" i="2"/>
  <c r="Z21" i="2"/>
  <c r="Z8" i="2"/>
  <c r="Z22" i="2"/>
  <c r="Z7" i="2"/>
  <c r="Z9" i="2"/>
  <c r="Z16" i="2"/>
  <c r="Z10" i="2"/>
  <c r="Z19" i="2"/>
  <c r="Z12" i="2"/>
  <c r="Z20" i="2"/>
  <c r="AO5" i="2"/>
  <c r="AN22" i="2"/>
  <c r="AN10" i="2"/>
  <c r="AN9" i="2"/>
  <c r="AN16" i="2"/>
  <c r="AN8" i="2"/>
  <c r="AN7" i="2"/>
  <c r="AN21" i="2"/>
  <c r="AN20" i="2"/>
  <c r="AN12" i="2"/>
  <c r="AN19" i="2"/>
  <c r="H5" i="2"/>
  <c r="G19" i="2"/>
  <c r="G20" i="2"/>
  <c r="G7" i="2"/>
  <c r="G8" i="2"/>
  <c r="G9" i="2"/>
  <c r="G10" i="2"/>
  <c r="G12" i="2"/>
  <c r="G21" i="2"/>
  <c r="G16" i="2"/>
  <c r="G22" i="2"/>
  <c r="AD20" i="4"/>
  <c r="AD21" i="4"/>
  <c r="AD22" i="4"/>
  <c r="AD7" i="4"/>
  <c r="AD8" i="4"/>
  <c r="AE5" i="4"/>
  <c r="AD16" i="4"/>
  <c r="AD9" i="4"/>
  <c r="AD12" i="4"/>
  <c r="AD10" i="4"/>
  <c r="AD19" i="4"/>
  <c r="AM17" i="2"/>
  <c r="AM18" i="2"/>
  <c r="AM23" i="2" s="1"/>
  <c r="AC17" i="4"/>
  <c r="AC18" i="4"/>
  <c r="AC23" i="4" s="1"/>
  <c r="G19" i="4"/>
  <c r="G9" i="4"/>
  <c r="G20" i="4"/>
  <c r="G12" i="4"/>
  <c r="G21" i="4"/>
  <c r="G7" i="4"/>
  <c r="G22" i="4"/>
  <c r="G8" i="4"/>
  <c r="G16" i="4"/>
  <c r="H5" i="4"/>
  <c r="G10" i="4"/>
  <c r="F17" i="2"/>
  <c r="F18" i="2"/>
  <c r="F23" i="2" s="1"/>
  <c r="G17" i="2" l="1"/>
  <c r="G18" i="2" s="1"/>
  <c r="G23" i="2" s="1"/>
  <c r="AE20" i="4"/>
  <c r="AE21" i="4"/>
  <c r="AE7" i="4"/>
  <c r="AE22" i="4"/>
  <c r="AE8" i="4"/>
  <c r="AE9" i="4"/>
  <c r="AE16" i="4"/>
  <c r="AE10" i="4"/>
  <c r="AF5" i="4"/>
  <c r="AE12" i="4"/>
  <c r="AE19" i="4"/>
  <c r="H19" i="2"/>
  <c r="I5" i="2"/>
  <c r="H20" i="2"/>
  <c r="H21" i="2"/>
  <c r="H12" i="2"/>
  <c r="H10" i="2"/>
  <c r="H9" i="2"/>
  <c r="H8" i="2"/>
  <c r="H16" i="2"/>
  <c r="H7" i="2"/>
  <c r="H22" i="2"/>
  <c r="Z17" i="2"/>
  <c r="Z18" i="2" s="1"/>
  <c r="Z23" i="2" s="1"/>
  <c r="AA21" i="2"/>
  <c r="AA7" i="2"/>
  <c r="AB5" i="2"/>
  <c r="AA22" i="2"/>
  <c r="AA16" i="2"/>
  <c r="AA9" i="2"/>
  <c r="AA19" i="2"/>
  <c r="AA10" i="2"/>
  <c r="AA20" i="2"/>
  <c r="AA8" i="2"/>
  <c r="AA12" i="2"/>
  <c r="AD17" i="4"/>
  <c r="AD18" i="4" s="1"/>
  <c r="AD23" i="4" s="1"/>
  <c r="G17" i="4"/>
  <c r="G18" i="4" s="1"/>
  <c r="G23" i="4" s="1"/>
  <c r="AN17" i="2"/>
  <c r="AN18" i="2"/>
  <c r="AN23" i="2" s="1"/>
  <c r="AO22" i="2"/>
  <c r="AO9" i="2"/>
  <c r="AP5" i="2"/>
  <c r="AO8" i="2"/>
  <c r="AO16" i="2"/>
  <c r="AO7" i="2"/>
  <c r="AO20" i="2"/>
  <c r="AO19" i="2"/>
  <c r="AO10" i="2"/>
  <c r="AO21" i="2"/>
  <c r="AO12" i="2"/>
  <c r="H19" i="4"/>
  <c r="H21" i="4"/>
  <c r="H9" i="4"/>
  <c r="H20" i="4"/>
  <c r="H22" i="4"/>
  <c r="H12" i="4"/>
  <c r="H7" i="4"/>
  <c r="H16" i="4"/>
  <c r="I5" i="4"/>
  <c r="H10" i="4"/>
  <c r="H8" i="4"/>
  <c r="AF20" i="4" l="1"/>
  <c r="AF7" i="4"/>
  <c r="AF21" i="4"/>
  <c r="AF8" i="4"/>
  <c r="AF22" i="4"/>
  <c r="AF9" i="4"/>
  <c r="AF10" i="4"/>
  <c r="AF16" i="4"/>
  <c r="AF12" i="4"/>
  <c r="AG5" i="4"/>
  <c r="AF19" i="4"/>
  <c r="AB21" i="2"/>
  <c r="AB22" i="2"/>
  <c r="AC5" i="2"/>
  <c r="AB19" i="2"/>
  <c r="AB9" i="2"/>
  <c r="AB20" i="2"/>
  <c r="AB10" i="2"/>
  <c r="AB12" i="2"/>
  <c r="AB7" i="2"/>
  <c r="AB8" i="2"/>
  <c r="AB16" i="2"/>
  <c r="AO17" i="2"/>
  <c r="AO18" i="2"/>
  <c r="AO23" i="2" s="1"/>
  <c r="AE17" i="4"/>
  <c r="AE18" i="4"/>
  <c r="AE23" i="4" s="1"/>
  <c r="I16" i="4"/>
  <c r="I20" i="4"/>
  <c r="I22" i="4"/>
  <c r="I19" i="4"/>
  <c r="I21" i="4"/>
  <c r="I8" i="4"/>
  <c r="I12" i="4"/>
  <c r="I9" i="4"/>
  <c r="I7" i="4"/>
  <c r="J5" i="4"/>
  <c r="I10" i="4"/>
  <c r="AP22" i="2"/>
  <c r="AP8" i="2"/>
  <c r="AP7" i="2"/>
  <c r="AQ5" i="2"/>
  <c r="AP16" i="2"/>
  <c r="AP10" i="2"/>
  <c r="AP12" i="2"/>
  <c r="AP21" i="2"/>
  <c r="AP19" i="2"/>
  <c r="AP20" i="2"/>
  <c r="AP9" i="2"/>
  <c r="I19" i="2"/>
  <c r="I20" i="2"/>
  <c r="J5" i="2"/>
  <c r="I21" i="2"/>
  <c r="I16" i="2"/>
  <c r="I12" i="2"/>
  <c r="I22" i="2"/>
  <c r="I10" i="2"/>
  <c r="I9" i="2"/>
  <c r="I8" i="2"/>
  <c r="I7" i="2"/>
  <c r="H17" i="4"/>
  <c r="H18" i="4" s="1"/>
  <c r="H23" i="4" s="1"/>
  <c r="AA17" i="2"/>
  <c r="AA18" i="2" s="1"/>
  <c r="AA23" i="2" s="1"/>
  <c r="H17" i="2"/>
  <c r="H18" i="2"/>
  <c r="H23" i="2" s="1"/>
  <c r="AP17" i="2" l="1"/>
  <c r="AP18" i="2"/>
  <c r="AP23" i="2" s="1"/>
  <c r="AQ22" i="2"/>
  <c r="AQ7" i="2"/>
  <c r="AQ16" i="2"/>
  <c r="AR5" i="2"/>
  <c r="AQ12" i="2"/>
  <c r="AQ20" i="2"/>
  <c r="AQ21" i="2"/>
  <c r="AQ8" i="2"/>
  <c r="AQ19" i="2"/>
  <c r="AQ9" i="2"/>
  <c r="AQ10" i="2"/>
  <c r="AG20" i="4"/>
  <c r="AG8" i="4"/>
  <c r="AG21" i="4"/>
  <c r="AG9" i="4"/>
  <c r="AG22" i="4"/>
  <c r="AG10" i="4"/>
  <c r="AG12" i="4"/>
  <c r="AG16" i="4"/>
  <c r="AG19" i="4"/>
  <c r="AH5" i="4"/>
  <c r="AG7" i="4"/>
  <c r="J16" i="4"/>
  <c r="J20" i="4"/>
  <c r="J22" i="4"/>
  <c r="K5" i="4"/>
  <c r="J8" i="4"/>
  <c r="J10" i="4"/>
  <c r="J19" i="4"/>
  <c r="J12" i="4"/>
  <c r="J9" i="4"/>
  <c r="J21" i="4"/>
  <c r="J7" i="4"/>
  <c r="J19" i="2"/>
  <c r="J20" i="2"/>
  <c r="J21" i="2"/>
  <c r="K5" i="2"/>
  <c r="J16" i="2"/>
  <c r="J12" i="2"/>
  <c r="J8" i="2"/>
  <c r="J7" i="2"/>
  <c r="J22" i="2"/>
  <c r="J10" i="2"/>
  <c r="J9" i="2"/>
  <c r="I17" i="4"/>
  <c r="I18" i="4" s="1"/>
  <c r="I23" i="4" s="1"/>
  <c r="AF17" i="4"/>
  <c r="AF18" i="4" s="1"/>
  <c r="AF23" i="4" s="1"/>
  <c r="AB17" i="2"/>
  <c r="AB18" i="2" s="1"/>
  <c r="AB23" i="2" s="1"/>
  <c r="AC21" i="2"/>
  <c r="AC22" i="2"/>
  <c r="AC12" i="2"/>
  <c r="AD5" i="2"/>
  <c r="AC10" i="2"/>
  <c r="AC16" i="2"/>
  <c r="AC7" i="2"/>
  <c r="AC9" i="2"/>
  <c r="AC19" i="2"/>
  <c r="AC8" i="2"/>
  <c r="AC20" i="2"/>
  <c r="I17" i="2"/>
  <c r="I18" i="2" s="1"/>
  <c r="I23" i="2" s="1"/>
  <c r="J17" i="4" l="1"/>
  <c r="J18" i="4" s="1"/>
  <c r="J23" i="4" s="1"/>
  <c r="J17" i="2"/>
  <c r="J18" i="2" s="1"/>
  <c r="J23" i="2" s="1"/>
  <c r="K19" i="2"/>
  <c r="K20" i="2"/>
  <c r="K21" i="2"/>
  <c r="K7" i="2"/>
  <c r="L5" i="2"/>
  <c r="K12" i="2"/>
  <c r="K16" i="2"/>
  <c r="K9" i="2"/>
  <c r="K10" i="2"/>
  <c r="K22" i="2"/>
  <c r="K8" i="2"/>
  <c r="AC17" i="2"/>
  <c r="AC18" i="2" s="1"/>
  <c r="AC23" i="2" s="1"/>
  <c r="AD19" i="2"/>
  <c r="AD20" i="2"/>
  <c r="AD21" i="2"/>
  <c r="AD12" i="2"/>
  <c r="AD22" i="2"/>
  <c r="AD10" i="2"/>
  <c r="AD16" i="2"/>
  <c r="AD7" i="2"/>
  <c r="AD9" i="2"/>
  <c r="AD8" i="2"/>
  <c r="AI5" i="4"/>
  <c r="AH20" i="4"/>
  <c r="AH9" i="4"/>
  <c r="AH21" i="4"/>
  <c r="AH10" i="4"/>
  <c r="AH22" i="4"/>
  <c r="AH12" i="4"/>
  <c r="AH16" i="4"/>
  <c r="AH7" i="4"/>
  <c r="AH8" i="4"/>
  <c r="AH19" i="4"/>
  <c r="AR22" i="2"/>
  <c r="AR16" i="2"/>
  <c r="AR12" i="2"/>
  <c r="AS5" i="2"/>
  <c r="AR10" i="2"/>
  <c r="AR8" i="2"/>
  <c r="AR19" i="2"/>
  <c r="AR20" i="2"/>
  <c r="AR9" i="2"/>
  <c r="AR21" i="2"/>
  <c r="AR7" i="2"/>
  <c r="AG17" i="4"/>
  <c r="AG18" i="4"/>
  <c r="AG23" i="4" s="1"/>
  <c r="AQ17" i="2"/>
  <c r="AQ18" i="2"/>
  <c r="AQ23" i="2" s="1"/>
  <c r="K16" i="4"/>
  <c r="K20" i="4"/>
  <c r="K22" i="4"/>
  <c r="L5" i="4"/>
  <c r="K10" i="4"/>
  <c r="K8" i="4"/>
  <c r="K21" i="4"/>
  <c r="K19" i="4"/>
  <c r="K12" i="4"/>
  <c r="K9" i="4"/>
  <c r="K7" i="4"/>
  <c r="K17" i="2" l="1"/>
  <c r="K18" i="2"/>
  <c r="K23" i="2" s="1"/>
  <c r="L16" i="4"/>
  <c r="L20" i="4"/>
  <c r="L22" i="4"/>
  <c r="L12" i="4"/>
  <c r="L7" i="4"/>
  <c r="M5" i="4"/>
  <c r="L8" i="4"/>
  <c r="L10" i="4"/>
  <c r="L21" i="4"/>
  <c r="L9" i="4"/>
  <c r="L19" i="4"/>
  <c r="L19" i="2"/>
  <c r="L20" i="2"/>
  <c r="L21" i="2"/>
  <c r="L8" i="2"/>
  <c r="L22" i="2"/>
  <c r="L16" i="2"/>
  <c r="L7" i="2"/>
  <c r="M5" i="2"/>
  <c r="L12" i="2"/>
  <c r="L9" i="2"/>
  <c r="L10" i="2"/>
  <c r="AH17" i="4"/>
  <c r="AH18" i="4"/>
  <c r="AH23" i="4" s="1"/>
  <c r="AS22" i="2"/>
  <c r="AS16" i="2"/>
  <c r="AS12" i="2"/>
  <c r="AS10" i="2"/>
  <c r="AS9" i="2"/>
  <c r="AS7" i="2"/>
  <c r="AS20" i="2"/>
  <c r="AS21" i="2"/>
  <c r="AS8" i="2"/>
  <c r="AS19" i="2"/>
  <c r="AR17" i="2"/>
  <c r="AR18" i="2"/>
  <c r="AR23" i="2" s="1"/>
  <c r="AD17" i="2"/>
  <c r="AD18" i="2" s="1"/>
  <c r="AD23" i="2" s="1"/>
  <c r="K17" i="4"/>
  <c r="K18" i="4" s="1"/>
  <c r="K23" i="4" s="1"/>
  <c r="AI20" i="4"/>
  <c r="AI10" i="4"/>
  <c r="AJ5" i="4"/>
  <c r="AI21" i="4"/>
  <c r="AI12" i="4"/>
  <c r="AI22" i="4"/>
  <c r="AI16" i="4"/>
  <c r="AI19" i="4"/>
  <c r="AI7" i="4"/>
  <c r="AI9" i="4"/>
  <c r="AI8" i="4"/>
  <c r="AD28" i="2" l="1"/>
  <c r="T28" i="2" s="1"/>
  <c r="T27" i="2"/>
  <c r="L17" i="4"/>
  <c r="L18" i="4" s="1"/>
  <c r="L23" i="4" s="1"/>
  <c r="AI17" i="4"/>
  <c r="AI18" i="4" s="1"/>
  <c r="AI23" i="4" s="1"/>
  <c r="L17" i="2"/>
  <c r="L18" i="2"/>
  <c r="L23" i="2" s="1"/>
  <c r="M19" i="4"/>
  <c r="M21" i="4"/>
  <c r="M16" i="4"/>
  <c r="M20" i="4"/>
  <c r="M22" i="4"/>
  <c r="N5" i="4"/>
  <c r="M10" i="4"/>
  <c r="M8" i="4"/>
  <c r="M9" i="4"/>
  <c r="M7" i="4"/>
  <c r="M12" i="4"/>
  <c r="AJ20" i="4"/>
  <c r="AJ12" i="4"/>
  <c r="AJ21" i="4"/>
  <c r="AK5" i="4"/>
  <c r="AJ22" i="4"/>
  <c r="AJ16" i="4"/>
  <c r="AJ7" i="4"/>
  <c r="AJ19" i="4"/>
  <c r="AJ8" i="4"/>
  <c r="AJ9" i="4"/>
  <c r="AJ10" i="4"/>
  <c r="M16" i="2"/>
  <c r="M19" i="2"/>
  <c r="M20" i="2"/>
  <c r="M9" i="2"/>
  <c r="M8" i="2"/>
  <c r="M7" i="2"/>
  <c r="M12" i="2"/>
  <c r="M21" i="2"/>
  <c r="M10" i="2"/>
  <c r="M22" i="2"/>
  <c r="AS17" i="2"/>
  <c r="AS18" i="2"/>
  <c r="AS23" i="2" s="1"/>
  <c r="AS28" i="2" l="1"/>
  <c r="AI28" i="2" s="1"/>
  <c r="AI27" i="2"/>
  <c r="M17" i="4"/>
  <c r="M18" i="4"/>
  <c r="M23" i="4" s="1"/>
  <c r="AJ17" i="4"/>
  <c r="AJ18" i="4"/>
  <c r="AJ23" i="4" s="1"/>
  <c r="T29" i="2"/>
  <c r="T33" i="2" s="1"/>
  <c r="T35" i="2" s="1"/>
  <c r="T37" i="2" s="1"/>
  <c r="M17" i="2"/>
  <c r="M18" i="2"/>
  <c r="M23" i="2" s="1"/>
  <c r="AK20" i="4"/>
  <c r="AK21" i="4"/>
  <c r="AK22" i="4"/>
  <c r="AL5" i="4"/>
  <c r="AK7" i="4"/>
  <c r="AK16" i="4"/>
  <c r="AK8" i="4"/>
  <c r="AK19" i="4"/>
  <c r="AK12" i="4"/>
  <c r="AK9" i="4"/>
  <c r="AK10" i="4"/>
  <c r="N19" i="4"/>
  <c r="N21" i="4"/>
  <c r="N10" i="4"/>
  <c r="N16" i="4"/>
  <c r="N9" i="4"/>
  <c r="N7" i="4"/>
  <c r="N20" i="4"/>
  <c r="N22" i="4"/>
  <c r="O5" i="4"/>
  <c r="N8" i="4"/>
  <c r="N12" i="4"/>
  <c r="C27" i="2" l="1"/>
  <c r="C29" i="2" s="1"/>
  <c r="C33" i="2" s="1"/>
  <c r="C36" i="2" s="1"/>
  <c r="C38" i="2" s="1"/>
  <c r="AK17" i="4"/>
  <c r="AK18" i="4"/>
  <c r="AK23" i="4" s="1"/>
  <c r="O19" i="4"/>
  <c r="O21" i="4"/>
  <c r="O12" i="4"/>
  <c r="O9" i="4"/>
  <c r="O16" i="4"/>
  <c r="O7" i="4"/>
  <c r="O20" i="4"/>
  <c r="O22" i="4"/>
  <c r="P5" i="4"/>
  <c r="O10" i="4"/>
  <c r="O8" i="4"/>
  <c r="AL20" i="4"/>
  <c r="AL21" i="4"/>
  <c r="AL22" i="4"/>
  <c r="AL7" i="4"/>
  <c r="AL8" i="4"/>
  <c r="AM5" i="4"/>
  <c r="AL16" i="4"/>
  <c r="AL9" i="4"/>
  <c r="AL19" i="4"/>
  <c r="AL12" i="4"/>
  <c r="AL10" i="4"/>
  <c r="AI29" i="2"/>
  <c r="AI33" i="2" s="1"/>
  <c r="AI35" i="2" s="1"/>
  <c r="AI37" i="2" s="1"/>
  <c r="N17" i="4"/>
  <c r="N18" i="4"/>
  <c r="N23" i="4" s="1"/>
  <c r="P19" i="4" l="1"/>
  <c r="P21" i="4"/>
  <c r="P9" i="4"/>
  <c r="P12" i="4"/>
  <c r="P16" i="4"/>
  <c r="P7" i="4"/>
  <c r="P10" i="4"/>
  <c r="P20" i="4"/>
  <c r="P8" i="4"/>
  <c r="P22" i="4"/>
  <c r="Q5" i="4"/>
  <c r="O17" i="4"/>
  <c r="O18" i="4"/>
  <c r="O23" i="4" s="1"/>
  <c r="AL17" i="4"/>
  <c r="AL18" i="4" s="1"/>
  <c r="AL23" i="4" s="1"/>
  <c r="AM20" i="4"/>
  <c r="AM21" i="4"/>
  <c r="AM7" i="4"/>
  <c r="AM22" i="4"/>
  <c r="AM8" i="4"/>
  <c r="AM9" i="4"/>
  <c r="AM16" i="4"/>
  <c r="AM10" i="4"/>
  <c r="AM19" i="4"/>
  <c r="AM12" i="4"/>
  <c r="AN5" i="4"/>
  <c r="AM17" i="4" l="1"/>
  <c r="AM18" i="4"/>
  <c r="AM23" i="4" s="1"/>
  <c r="P17" i="4"/>
  <c r="P18" i="4"/>
  <c r="P23" i="4" s="1"/>
  <c r="AN20" i="4"/>
  <c r="AN7" i="4"/>
  <c r="AN21" i="4"/>
  <c r="AN8" i="4"/>
  <c r="AN22" i="4"/>
  <c r="AN9" i="4"/>
  <c r="AN10" i="4"/>
  <c r="AN16" i="4"/>
  <c r="AN12" i="4"/>
  <c r="AN19" i="4"/>
  <c r="Q16" i="4"/>
  <c r="Q20" i="4"/>
  <c r="Q22" i="4"/>
  <c r="Q19" i="4"/>
  <c r="Q21" i="4"/>
  <c r="Q12" i="4"/>
  <c r="Q9" i="4"/>
  <c r="Q7" i="4"/>
  <c r="R5" i="4"/>
  <c r="Q10" i="4"/>
  <c r="Q8" i="4"/>
  <c r="R16" i="4" l="1"/>
  <c r="R20" i="4"/>
  <c r="R22" i="4"/>
  <c r="S5" i="4"/>
  <c r="R8" i="4"/>
  <c r="R21" i="4"/>
  <c r="R12" i="4"/>
  <c r="R9" i="4"/>
  <c r="R7" i="4"/>
  <c r="R19" i="4"/>
  <c r="R10" i="4"/>
  <c r="Q17" i="4"/>
  <c r="Q18" i="4" s="1"/>
  <c r="Q23" i="4" s="1"/>
  <c r="AN17" i="4"/>
  <c r="AN18" i="4" s="1"/>
  <c r="AN23" i="4" s="1"/>
  <c r="AN28" i="4" l="1"/>
  <c r="X28" i="4" s="1"/>
  <c r="X27" i="4"/>
  <c r="S16" i="4"/>
  <c r="S20" i="4"/>
  <c r="S22" i="4"/>
  <c r="S19" i="4"/>
  <c r="S10" i="4"/>
  <c r="S8" i="4"/>
  <c r="S21" i="4"/>
  <c r="S12" i="4"/>
  <c r="S9" i="4"/>
  <c r="S7" i="4"/>
  <c r="R17" i="4"/>
  <c r="R18" i="4" s="1"/>
  <c r="R23" i="4" s="1"/>
  <c r="S17" i="4" l="1"/>
  <c r="S18" i="4" s="1"/>
  <c r="S23" i="4" s="1"/>
  <c r="X29" i="4"/>
  <c r="X35" i="4" s="1"/>
  <c r="X37" i="4" s="1"/>
  <c r="X39" i="4" s="1"/>
  <c r="S28" i="4" l="1"/>
  <c r="C27" i="4"/>
  <c r="C29" i="4" s="1"/>
  <c r="C37" i="4" s="1"/>
  <c r="C39" i="4" s="1"/>
</calcChain>
</file>

<file path=xl/sharedStrings.xml><?xml version="1.0" encoding="utf-8"?>
<sst xmlns="http://schemas.openxmlformats.org/spreadsheetml/2006/main" count="247" uniqueCount="63">
  <si>
    <t>Operating Income</t>
  </si>
  <si>
    <t>Taxes</t>
  </si>
  <si>
    <t>EBI</t>
  </si>
  <si>
    <t>Depretiation</t>
  </si>
  <si>
    <t>CapEx</t>
  </si>
  <si>
    <t>Delta(NWC)</t>
  </si>
  <si>
    <t>Equity Compensation</t>
  </si>
  <si>
    <t>FCF</t>
  </si>
  <si>
    <t>Total Revenues</t>
  </si>
  <si>
    <t>Cost of sales</t>
  </si>
  <si>
    <t>R&amp;D</t>
  </si>
  <si>
    <t>M,S,G&amp;A</t>
  </si>
  <si>
    <t>Profit Sharing</t>
  </si>
  <si>
    <t>Other Expenses</t>
  </si>
  <si>
    <t xml:space="preserve">Total Cost </t>
  </si>
  <si>
    <t>After Tax Income</t>
  </si>
  <si>
    <t>Dep</t>
  </si>
  <si>
    <t>Change in NWC</t>
  </si>
  <si>
    <t>Column1</t>
  </si>
  <si>
    <t>Column2</t>
  </si>
  <si>
    <t>Year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</si>
  <si>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</si>
  <si>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</si>
  <si>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</si>
  <si>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</si>
  <si>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</si>
  <si>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</si>
  <si>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</si>
  <si>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</si>
  <si>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</si>
  <si>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</si>
  <si>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</si>
  <si>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Long term growth rate</t>
  </si>
  <si>
    <t>WACC</t>
  </si>
  <si>
    <t>Annual Growth Rate</t>
  </si>
  <si>
    <t>Enterprise Value</t>
  </si>
  <si>
    <t>Terminal Value</t>
  </si>
  <si>
    <t>PV FCF's(2009-2018)</t>
  </si>
  <si>
    <t>Debt</t>
  </si>
  <si>
    <t>Cash</t>
  </si>
  <si>
    <t>Net Debt</t>
  </si>
  <si>
    <t>Equity Value</t>
  </si>
  <si>
    <t xml:space="preserve">Shares Outstanding </t>
  </si>
  <si>
    <t>Price per share</t>
  </si>
  <si>
    <t>2019</t>
  </si>
  <si>
    <t>2020</t>
  </si>
  <si>
    <t>2021</t>
  </si>
  <si>
    <t>2022</t>
  </si>
  <si>
    <t>2023</t>
  </si>
  <si>
    <t>2024</t>
  </si>
  <si>
    <t>Annual growth 7%</t>
  </si>
  <si>
    <t>Long term Growth 2%</t>
  </si>
  <si>
    <t>WACC 9%</t>
  </si>
  <si>
    <t>Annual growth 6%</t>
  </si>
  <si>
    <t xml:space="preserve">Net </t>
  </si>
  <si>
    <t>PV FCF's(2009-2024)</t>
  </si>
  <si>
    <t>Annual growth 6.9%</t>
  </si>
  <si>
    <t>ESO expense</t>
  </si>
  <si>
    <t>Opt-in Rights</t>
  </si>
  <si>
    <t>Annual Growth rate</t>
  </si>
  <si>
    <t>Long term Growth rrate</t>
  </si>
  <si>
    <t>Annual growth 8%</t>
  </si>
  <si>
    <t>Annual growth 7.9%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</si>
</sst>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_);\([$$-409]#,##0\)"/>
    <numFmt numFmtId="165" formatCode="_([$$-409]* #,##0.00_);_([$$-409]* \(#,##0.00\);_([$$-409]* &quot;-&quot;??_);_(@_)"/>
    <numFmt numFmtId="166" formatCode="[$$-409]#,##0.00_);\([$$-409]#,##0.00\)"/>
    <numFmt numFmtId="167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uperclarendon Regular"/>
    </font>
    <font>
      <b/>
      <sz val="12"/>
      <color theme="1"/>
      <name val="Superclarendon Regular"/>
    </font>
    <font>
      <sz val="8"/>
      <name val="Calibri"/>
      <family val="2"/>
      <scheme val="minor"/>
    </font>
    <font>
      <sz val="12"/>
      <color rgb="FF000000"/>
      <name val="Superclarendon Regula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9" fontId="0" fillId="0" borderId="0" xfId="0" applyNumberFormat="1"/>
    <xf numFmtId="1" fontId="0" fillId="0" borderId="0" xfId="0" applyNumberFormat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9" fontId="2" fillId="0" borderId="0" xfId="1" applyFont="1" applyProtection="1">
      <protection locked="0"/>
    </xf>
    <xf numFmtId="0" fontId="2" fillId="0" borderId="0" xfId="0" applyFont="1" applyBorder="1" applyProtection="1">
      <protection locked="0"/>
    </xf>
    <xf numFmtId="9" fontId="2" fillId="0" borderId="0" xfId="1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3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166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0" fontId="5" fillId="6" borderId="6" xfId="0" applyFont="1" applyFill="1" applyBorder="1" applyAlignment="1" applyProtection="1">
      <alignment wrapText="1"/>
      <protection locked="0"/>
    </xf>
    <xf numFmtId="164" fontId="5" fillId="6" borderId="7" xfId="0" applyNumberFormat="1" applyFont="1" applyFill="1" applyBorder="1" applyProtection="1">
      <protection locked="0"/>
    </xf>
    <xf numFmtId="0" fontId="5" fillId="7" borderId="6" xfId="0" applyFont="1" applyFill="1" applyBorder="1" applyAlignment="1" applyProtection="1">
      <alignment wrapText="1"/>
      <protection locked="0"/>
    </xf>
    <xf numFmtId="0" fontId="5" fillId="6" borderId="8" xfId="0" applyFont="1" applyFill="1" applyBorder="1" applyAlignment="1" applyProtection="1">
      <alignment wrapText="1"/>
      <protection locked="0"/>
    </xf>
    <xf numFmtId="166" fontId="5" fillId="6" borderId="9" xfId="0" applyNumberFormat="1" applyFont="1" applyFill="1" applyBorder="1" applyProtection="1">
      <protection locked="0"/>
    </xf>
    <xf numFmtId="0" fontId="5" fillId="7" borderId="7" xfId="0" applyNumberFormat="1" applyFont="1" applyFill="1" applyBorder="1" applyProtection="1">
      <protection locked="0"/>
    </xf>
    <xf numFmtId="0" fontId="2" fillId="5" borderId="1" xfId="0" applyFont="1" applyFill="1" applyBorder="1" applyAlignment="1">
      <alignment wrapText="1"/>
    </xf>
    <xf numFmtId="164" fontId="2" fillId="5" borderId="2" xfId="0" applyNumberFormat="1" applyFont="1" applyFill="1" applyBorder="1"/>
    <xf numFmtId="0" fontId="2" fillId="4" borderId="1" xfId="0" applyFont="1" applyFill="1" applyBorder="1" applyAlignment="1">
      <alignment wrapText="1"/>
    </xf>
    <xf numFmtId="164" fontId="2" fillId="4" borderId="2" xfId="0" applyNumberFormat="1" applyFont="1" applyFill="1" applyBorder="1"/>
    <xf numFmtId="0" fontId="2" fillId="5" borderId="4" xfId="0" applyFont="1" applyFill="1" applyBorder="1" applyAlignment="1">
      <alignment wrapText="1"/>
    </xf>
    <xf numFmtId="166" fontId="2" fillId="5" borderId="5" xfId="0" applyNumberFormat="1" applyFont="1" applyFill="1" applyBorder="1"/>
    <xf numFmtId="9" fontId="2" fillId="2" borderId="10" xfId="2" applyNumberFormat="1" applyFont="1" applyBorder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167" fontId="2" fillId="2" borderId="10" xfId="2" applyNumberFormat="1" applyFont="1" applyBorder="1" applyAlignment="1">
      <alignment horizontal="center" vertical="center"/>
    </xf>
    <xf numFmtId="167" fontId="2" fillId="0" borderId="0" xfId="1" applyNumberFormat="1" applyFont="1" applyBorder="1" applyProtection="1">
      <protection locked="0"/>
    </xf>
    <xf numFmtId="0" fontId="2" fillId="2" borderId="12" xfId="2" applyFont="1" applyBorder="1" applyAlignment="1">
      <alignment horizontal="center" vertical="center"/>
    </xf>
    <xf numFmtId="0" fontId="2" fillId="2" borderId="20" xfId="2" applyFont="1" applyBorder="1" applyAlignment="1">
      <alignment horizontal="center" vertical="center"/>
    </xf>
    <xf numFmtId="0" fontId="2" fillId="2" borderId="11" xfId="2" applyFont="1" applyBorder="1" applyAlignment="1">
      <alignment horizontal="center" vertical="center"/>
    </xf>
    <xf numFmtId="0" fontId="2" fillId="2" borderId="17" xfId="2" applyFont="1" applyBorder="1" applyAlignment="1">
      <alignment horizontal="center" vertical="center" wrapText="1"/>
    </xf>
    <xf numFmtId="0" fontId="2" fillId="2" borderId="19" xfId="2" applyFont="1" applyBorder="1" applyAlignment="1">
      <alignment horizontal="center" vertical="center" wrapText="1"/>
    </xf>
    <xf numFmtId="0" fontId="2" fillId="2" borderId="14" xfId="2" applyFont="1" applyBorder="1" applyAlignment="1">
      <alignment horizontal="center" vertical="center" wrapText="1"/>
    </xf>
    <xf numFmtId="0" fontId="2" fillId="2" borderId="18" xfId="2" applyFont="1" applyBorder="1" applyAlignment="1">
      <alignment horizontal="center" vertical="center"/>
    </xf>
    <xf numFmtId="0" fontId="2" fillId="2" borderId="16" xfId="2" applyFont="1" applyBorder="1" applyAlignment="1">
      <alignment horizontal="center" vertical="center"/>
    </xf>
    <xf numFmtId="0" fontId="2" fillId="2" borderId="15" xfId="2" applyFont="1" applyBorder="1" applyAlignment="1">
      <alignment horizontal="center" vertical="center"/>
    </xf>
    <xf numFmtId="0" fontId="2" fillId="2" borderId="13" xfId="2" applyFont="1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Percent" xfId="1" builtinId="5"/>
  </cellStyles>
  <dxfs count="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8" formatCode="_([$$-409]* #,##0_);_([$$-409]* \(#,##0\);_([$$-409]* &quot;-&quot;??_);_(@_)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8" formatCode="_([$$-409]* #,##0_);_([$$-409]* \(#,##0\);_([$$-409]* &quot;-&quot;??_);_(@_)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8" formatCode="_([$$-409]* #,##0_);_([$$-409]* \(#,##0\);_([$$-409]* &quot;-&quot;??_);_(@_)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8" formatCode="_([$$-409]* #,##0_);_([$$-409]* \(#,##0\);_([$$-409]* &quot;-&quot;??_);_(@_)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name val="Superclarendon Regular"/>
        <scheme val="none"/>
      </font>
      <numFmt numFmtId="164" formatCode="[$$-409]#,##0_);\([$$-409]#,##0\)"/>
      <protection locked="0" hidden="0"/>
    </dxf>
    <dxf>
      <font>
        <name val="Superclarendon Regula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3" formatCode="0%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8" formatCode="_([$$-409]* #,##0_);_([$$-409]* \(#,##0\);_([$$-409]* &quot;-&quot;??_);_(@_)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64" formatCode="[$$-409]#,##0_);\([$$-409]#,##0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uperclarendon Regular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uperclarendon Regular"/>
        <scheme val="none"/>
      </font>
      <numFmt numFmtId="1" formatCode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16</xdr:col>
      <xdr:colOff>584200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CA07C-4E69-4246-9557-9A3E3B361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657600"/>
          <a:ext cx="10490200" cy="393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51</xdr:row>
      <xdr:rowOff>0</xdr:rowOff>
    </xdr:from>
    <xdr:to>
      <xdr:col>17</xdr:col>
      <xdr:colOff>0</xdr:colOff>
      <xdr:row>56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442913-C346-1C48-A1A4-187D76BE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11506200"/>
          <a:ext cx="38862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6F7C1-5541-3B44-9802-2076514E6653}" name="Table1" displayName="Table1" ref="B15:M33" totalsRowShown="0" headerRowDxfId="160" dataDxfId="159" totalsRowDxfId="158">
  <autoFilter ref="B15:M33" xr:uid="{99C23B53-6EB8-E740-8181-A27689802A46}"/>
  <tableColumns count="12">
    <tableColumn id="1" xr3:uid="{04D39666-B910-4341-91DF-80457037A82A}" name="Year" dataDxfId="157" totalsRowDxfId="156"/>
    <tableColumn id="2" xr3:uid="{04835B63-50E2-3F49-A46B-E9EAC14C5C6C}" name="2008" dataDxfId="155" totalsRowDxfId="154"/>
    <tableColumn id="3" xr3:uid="{1A9690E3-3FCB-2848-A882-A6C2465F332E}" name="2009" dataDxfId="153" totalsRowDxfId="152"/>
    <tableColumn id="4" xr3:uid="{2F6039E8-CF2A-154F-8AD1-455A9E1013C1}" name="2010" dataDxfId="151" totalsRowDxfId="150"/>
    <tableColumn id="5" xr3:uid="{988AE230-DB49-3C46-AE27-4E10DF3CE3CC}" name="2011" dataDxfId="149" totalsRowDxfId="148"/>
    <tableColumn id="6" xr3:uid="{8AB20976-FF81-BE49-81D2-1F8005E3857F}" name="2012" dataDxfId="147" totalsRowDxfId="146"/>
    <tableColumn id="7" xr3:uid="{D33058E5-1D16-5949-BF88-C5F1AE21DC0B}" name="2013" dataDxfId="145" totalsRowDxfId="144"/>
    <tableColumn id="8" xr3:uid="{8933B048-D026-C64D-976F-CAD62B5F6CAE}" name="2014" dataDxfId="143" totalsRowDxfId="142"/>
    <tableColumn id="9" xr3:uid="{FAD9C371-B2A1-9640-A5EF-1405F4AB42E8}" name="2015" dataDxfId="141" totalsRowDxfId="140"/>
    <tableColumn id="10" xr3:uid="{90746C63-2912-A24F-8C9E-5948F874D1BF}" name="2016" dataDxfId="139" totalsRowDxfId="138"/>
    <tableColumn id="11" xr3:uid="{EAD70CEF-F0BD-A143-9646-22FBE4DDBCC9}" name="2017" dataDxfId="137" totalsRowDxfId="136"/>
    <tableColumn id="12" xr3:uid="{80A698B5-434E-134E-8720-7FC161149CF2}" name="2018" dataDxfId="135" totalsRowDxfId="134"/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F4D24-66A9-E544-ABB0-F4DE5DBF08E4}" name="Table2" displayName="Table2" ref="B35:C38" totalsRowShown="0">
  <autoFilter ref="B35:C38" xr:uid="{233A0524-394D-6448-8E7E-6649F6C55A61}"/>
  <tableColumns count="2">
    <tableColumn id="1" xr3:uid="{7588DCF0-BE4B-2440-94F4-C5F176FEC6A7}" name="Column1" dataDxfId="133"/>
    <tableColumn id="2" xr3:uid="{FD370B6E-781B-9D4B-B127-AF7E18042D7F}" name="Column2" dataDxfId="1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00F44F-FBA8-DB4F-8947-C45AD1D9B222}" name="Table17" displayName="Table17" ref="S15:AD33" totalsRowShown="0" headerRowDxfId="131" dataDxfId="130" totalsRowDxfId="129">
  <autoFilter ref="S15:AD33" xr:uid="{34F90E2E-0BA7-7141-9256-22A8051EA6E5}"/>
  <tableColumns count="12">
    <tableColumn id="1" xr3:uid="{E6C7CF46-4D09-784F-B0CE-C67456E8E009}" name="Year" dataDxfId="128" totalsRowDxfId="127"/>
    <tableColumn id="2" xr3:uid="{32475AE0-75AD-5A45-A6B6-50AB95D4F20E}" name="2008" dataDxfId="126" totalsRowDxfId="125"/>
    <tableColumn id="3" xr3:uid="{E3AAB976-D132-CC45-9A35-BC85CE9AB75A}" name="2009" dataDxfId="124" totalsRowDxfId="123"/>
    <tableColumn id="4" xr3:uid="{34A68E30-EF3F-424E-B0C0-934955DE5E48}" name="2010" dataDxfId="122" totalsRowDxfId="121"/>
    <tableColumn id="5" xr3:uid="{B92C079D-2CEF-EE4D-95D9-ED65787E7F9F}" name="2011" dataDxfId="120" totalsRowDxfId="119"/>
    <tableColumn id="6" xr3:uid="{A40A3760-58FC-9D4A-B133-733F889F8180}" name="2012" dataDxfId="118" totalsRowDxfId="117"/>
    <tableColumn id="7" xr3:uid="{9F6C00F0-6101-6849-916E-76A8D217C7CC}" name="2013" dataDxfId="116" totalsRowDxfId="115"/>
    <tableColumn id="8" xr3:uid="{E62B46E6-B841-2941-8B73-FC3385BD496E}" name="2014" dataDxfId="114" totalsRowDxfId="113"/>
    <tableColumn id="9" xr3:uid="{3E5586B1-8720-4C4E-A960-01D39EE224E1}" name="2015" dataDxfId="112" totalsRowDxfId="111"/>
    <tableColumn id="10" xr3:uid="{B15FFCAC-B05A-2744-8B08-4467BE65D692}" name="2016" dataDxfId="110" totalsRowDxfId="109"/>
    <tableColumn id="11" xr3:uid="{EE2F4DA7-E30C-874A-A197-7110D0DD26F6}" name="2017" dataDxfId="108" totalsRowDxfId="107"/>
    <tableColumn id="12" xr3:uid="{221270E4-15CA-3843-B50C-3F355E2E0A52}" name="2018" dataDxfId="106" totalsRowDxfId="105"/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170CFF-E622-FD47-8907-1C7FCF178664}" name="Table178" displayName="Table178" ref="AH15:AS33" totalsRowShown="0" headerRowDxfId="104" dataDxfId="103" totalsRowDxfId="102">
  <autoFilter ref="AH15:AS33" xr:uid="{F35DEE8F-D2EA-F74D-9A1B-9E9A74C43FFD}"/>
  <tableColumns count="12">
    <tableColumn id="1" xr3:uid="{2BFCD5A9-D754-CF45-8A10-B34CB9799F59}" name="Year" dataDxfId="101" totalsRowDxfId="100"/>
    <tableColumn id="2" xr3:uid="{6B13224F-0FEB-9C4F-8E31-B908E0AFD455}" name="2008" dataDxfId="99" totalsRowDxfId="98"/>
    <tableColumn id="3" xr3:uid="{9C762038-E726-EA44-A21B-23F15FDB9801}" name="2009" dataDxfId="97" totalsRowDxfId="96"/>
    <tableColumn id="4" xr3:uid="{5B41B6FE-F2FA-B74E-9975-72188E8F1902}" name="2010" dataDxfId="95" totalsRowDxfId="94"/>
    <tableColumn id="5" xr3:uid="{6C7A112B-BB48-0544-A9E7-16E23693F071}" name="2011" dataDxfId="93" totalsRowDxfId="92"/>
    <tableColumn id="6" xr3:uid="{D8B34816-8170-2C4B-ABFD-E806E9D231D3}" name="2012" dataDxfId="91" totalsRowDxfId="90"/>
    <tableColumn id="7" xr3:uid="{913D4C65-9517-8443-A08D-C653C03656BE}" name="2013" dataDxfId="89" totalsRowDxfId="88"/>
    <tableColumn id="8" xr3:uid="{DE1A6BF3-DD2A-5B44-8CD3-030CE9D0AAB8}" name="2014" dataDxfId="87" totalsRowDxfId="86"/>
    <tableColumn id="9" xr3:uid="{E4BD9F87-9374-B549-AC31-9BEA731CC2F0}" name="2015" dataDxfId="85" totalsRowDxfId="84"/>
    <tableColumn id="10" xr3:uid="{B99F5761-8894-AE4A-AE77-4CD49F12B1D9}" name="2016" dataDxfId="83" totalsRowDxfId="82"/>
    <tableColumn id="11" xr3:uid="{70B431B4-7A59-8C49-9B50-CC014F2F9C43}" name="2017" dataDxfId="81" totalsRowDxfId="80"/>
    <tableColumn id="12" xr3:uid="{A7AE1D5A-A5DA-D842-A037-5CFCBE095D9A}" name="2018" dataDxfId="79" totalsRowDxfId="78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85475-E420-4D45-8A2C-C525F7C7F85E}" name="Table14" displayName="Table14" ref="B15:S35" totalsRowShown="0" headerRowDxfId="77" dataDxfId="76" totalsRowDxfId="75">
  <autoFilter ref="B15:S35" xr:uid="{FA97178E-A686-3B4E-B822-668088F0B809}"/>
  <tableColumns count="18">
    <tableColumn id="1" xr3:uid="{D0FBF3BE-3AAA-164F-9852-BA4A5ADB0B63}" name="Year" dataDxfId="74" totalsRowDxfId="73"/>
    <tableColumn id="2" xr3:uid="{7487B1D9-DAC0-B845-9D7E-07F5432DF6B2}" name="2008" dataDxfId="72" totalsRowDxfId="71"/>
    <tableColumn id="3" xr3:uid="{ACBE5224-248A-3743-BA6A-71AB40327713}" name="2009" dataDxfId="70" totalsRowDxfId="69"/>
    <tableColumn id="4" xr3:uid="{BB14962C-0861-E044-93ED-6D98F2FF0890}" name="2010" dataDxfId="68" totalsRowDxfId="67"/>
    <tableColumn id="5" xr3:uid="{48C30A21-534A-1F45-87C9-9E0FF0D5B1D9}" name="2011" dataDxfId="66" totalsRowDxfId="65"/>
    <tableColumn id="6" xr3:uid="{D7A7C90B-661C-2E45-844C-9BBE7DEA50B5}" name="2012" dataDxfId="64" totalsRowDxfId="63"/>
    <tableColumn id="7" xr3:uid="{4A7C1FC2-B2C8-0C4B-A57B-2A230AB37051}" name="2013" dataDxfId="62" totalsRowDxfId="61"/>
    <tableColumn id="8" xr3:uid="{5752373B-76D6-0444-8F04-55C062793243}" name="2014" dataDxfId="60" totalsRowDxfId="59"/>
    <tableColumn id="9" xr3:uid="{A49CC5F1-805E-1947-9CD0-B3774D34AA40}" name="2015" dataDxfId="58" totalsRowDxfId="57"/>
    <tableColumn id="10" xr3:uid="{83257005-B573-AB46-949E-C33BF05655A5}" name="2016" dataDxfId="56" totalsRowDxfId="55"/>
    <tableColumn id="11" xr3:uid="{B4E4EA81-305B-4B48-8D97-82B750BD9CBA}" name="2017" dataDxfId="54" totalsRowDxfId="53"/>
    <tableColumn id="12" xr3:uid="{D6549DF4-24E0-8244-9F18-8AA9DFC03C45}" name="2018" dataDxfId="52" totalsRowDxfId="51"/>
    <tableColumn id="13" xr3:uid="{1B881145-EC78-A74F-8D44-CB469039BC2F}" name="2019" dataDxfId="50" totalsRowDxfId="49"/>
    <tableColumn id="14" xr3:uid="{9BBD21A9-429C-1C41-8B53-B3E5D3A23ECA}" name="2020" dataDxfId="48" totalsRowDxfId="47"/>
    <tableColumn id="15" xr3:uid="{0FB14EAD-8518-B245-B58B-22D679C9CD22}" name="2021" dataDxfId="46" totalsRowDxfId="45"/>
    <tableColumn id="16" xr3:uid="{C45D0A5B-DD82-F54E-B6B3-9DA58473D96D}" name="2022" dataDxfId="44" totalsRowDxfId="43"/>
    <tableColumn id="17" xr3:uid="{F41318CE-30DA-7A48-A0FB-A229F373F10E}" name="2023" dataDxfId="42" totalsRowDxfId="41"/>
    <tableColumn id="18" xr3:uid="{4D34A276-C849-E240-A408-3B04A88FC2E5}" name="2024" dataDxfId="40" totalsRowDxfId="39"/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B1A5B-F3E5-9A4A-9031-80607E446648}" name="Table1410" displayName="Table1410" ref="W15:AN35" totalsRowShown="0" headerRowDxfId="38" dataDxfId="37" totalsRowDxfId="36">
  <autoFilter ref="W15:AN35" xr:uid="{EAED7978-1BB9-AF4F-BF14-E68086815936}"/>
  <tableColumns count="18">
    <tableColumn id="1" xr3:uid="{A6EC013B-125A-CC43-BC46-20864FE71CB2}" name="Year" dataDxfId="35" totalsRowDxfId="34"/>
    <tableColumn id="2" xr3:uid="{ADAABAED-4430-D043-A9D5-1C54070EBDED}" name="2008" dataDxfId="33" totalsRowDxfId="32"/>
    <tableColumn id="3" xr3:uid="{53756D1C-80D9-6647-91B0-104AA28279D8}" name="2009" dataDxfId="31" totalsRowDxfId="30"/>
    <tableColumn id="4" xr3:uid="{96FD6679-5CFE-0945-AF88-82A83FAD0F62}" name="2010" dataDxfId="29" totalsRowDxfId="28"/>
    <tableColumn id="5" xr3:uid="{433EEE2F-4C22-EA49-88E6-2202B251F67A}" name="2011" dataDxfId="27" totalsRowDxfId="26"/>
    <tableColumn id="6" xr3:uid="{89E7BFBE-BFAF-6642-8C4E-19F56F6C3BFB}" name="2012" dataDxfId="25" totalsRowDxfId="24"/>
    <tableColumn id="7" xr3:uid="{3E3AB591-76F5-8B4F-92EE-B5BF769434C4}" name="2013" dataDxfId="23" totalsRowDxfId="22"/>
    <tableColumn id="8" xr3:uid="{8B2E24EF-04FD-C84F-933A-EA45CA82B27E}" name="2014" dataDxfId="21" totalsRowDxfId="20"/>
    <tableColumn id="9" xr3:uid="{B630916B-B61C-F24D-A905-2485E1032C3F}" name="2015" dataDxfId="19" totalsRowDxfId="18"/>
    <tableColumn id="10" xr3:uid="{9FE92CDB-B3EC-5B4F-8D7C-3C1BA4B7894F}" name="2016" dataDxfId="17" totalsRowDxfId="16"/>
    <tableColumn id="11" xr3:uid="{BB0BF4B7-CDC0-C64E-B102-0B9D8CA3E43A}" name="2017" dataDxfId="15" totalsRowDxfId="14"/>
    <tableColumn id="12" xr3:uid="{7625B1AB-5980-D642-9B9A-3CB9388670D6}" name="2018" dataDxfId="13" totalsRowDxfId="12"/>
    <tableColumn id="13" xr3:uid="{112D9CB2-D410-B043-A2C3-A6B6DA03CA48}" name="2019" dataDxfId="11" totalsRowDxfId="10"/>
    <tableColumn id="14" xr3:uid="{F24B6CA7-4143-E74E-A666-5786C04F7568}" name="2020" dataDxfId="9" totalsRowDxfId="8"/>
    <tableColumn id="15" xr3:uid="{FE4D1AE0-E872-2040-AADD-3654D0E286A4}" name="2021" dataDxfId="7" totalsRowDxfId="6"/>
    <tableColumn id="16" xr3:uid="{8553EF6E-2518-4042-9F43-8248FE93B401}" name="2022" dataDxfId="5" totalsRowDxfId="4"/>
    <tableColumn id="17" xr3:uid="{1A2E055A-8293-F64A-B9D2-E3208326730A}" name="2023" dataDxfId="3" totalsRowDxfId="2"/>
    <tableColumn id="18" xr3:uid="{A28A1BA6-C56B-D940-A071-A8A87BE241A9}" name="2024" dataDxfId="1" totalsRowDxfId="0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CC7F-5AD7-AA4C-B64E-1A7678715237}">
  <dimension ref="A2:L10"/>
  <sheetViews>
    <sheetView workbookViewId="0">
      <selection activeCell="E19" sqref="E19"/>
    </sheetView>
  </sheetViews>
  <sheetFormatPr baseColWidth="10" defaultRowHeight="16"/>
  <cols>
    <col min="1" max="1" width="18.5" bestFit="1" customWidth="1"/>
  </cols>
  <sheetData>
    <row r="2" spans="1:12"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>
        <v>2016</v>
      </c>
      <c r="K2">
        <v>2017</v>
      </c>
      <c r="L2">
        <v>2018</v>
      </c>
    </row>
    <row r="3" spans="1:12">
      <c r="A3" t="s">
        <v>0</v>
      </c>
      <c r="C3">
        <v>5638</v>
      </c>
      <c r="D3">
        <f>C3*1.07</f>
        <v>6032.6600000000008</v>
      </c>
    </row>
    <row r="4" spans="1:12">
      <c r="A4" t="s">
        <v>1</v>
      </c>
      <c r="B4" s="1"/>
      <c r="C4" s="2">
        <f>C3*35%</f>
        <v>1973.3</v>
      </c>
      <c r="D4">
        <f>D3*0.35</f>
        <v>2111.431</v>
      </c>
    </row>
    <row r="5" spans="1:12">
      <c r="A5" t="s">
        <v>2</v>
      </c>
      <c r="C5" s="2">
        <f>C3-C4</f>
        <v>3664.7</v>
      </c>
      <c r="D5">
        <f>D3-D4</f>
        <v>3921.2290000000007</v>
      </c>
    </row>
    <row r="6" spans="1:12">
      <c r="A6" t="s">
        <v>3</v>
      </c>
      <c r="C6">
        <v>577</v>
      </c>
    </row>
    <row r="7" spans="1:12">
      <c r="A7" t="s">
        <v>4</v>
      </c>
      <c r="C7">
        <v>-672</v>
      </c>
    </row>
    <row r="8" spans="1:12">
      <c r="A8" t="s">
        <v>5</v>
      </c>
      <c r="C8">
        <v>-457</v>
      </c>
    </row>
    <row r="9" spans="1:12">
      <c r="A9" t="s">
        <v>6</v>
      </c>
      <c r="C9">
        <v>-1567</v>
      </c>
    </row>
    <row r="10" spans="1:12">
      <c r="A10" t="s">
        <v>7</v>
      </c>
      <c r="C10" s="2">
        <f>SUM(C5:C9)</f>
        <v>1545.6999999999998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C124-A401-A44F-A318-04EF37C6A496}">
  <dimension ref="B1:AS46"/>
  <sheetViews>
    <sheetView tabSelected="1" workbookViewId="0">
      <selection activeCell="D23" sqref="D23"/>
    </sheetView>
  </sheetViews>
  <sheetFormatPr baseColWidth="10" defaultRowHeight="16"/>
  <cols>
    <col min="2" max="2" width="30.1640625" bestFit="1" customWidth="1"/>
    <col min="3" max="3" width="10.33203125" bestFit="1" customWidth="1"/>
    <col min="4" max="4" width="9.33203125" bestFit="1" customWidth="1"/>
    <col min="5" max="5" width="9.6640625" bestFit="1" customWidth="1"/>
    <col min="6" max="8" width="9.5" bestFit="1" customWidth="1"/>
    <col min="9" max="9" width="9.6640625" bestFit="1" customWidth="1"/>
    <col min="10" max="11" width="9.33203125" bestFit="1" customWidth="1"/>
    <col min="12" max="12" width="9.5" bestFit="1" customWidth="1"/>
    <col min="13" max="13" width="11.6640625" bestFit="1" customWidth="1"/>
    <col min="16" max="16" width="19.83203125" customWidth="1"/>
    <col min="17" max="17" width="11.5" bestFit="1" customWidth="1"/>
    <col min="19" max="19" width="30.1640625" bestFit="1" customWidth="1"/>
    <col min="20" max="20" width="11.6640625" customWidth="1"/>
    <col min="34" max="34" width="30.1640625" bestFit="1" customWidth="1"/>
    <col min="45" max="45" width="11.33203125" bestFit="1" customWidth="1"/>
  </cols>
  <sheetData>
    <row r="1" spans="2:45">
      <c r="C1" t="s">
        <v>52</v>
      </c>
      <c r="T1" t="s">
        <v>52</v>
      </c>
      <c r="AI1" t="s">
        <v>52</v>
      </c>
    </row>
    <row r="2" spans="2:45">
      <c r="C2" t="s">
        <v>50</v>
      </c>
      <c r="T2" t="s">
        <v>53</v>
      </c>
      <c r="AI2" t="s">
        <v>61</v>
      </c>
    </row>
    <row r="3" spans="2:45">
      <c r="C3" t="s">
        <v>51</v>
      </c>
      <c r="T3" t="s">
        <v>51</v>
      </c>
      <c r="AI3" t="s">
        <v>51</v>
      </c>
    </row>
    <row r="4" spans="2:45"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  <c r="M4">
        <v>2018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I4">
        <v>2008</v>
      </c>
      <c r="AJ4">
        <v>2009</v>
      </c>
      <c r="AK4">
        <v>2010</v>
      </c>
      <c r="AL4">
        <v>2011</v>
      </c>
      <c r="AM4">
        <v>2012</v>
      </c>
      <c r="AN4">
        <v>2013</v>
      </c>
      <c r="AO4">
        <v>2014</v>
      </c>
      <c r="AP4">
        <v>2015</v>
      </c>
      <c r="AQ4">
        <v>2016</v>
      </c>
      <c r="AR4">
        <v>2017</v>
      </c>
      <c r="AS4">
        <v>2018</v>
      </c>
    </row>
    <row r="5" spans="2:45">
      <c r="B5" t="s">
        <v>8</v>
      </c>
      <c r="D5">
        <v>13535</v>
      </c>
      <c r="E5" s="2">
        <f>D5*1.07</f>
        <v>14482.45</v>
      </c>
      <c r="F5" s="2">
        <f t="shared" ref="F5:M5" si="0">E5*1.07</f>
        <v>15496.221500000001</v>
      </c>
      <c r="G5" s="2">
        <f t="shared" si="0"/>
        <v>16580.957005000004</v>
      </c>
      <c r="H5" s="2">
        <f t="shared" si="0"/>
        <v>17741.623995350004</v>
      </c>
      <c r="I5" s="2">
        <f t="shared" si="0"/>
        <v>18983.537675024505</v>
      </c>
      <c r="J5" s="2">
        <f t="shared" si="0"/>
        <v>20312.385312276223</v>
      </c>
      <c r="K5" s="2">
        <f t="shared" si="0"/>
        <v>21734.25228413556</v>
      </c>
      <c r="L5" s="2">
        <f t="shared" si="0"/>
        <v>23255.649944025052</v>
      </c>
      <c r="M5" s="2">
        <f t="shared" si="0"/>
        <v>24883.545440106805</v>
      </c>
      <c r="S5" t="s">
        <v>8</v>
      </c>
      <c r="U5">
        <v>13535</v>
      </c>
      <c r="V5" s="2">
        <f>U5*1.06</f>
        <v>14347.1</v>
      </c>
      <c r="W5" s="2">
        <f t="shared" ref="W5:AD5" si="1">V5*1.06</f>
        <v>15207.926000000001</v>
      </c>
      <c r="X5" s="2">
        <f t="shared" si="1"/>
        <v>16120.401560000002</v>
      </c>
      <c r="Y5" s="2">
        <f t="shared" si="1"/>
        <v>17087.625653600004</v>
      </c>
      <c r="Z5" s="2">
        <f t="shared" si="1"/>
        <v>18112.883192816003</v>
      </c>
      <c r="AA5" s="2">
        <f t="shared" si="1"/>
        <v>19199.656184384963</v>
      </c>
      <c r="AB5" s="2">
        <f t="shared" si="1"/>
        <v>20351.635555448061</v>
      </c>
      <c r="AC5" s="2">
        <f t="shared" si="1"/>
        <v>21572.733688774948</v>
      </c>
      <c r="AD5" s="2">
        <f t="shared" si="1"/>
        <v>22867.097710101447</v>
      </c>
      <c r="AH5" t="s">
        <v>8</v>
      </c>
      <c r="AJ5">
        <v>13535</v>
      </c>
      <c r="AK5" s="2">
        <f>AJ5*1.08</f>
        <v>14617.800000000001</v>
      </c>
      <c r="AL5" s="2">
        <f t="shared" ref="AL5:AS5" si="2">AK5*1.08</f>
        <v>15787.224000000002</v>
      </c>
      <c r="AM5" s="2">
        <f t="shared" si="2"/>
        <v>17050.201920000003</v>
      </c>
      <c r="AN5" s="2">
        <f t="shared" si="2"/>
        <v>18414.218073600005</v>
      </c>
      <c r="AO5" s="2">
        <f t="shared" si="2"/>
        <v>19887.355519488006</v>
      </c>
      <c r="AP5" s="2">
        <f t="shared" si="2"/>
        <v>21478.343961047049</v>
      </c>
      <c r="AQ5" s="2">
        <f t="shared" si="2"/>
        <v>23196.611477930815</v>
      </c>
      <c r="AR5" s="2">
        <f t="shared" si="2"/>
        <v>25052.340396165284</v>
      </c>
      <c r="AS5" s="2">
        <f t="shared" si="2"/>
        <v>27056.527627858508</v>
      </c>
    </row>
    <row r="7" spans="2:45">
      <c r="B7" t="s">
        <v>9</v>
      </c>
      <c r="D7">
        <v>1792</v>
      </c>
      <c r="E7" s="2">
        <f>E5*0.095</f>
        <v>1375.83275</v>
      </c>
      <c r="F7" s="2">
        <f t="shared" ref="F7:M7" si="3">F5*0.095</f>
        <v>1472.1410425000001</v>
      </c>
      <c r="G7" s="2">
        <f t="shared" si="3"/>
        <v>1575.1909154750003</v>
      </c>
      <c r="H7" s="2">
        <f t="shared" si="3"/>
        <v>1685.4542795582504</v>
      </c>
      <c r="I7" s="2">
        <f t="shared" si="3"/>
        <v>1803.436079127328</v>
      </c>
      <c r="J7" s="2">
        <f t="shared" si="3"/>
        <v>1929.6766046662412</v>
      </c>
      <c r="K7" s="2">
        <f t="shared" si="3"/>
        <v>2064.7539669928783</v>
      </c>
      <c r="L7" s="2">
        <f t="shared" si="3"/>
        <v>2209.2867446823798</v>
      </c>
      <c r="M7" s="2">
        <f t="shared" si="3"/>
        <v>2363.9368168101464</v>
      </c>
      <c r="S7" t="s">
        <v>9</v>
      </c>
      <c r="U7">
        <v>1792</v>
      </c>
      <c r="V7" s="2">
        <f>V5*0.095</f>
        <v>1362.9745</v>
      </c>
      <c r="W7" s="2">
        <f t="shared" ref="W7:AD7" si="4">W5*0.095</f>
        <v>1444.7529700000002</v>
      </c>
      <c r="X7" s="2">
        <f t="shared" si="4"/>
        <v>1531.4381482000001</v>
      </c>
      <c r="Y7" s="2">
        <f t="shared" si="4"/>
        <v>1623.3244370920004</v>
      </c>
      <c r="Z7" s="2">
        <f t="shared" si="4"/>
        <v>1720.7239033175204</v>
      </c>
      <c r="AA7" s="2">
        <f t="shared" si="4"/>
        <v>1823.9673375165714</v>
      </c>
      <c r="AB7" s="2">
        <f t="shared" si="4"/>
        <v>1933.4053777675658</v>
      </c>
      <c r="AC7" s="2">
        <f t="shared" si="4"/>
        <v>2049.4097004336199</v>
      </c>
      <c r="AD7" s="2">
        <f t="shared" si="4"/>
        <v>2172.3742824596375</v>
      </c>
      <c r="AH7" t="s">
        <v>9</v>
      </c>
      <c r="AJ7">
        <v>1792</v>
      </c>
      <c r="AK7" s="2">
        <f>AK5*0.095</f>
        <v>1388.691</v>
      </c>
      <c r="AL7" s="2">
        <f t="shared" ref="AL7:AS7" si="5">AL5*0.095</f>
        <v>1499.7862800000003</v>
      </c>
      <c r="AM7" s="2">
        <f t="shared" si="5"/>
        <v>1619.7691824000003</v>
      </c>
      <c r="AN7" s="2">
        <f t="shared" si="5"/>
        <v>1749.3507169920003</v>
      </c>
      <c r="AO7" s="2">
        <f t="shared" si="5"/>
        <v>1889.2987743513606</v>
      </c>
      <c r="AP7" s="2">
        <f t="shared" si="5"/>
        <v>2040.4426762994697</v>
      </c>
      <c r="AQ7" s="2">
        <f t="shared" si="5"/>
        <v>2203.6780904034276</v>
      </c>
      <c r="AR7" s="2">
        <f t="shared" si="5"/>
        <v>2379.9723376357019</v>
      </c>
      <c r="AS7" s="2">
        <f t="shared" si="5"/>
        <v>2570.3701246465585</v>
      </c>
    </row>
    <row r="8" spans="2:45">
      <c r="B8" t="s">
        <v>10</v>
      </c>
      <c r="D8">
        <v>2644</v>
      </c>
      <c r="E8" s="2">
        <f>E5*0.185</f>
        <v>2679.2532500000002</v>
      </c>
      <c r="F8" s="2">
        <f t="shared" ref="F8:M8" si="6">F5*0.185</f>
        <v>2866.8009775</v>
      </c>
      <c r="G8" s="2">
        <f t="shared" si="6"/>
        <v>3067.4770459250008</v>
      </c>
      <c r="H8" s="2">
        <f t="shared" si="6"/>
        <v>3282.2004391397509</v>
      </c>
      <c r="I8" s="2">
        <f t="shared" si="6"/>
        <v>3511.9544698795335</v>
      </c>
      <c r="J8" s="2">
        <f t="shared" si="6"/>
        <v>3757.7912827711011</v>
      </c>
      <c r="K8" s="2">
        <f t="shared" si="6"/>
        <v>4020.8366725650785</v>
      </c>
      <c r="L8" s="2">
        <f t="shared" si="6"/>
        <v>4302.2952396446344</v>
      </c>
      <c r="M8" s="2">
        <f t="shared" si="6"/>
        <v>4603.4559064197592</v>
      </c>
      <c r="S8" t="s">
        <v>10</v>
      </c>
      <c r="U8">
        <v>2644</v>
      </c>
      <c r="V8" s="2">
        <f>V5*0.185</f>
        <v>2654.2134999999998</v>
      </c>
      <c r="W8" s="2">
        <f t="shared" ref="W8:AD8" si="7">W5*0.185</f>
        <v>2813.4663100000002</v>
      </c>
      <c r="X8" s="2">
        <f t="shared" si="7"/>
        <v>2982.2742886000005</v>
      </c>
      <c r="Y8" s="2">
        <f t="shared" si="7"/>
        <v>3161.2107459160006</v>
      </c>
      <c r="Z8" s="2">
        <f t="shared" si="7"/>
        <v>3350.8833906709606</v>
      </c>
      <c r="AA8" s="2">
        <f t="shared" si="7"/>
        <v>3551.9363941112183</v>
      </c>
      <c r="AB8" s="2">
        <f t="shared" si="7"/>
        <v>3765.0525777578914</v>
      </c>
      <c r="AC8" s="2">
        <f t="shared" si="7"/>
        <v>3990.9557324233651</v>
      </c>
      <c r="AD8" s="2">
        <f t="shared" si="7"/>
        <v>4230.4130763687672</v>
      </c>
      <c r="AH8" t="s">
        <v>10</v>
      </c>
      <c r="AJ8">
        <v>2644</v>
      </c>
      <c r="AK8" s="2">
        <f>AK5*0.185</f>
        <v>2704.2930000000001</v>
      </c>
      <c r="AL8" s="2">
        <f t="shared" ref="AL8:AS8" si="8">AL5*0.185</f>
        <v>2920.6364400000002</v>
      </c>
      <c r="AM8" s="2">
        <f t="shared" si="8"/>
        <v>3154.2873552000005</v>
      </c>
      <c r="AN8" s="2">
        <f t="shared" si="8"/>
        <v>3406.630343616001</v>
      </c>
      <c r="AO8" s="2">
        <f t="shared" si="8"/>
        <v>3679.1607711052811</v>
      </c>
      <c r="AP8" s="2">
        <f t="shared" si="8"/>
        <v>3973.4936327937039</v>
      </c>
      <c r="AQ8" s="2">
        <f t="shared" si="8"/>
        <v>4291.373123417201</v>
      </c>
      <c r="AR8" s="2">
        <f t="shared" si="8"/>
        <v>4634.6829732905771</v>
      </c>
      <c r="AS8" s="2">
        <f t="shared" si="8"/>
        <v>5005.4576111538236</v>
      </c>
    </row>
    <row r="9" spans="2:45">
      <c r="B9" t="s">
        <v>11</v>
      </c>
      <c r="D9">
        <v>2058</v>
      </c>
      <c r="E9" s="2">
        <f>E5*0.151</f>
        <v>2186.8499500000003</v>
      </c>
      <c r="F9" s="2">
        <f t="shared" ref="F9:M9" si="9">F5*0.151</f>
        <v>2339.9294465000003</v>
      </c>
      <c r="G9" s="2">
        <f t="shared" si="9"/>
        <v>2503.7245077550006</v>
      </c>
      <c r="H9" s="2">
        <f t="shared" si="9"/>
        <v>2678.9852232978506</v>
      </c>
      <c r="I9" s="2">
        <f t="shared" si="9"/>
        <v>2866.5141889287002</v>
      </c>
      <c r="J9" s="2">
        <f t="shared" si="9"/>
        <v>3067.1701821537094</v>
      </c>
      <c r="K9" s="2">
        <f t="shared" si="9"/>
        <v>3281.8720949044696</v>
      </c>
      <c r="L9" s="2">
        <f t="shared" si="9"/>
        <v>3511.6031415477828</v>
      </c>
      <c r="M9" s="2">
        <f t="shared" si="9"/>
        <v>3757.4153614561274</v>
      </c>
      <c r="S9" t="s">
        <v>11</v>
      </c>
      <c r="U9">
        <v>2058</v>
      </c>
      <c r="V9" s="2">
        <f>V5*0.151</f>
        <v>2166.4121</v>
      </c>
      <c r="W9" s="2">
        <f t="shared" ref="W9:AD9" si="10">W5*0.151</f>
        <v>2296.3968260000001</v>
      </c>
      <c r="X9" s="2">
        <f t="shared" si="10"/>
        <v>2434.1806355600002</v>
      </c>
      <c r="Y9" s="2">
        <f t="shared" si="10"/>
        <v>2580.2314736936005</v>
      </c>
      <c r="Z9" s="2">
        <f t="shared" si="10"/>
        <v>2735.0453621152164</v>
      </c>
      <c r="AA9" s="2">
        <f t="shared" si="10"/>
        <v>2899.1480838421294</v>
      </c>
      <c r="AB9" s="2">
        <f t="shared" si="10"/>
        <v>3073.0969688726573</v>
      </c>
      <c r="AC9" s="2">
        <f t="shared" si="10"/>
        <v>3257.4827870050171</v>
      </c>
      <c r="AD9" s="2">
        <f t="shared" si="10"/>
        <v>3452.9317542253184</v>
      </c>
      <c r="AH9" t="s">
        <v>11</v>
      </c>
      <c r="AJ9">
        <v>2058</v>
      </c>
      <c r="AK9" s="2">
        <f>AK5*0.151</f>
        <v>2207.2878000000001</v>
      </c>
      <c r="AL9" s="2">
        <f t="shared" ref="AL9:AS9" si="11">AL5*0.151</f>
        <v>2383.8708240000001</v>
      </c>
      <c r="AM9" s="2">
        <f t="shared" si="11"/>
        <v>2574.5804899200002</v>
      </c>
      <c r="AN9" s="2">
        <f t="shared" si="11"/>
        <v>2780.5469291136005</v>
      </c>
      <c r="AO9" s="2">
        <f t="shared" si="11"/>
        <v>3002.9906834426888</v>
      </c>
      <c r="AP9" s="2">
        <f t="shared" si="11"/>
        <v>3243.2299381181042</v>
      </c>
      <c r="AQ9" s="2">
        <f t="shared" si="11"/>
        <v>3502.6883331675531</v>
      </c>
      <c r="AR9" s="2">
        <f t="shared" si="11"/>
        <v>3782.9033998209579</v>
      </c>
      <c r="AS9" s="2">
        <f t="shared" si="11"/>
        <v>4085.5356718066346</v>
      </c>
    </row>
    <row r="10" spans="2:45">
      <c r="B10" t="s">
        <v>12</v>
      </c>
      <c r="D10">
        <v>1403</v>
      </c>
      <c r="E10" s="2">
        <f>E5*0.09</f>
        <v>1303.4204999999999</v>
      </c>
      <c r="F10" s="2">
        <f t="shared" ref="F10:M10" si="12">F5*0.09</f>
        <v>1394.6599350000001</v>
      </c>
      <c r="G10" s="2">
        <f t="shared" si="12"/>
        <v>1492.2861304500002</v>
      </c>
      <c r="H10" s="2">
        <f t="shared" si="12"/>
        <v>1596.7461595815003</v>
      </c>
      <c r="I10" s="2">
        <f t="shared" si="12"/>
        <v>1708.5183907522053</v>
      </c>
      <c r="J10" s="2">
        <f t="shared" si="12"/>
        <v>1828.1146781048601</v>
      </c>
      <c r="K10" s="2">
        <f t="shared" si="12"/>
        <v>1956.0827055722004</v>
      </c>
      <c r="L10" s="2">
        <f t="shared" si="12"/>
        <v>2093.0084949622546</v>
      </c>
      <c r="M10" s="2">
        <f t="shared" si="12"/>
        <v>2239.5190896096124</v>
      </c>
      <c r="S10" t="s">
        <v>12</v>
      </c>
      <c r="U10">
        <v>1403</v>
      </c>
      <c r="V10" s="2">
        <f>V5*0.09</f>
        <v>1291.239</v>
      </c>
      <c r="W10" s="2">
        <f t="shared" ref="W10:AD10" si="13">W5*0.09</f>
        <v>1368.71334</v>
      </c>
      <c r="X10" s="2">
        <f t="shared" si="13"/>
        <v>1450.8361404000002</v>
      </c>
      <c r="Y10" s="2">
        <f t="shared" si="13"/>
        <v>1537.8863088240003</v>
      </c>
      <c r="Z10" s="2">
        <f t="shared" si="13"/>
        <v>1630.1594873534402</v>
      </c>
      <c r="AA10" s="2">
        <f t="shared" si="13"/>
        <v>1727.9690565946466</v>
      </c>
      <c r="AB10" s="2">
        <f t="shared" si="13"/>
        <v>1831.6471999903254</v>
      </c>
      <c r="AC10" s="2">
        <f t="shared" si="13"/>
        <v>1941.5460319897452</v>
      </c>
      <c r="AD10" s="2">
        <f t="shared" si="13"/>
        <v>2058.0387939091302</v>
      </c>
      <c r="AH10" t="s">
        <v>12</v>
      </c>
      <c r="AJ10">
        <v>1403</v>
      </c>
      <c r="AK10" s="2">
        <f>AK5*0.09</f>
        <v>1315.6020000000001</v>
      </c>
      <c r="AL10" s="2">
        <f t="shared" ref="AL10:AS10" si="14">AL5*0.09</f>
        <v>1420.8501600000002</v>
      </c>
      <c r="AM10" s="2">
        <f t="shared" si="14"/>
        <v>1534.5181728000002</v>
      </c>
      <c r="AN10" s="2">
        <f t="shared" si="14"/>
        <v>1657.2796266240005</v>
      </c>
      <c r="AO10" s="2">
        <f t="shared" si="14"/>
        <v>1789.8619967539205</v>
      </c>
      <c r="AP10" s="2">
        <f t="shared" si="14"/>
        <v>1933.0509564942342</v>
      </c>
      <c r="AQ10" s="2">
        <f t="shared" si="14"/>
        <v>2087.6950330137734</v>
      </c>
      <c r="AR10" s="2">
        <f t="shared" si="14"/>
        <v>2254.7106356548757</v>
      </c>
      <c r="AS10" s="2">
        <f t="shared" si="14"/>
        <v>2435.0874865072656</v>
      </c>
    </row>
    <row r="11" spans="2:45">
      <c r="B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S11" t="s">
        <v>13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H11" t="s">
        <v>13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2:45">
      <c r="B12" t="s">
        <v>14</v>
      </c>
      <c r="D12">
        <f>SUM(D7:D11)</f>
        <v>7897</v>
      </c>
      <c r="E12" s="2">
        <f>E5*0.521</f>
        <v>7545.3564500000002</v>
      </c>
      <c r="F12" s="2">
        <f t="shared" ref="F12:M12" si="15">F5*0.521</f>
        <v>8073.5314015000013</v>
      </c>
      <c r="G12" s="2">
        <f t="shared" si="15"/>
        <v>8638.6785996050021</v>
      </c>
      <c r="H12" s="2">
        <f t="shared" si="15"/>
        <v>9243.3861015773527</v>
      </c>
      <c r="I12" s="2">
        <f t="shared" si="15"/>
        <v>9890.4231286877675</v>
      </c>
      <c r="J12" s="2">
        <f t="shared" si="15"/>
        <v>10582.752747695913</v>
      </c>
      <c r="K12" s="2">
        <f t="shared" si="15"/>
        <v>11323.545440034628</v>
      </c>
      <c r="L12" s="2">
        <f t="shared" si="15"/>
        <v>12116.193620837052</v>
      </c>
      <c r="M12" s="2">
        <f t="shared" si="15"/>
        <v>12964.327174295646</v>
      </c>
      <c r="S12" t="s">
        <v>14</v>
      </c>
      <c r="U12">
        <f>SUM(U7:U11)</f>
        <v>7897</v>
      </c>
      <c r="V12" s="2">
        <f>V5*0.521</f>
        <v>7474.8391000000001</v>
      </c>
      <c r="W12" s="2">
        <f t="shared" ref="W12:AD12" si="16">W5*0.521</f>
        <v>7923.3294460000006</v>
      </c>
      <c r="X12" s="2">
        <f t="shared" si="16"/>
        <v>8398.7292127600012</v>
      </c>
      <c r="Y12" s="2">
        <f t="shared" si="16"/>
        <v>8902.6529655256018</v>
      </c>
      <c r="Z12" s="2">
        <f t="shared" si="16"/>
        <v>9436.8121434571385</v>
      </c>
      <c r="AA12" s="2">
        <f t="shared" si="16"/>
        <v>10003.020872064566</v>
      </c>
      <c r="AB12" s="2">
        <f t="shared" si="16"/>
        <v>10603.202124388441</v>
      </c>
      <c r="AC12" s="2">
        <f t="shared" si="16"/>
        <v>11239.394251851749</v>
      </c>
      <c r="AD12" s="2">
        <f t="shared" si="16"/>
        <v>11913.757906962854</v>
      </c>
      <c r="AH12" t="s">
        <v>14</v>
      </c>
      <c r="AJ12">
        <f>SUM(AJ7:AJ11)</f>
        <v>7897</v>
      </c>
      <c r="AK12" s="2">
        <f>AK5*0.521</f>
        <v>7615.8738000000012</v>
      </c>
      <c r="AL12" s="2">
        <f t="shared" ref="AL12:AS12" si="17">AL5*0.521</f>
        <v>8225.1437040000019</v>
      </c>
      <c r="AM12" s="2">
        <f t="shared" si="17"/>
        <v>8883.1552003200013</v>
      </c>
      <c r="AN12" s="2">
        <f t="shared" si="17"/>
        <v>9593.8076163456026</v>
      </c>
      <c r="AO12" s="2">
        <f t="shared" si="17"/>
        <v>10361.312225653252</v>
      </c>
      <c r="AP12" s="2">
        <f t="shared" si="17"/>
        <v>11190.217203705513</v>
      </c>
      <c r="AQ12" s="2">
        <f t="shared" si="17"/>
        <v>12085.434580001955</v>
      </c>
      <c r="AR12" s="2">
        <f t="shared" si="17"/>
        <v>13052.269346402114</v>
      </c>
      <c r="AS12" s="2">
        <f t="shared" si="17"/>
        <v>14096.450894114283</v>
      </c>
    </row>
    <row r="15" spans="2:45"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25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S15" s="3" t="s">
        <v>20</v>
      </c>
      <c r="T15" s="3" t="s">
        <v>21</v>
      </c>
      <c r="U15" s="3" t="s">
        <v>22</v>
      </c>
      <c r="V15" s="3" t="s">
        <v>23</v>
      </c>
      <c r="W15" s="3" t="s">
        <v>24</v>
      </c>
      <c r="X15" s="3" t="s">
        <v>25</v>
      </c>
      <c r="Y15" s="3" t="s">
        <v>26</v>
      </c>
      <c r="Z15" s="3" t="s">
        <v>27</v>
      </c>
      <c r="AA15" s="3" t="s">
        <v>28</v>
      </c>
      <c r="AB15" s="3" t="s">
        <v>29</v>
      </c>
      <c r="AC15" s="3" t="s">
        <v>30</v>
      </c>
      <c r="AD15" s="3" t="s">
        <v>31</v>
      </c>
      <c r="AH15" s="3" t="s">
        <v>20</v>
      </c>
      <c r="AI15" s="3" t="s">
        <v>21</v>
      </c>
      <c r="AJ15" s="3" t="s">
        <v>22</v>
      </c>
      <c r="AK15" s="3" t="s">
        <v>23</v>
      </c>
      <c r="AL15" s="3" t="s">
        <v>24</v>
      </c>
      <c r="AM15" s="3" t="s">
        <v>25</v>
      </c>
      <c r="AN15" s="3" t="s">
        <v>26</v>
      </c>
      <c r="AO15" s="3" t="s">
        <v>27</v>
      </c>
      <c r="AP15" s="3" t="s">
        <v>28</v>
      </c>
      <c r="AQ15" s="3" t="s">
        <v>29</v>
      </c>
      <c r="AR15" s="3" t="s">
        <v>30</v>
      </c>
      <c r="AS15" s="3" t="s">
        <v>31</v>
      </c>
    </row>
    <row r="16" spans="2:45">
      <c r="B16" s="3" t="s">
        <v>0</v>
      </c>
      <c r="C16" s="4"/>
      <c r="D16" s="4">
        <f>D5-D12</f>
        <v>5638</v>
      </c>
      <c r="E16" s="4">
        <f t="shared" ref="E16:M16" si="18">E5*0.479</f>
        <v>6937.0935500000005</v>
      </c>
      <c r="F16" s="4">
        <f t="shared" si="18"/>
        <v>7422.6900985000002</v>
      </c>
      <c r="G16" s="4">
        <f t="shared" si="18"/>
        <v>7942.2784053950018</v>
      </c>
      <c r="H16" s="4">
        <f t="shared" si="18"/>
        <v>8498.2378937726517</v>
      </c>
      <c r="I16" s="4">
        <f t="shared" si="18"/>
        <v>9093.1145463367375</v>
      </c>
      <c r="J16" s="4">
        <f t="shared" si="18"/>
        <v>9729.6325645803099</v>
      </c>
      <c r="K16" s="4">
        <f t="shared" si="18"/>
        <v>10410.706844100932</v>
      </c>
      <c r="L16" s="4">
        <f t="shared" si="18"/>
        <v>11139.456323188</v>
      </c>
      <c r="M16" s="4">
        <f t="shared" si="18"/>
        <v>11919.21826581116</v>
      </c>
      <c r="S16" s="3" t="s">
        <v>0</v>
      </c>
      <c r="T16" s="4"/>
      <c r="U16" s="4">
        <f>U5-U12</f>
        <v>5638</v>
      </c>
      <c r="V16" s="4">
        <f t="shared" ref="V16:AD16" si="19">V5*0.479</f>
        <v>6872.2609000000002</v>
      </c>
      <c r="W16" s="4">
        <f t="shared" si="19"/>
        <v>7284.5965540000007</v>
      </c>
      <c r="X16" s="4">
        <f t="shared" si="19"/>
        <v>7721.6723472400008</v>
      </c>
      <c r="Y16" s="4">
        <f t="shared" si="19"/>
        <v>8184.972688074401</v>
      </c>
      <c r="Z16" s="4">
        <f t="shared" si="19"/>
        <v>8676.0710493588649</v>
      </c>
      <c r="AA16" s="4">
        <f t="shared" si="19"/>
        <v>9196.6353123203971</v>
      </c>
      <c r="AB16" s="4">
        <f t="shared" si="19"/>
        <v>9748.4334310596205</v>
      </c>
      <c r="AC16" s="4">
        <f t="shared" si="19"/>
        <v>10333.339436923199</v>
      </c>
      <c r="AD16" s="4">
        <f t="shared" si="19"/>
        <v>10953.339803138593</v>
      </c>
      <c r="AH16" s="3" t="s">
        <v>0</v>
      </c>
      <c r="AI16" s="4"/>
      <c r="AJ16" s="4">
        <f>AJ5-AJ12</f>
        <v>5638</v>
      </c>
      <c r="AK16" s="4">
        <f t="shared" ref="AK16:AS16" si="20">AK5*0.479</f>
        <v>7001.9261999999999</v>
      </c>
      <c r="AL16" s="4">
        <f t="shared" si="20"/>
        <v>7562.080296000001</v>
      </c>
      <c r="AM16" s="4">
        <f t="shared" si="20"/>
        <v>8167.0467196800009</v>
      </c>
      <c r="AN16" s="4">
        <f t="shared" si="20"/>
        <v>8820.410457254402</v>
      </c>
      <c r="AO16" s="4">
        <f t="shared" si="20"/>
        <v>9526.0432938347549</v>
      </c>
      <c r="AP16" s="4">
        <f t="shared" si="20"/>
        <v>10288.126757341535</v>
      </c>
      <c r="AQ16" s="4">
        <f t="shared" si="20"/>
        <v>11111.176897928861</v>
      </c>
      <c r="AR16" s="4">
        <f t="shared" si="20"/>
        <v>12000.07104976317</v>
      </c>
      <c r="AS16" s="4">
        <f t="shared" si="20"/>
        <v>12960.076733744225</v>
      </c>
    </row>
    <row r="17" spans="2:45">
      <c r="B17" s="3" t="s">
        <v>1</v>
      </c>
      <c r="C17" s="4"/>
      <c r="D17" s="4">
        <f>D16*0.35</f>
        <v>1973.3</v>
      </c>
      <c r="E17" s="4">
        <f>E16*0.35</f>
        <v>2427.9827424999999</v>
      </c>
      <c r="F17" s="4">
        <f t="shared" ref="F17:M17" si="21">F16*0.35</f>
        <v>2597.941534475</v>
      </c>
      <c r="G17" s="4">
        <f t="shared" si="21"/>
        <v>2779.7974418882504</v>
      </c>
      <c r="H17" s="4">
        <f t="shared" si="21"/>
        <v>2974.3832628204277</v>
      </c>
      <c r="I17" s="4">
        <f t="shared" si="21"/>
        <v>3182.5900912178581</v>
      </c>
      <c r="J17" s="4">
        <f t="shared" si="21"/>
        <v>3405.3713976031081</v>
      </c>
      <c r="K17" s="4">
        <f t="shared" si="21"/>
        <v>3643.7473954353259</v>
      </c>
      <c r="L17" s="4">
        <f t="shared" si="21"/>
        <v>3898.8097131157997</v>
      </c>
      <c r="M17" s="4">
        <f t="shared" si="21"/>
        <v>4171.7263930339059</v>
      </c>
      <c r="S17" s="3" t="s">
        <v>1</v>
      </c>
      <c r="T17" s="4"/>
      <c r="U17" s="4">
        <f>U16*0.35</f>
        <v>1973.3</v>
      </c>
      <c r="V17" s="4">
        <f>V16*0.35</f>
        <v>2405.2913149999999</v>
      </c>
      <c r="W17" s="4">
        <f t="shared" ref="W17" si="22">W16*0.35</f>
        <v>2549.6087938999999</v>
      </c>
      <c r="X17" s="4">
        <f t="shared" ref="X17" si="23">X16*0.35</f>
        <v>2702.5853215340003</v>
      </c>
      <c r="Y17" s="4">
        <f t="shared" ref="Y17" si="24">Y16*0.35</f>
        <v>2864.7404408260404</v>
      </c>
      <c r="Z17" s="4">
        <f t="shared" ref="Z17" si="25">Z16*0.35</f>
        <v>3036.6248672756024</v>
      </c>
      <c r="AA17" s="4">
        <f t="shared" ref="AA17" si="26">AA16*0.35</f>
        <v>3218.8223593121388</v>
      </c>
      <c r="AB17" s="4">
        <f t="shared" ref="AB17" si="27">AB16*0.35</f>
        <v>3411.9517008708672</v>
      </c>
      <c r="AC17" s="4">
        <f t="shared" ref="AC17" si="28">AC16*0.35</f>
        <v>3616.6688029231195</v>
      </c>
      <c r="AD17" s="4">
        <f t="shared" ref="AD17" si="29">AD16*0.35</f>
        <v>3833.6689310985075</v>
      </c>
      <c r="AH17" s="3" t="s">
        <v>1</v>
      </c>
      <c r="AI17" s="4"/>
      <c r="AJ17" s="4">
        <f>AJ16*0.35</f>
        <v>1973.3</v>
      </c>
      <c r="AK17" s="4">
        <f>AK16*0.35</f>
        <v>2450.6741699999998</v>
      </c>
      <c r="AL17" s="4">
        <f t="shared" ref="AL17" si="30">AL16*0.35</f>
        <v>2646.7281036000004</v>
      </c>
      <c r="AM17" s="4">
        <f t="shared" ref="AM17" si="31">AM16*0.35</f>
        <v>2858.4663518880002</v>
      </c>
      <c r="AN17" s="4">
        <f t="shared" ref="AN17" si="32">AN16*0.35</f>
        <v>3087.1436600390407</v>
      </c>
      <c r="AO17" s="4">
        <f t="shared" ref="AO17" si="33">AO16*0.35</f>
        <v>3334.1151528421642</v>
      </c>
      <c r="AP17" s="4">
        <f t="shared" ref="AP17" si="34">AP16*0.35</f>
        <v>3600.8443650695372</v>
      </c>
      <c r="AQ17" s="4">
        <f t="shared" ref="AQ17" si="35">AQ16*0.35</f>
        <v>3888.911914275101</v>
      </c>
      <c r="AR17" s="4">
        <f t="shared" ref="AR17" si="36">AR16*0.35</f>
        <v>4200.0248674171089</v>
      </c>
      <c r="AS17" s="4">
        <f t="shared" ref="AS17" si="37">AS16*0.35</f>
        <v>4536.0268568104784</v>
      </c>
    </row>
    <row r="18" spans="2:45">
      <c r="B18" s="3" t="s">
        <v>15</v>
      </c>
      <c r="C18" s="4"/>
      <c r="D18" s="4">
        <f>D16-D17</f>
        <v>3664.7</v>
      </c>
      <c r="E18" s="4">
        <f>E16-E17</f>
        <v>4509.1108075000011</v>
      </c>
      <c r="F18" s="4">
        <f t="shared" ref="F18:M18" si="38">F16-F17</f>
        <v>4824.7485640249997</v>
      </c>
      <c r="G18" s="4">
        <f t="shared" si="38"/>
        <v>5162.4809635067513</v>
      </c>
      <c r="H18" s="4">
        <f t="shared" si="38"/>
        <v>5523.8546309522244</v>
      </c>
      <c r="I18" s="4">
        <f t="shared" si="38"/>
        <v>5910.5244551188789</v>
      </c>
      <c r="J18" s="4">
        <f t="shared" si="38"/>
        <v>6324.2611669772014</v>
      </c>
      <c r="K18" s="4">
        <f t="shared" si="38"/>
        <v>6766.959448665606</v>
      </c>
      <c r="L18" s="4">
        <f t="shared" si="38"/>
        <v>7240.6466100722009</v>
      </c>
      <c r="M18" s="4">
        <f t="shared" si="38"/>
        <v>7747.4918727772538</v>
      </c>
      <c r="S18" s="3" t="s">
        <v>15</v>
      </c>
      <c r="T18" s="4"/>
      <c r="U18" s="4">
        <f>U16-U17</f>
        <v>3664.7</v>
      </c>
      <c r="V18" s="4">
        <f>V16-V17</f>
        <v>4466.9695850000007</v>
      </c>
      <c r="W18" s="4">
        <f t="shared" ref="W18" si="39">W16-W17</f>
        <v>4734.9877601000007</v>
      </c>
      <c r="X18" s="4">
        <f t="shared" ref="X18" si="40">X16-X17</f>
        <v>5019.0870257060005</v>
      </c>
      <c r="Y18" s="4">
        <f t="shared" ref="Y18" si="41">Y16-Y17</f>
        <v>5320.2322472483611</v>
      </c>
      <c r="Z18" s="4">
        <f t="shared" ref="Z18" si="42">Z16-Z17</f>
        <v>5639.4461820832621</v>
      </c>
      <c r="AA18" s="4">
        <f t="shared" ref="AA18" si="43">AA16-AA17</f>
        <v>5977.8129530082588</v>
      </c>
      <c r="AB18" s="4">
        <f t="shared" ref="AB18" si="44">AB16-AB17</f>
        <v>6336.4817301887533</v>
      </c>
      <c r="AC18" s="4">
        <f t="shared" ref="AC18" si="45">AC16-AC17</f>
        <v>6716.6706340000801</v>
      </c>
      <c r="AD18" s="4">
        <f t="shared" ref="AD18" si="46">AD16-AD17</f>
        <v>7119.6708720400857</v>
      </c>
      <c r="AH18" s="3" t="s">
        <v>15</v>
      </c>
      <c r="AI18" s="4"/>
      <c r="AJ18" s="4">
        <f>AJ16-AJ17</f>
        <v>3664.7</v>
      </c>
      <c r="AK18" s="4">
        <f>AK16-AK17</f>
        <v>4551.2520299999996</v>
      </c>
      <c r="AL18" s="4">
        <f t="shared" ref="AL18" si="47">AL16-AL17</f>
        <v>4915.3521924000006</v>
      </c>
      <c r="AM18" s="4">
        <f t="shared" ref="AM18" si="48">AM16-AM17</f>
        <v>5308.5803677920012</v>
      </c>
      <c r="AN18" s="4">
        <f t="shared" ref="AN18" si="49">AN16-AN17</f>
        <v>5733.2667972153613</v>
      </c>
      <c r="AO18" s="4">
        <f t="shared" ref="AO18" si="50">AO16-AO17</f>
        <v>6191.9281409925907</v>
      </c>
      <c r="AP18" s="4">
        <f t="shared" ref="AP18" si="51">AP16-AP17</f>
        <v>6687.2823922719981</v>
      </c>
      <c r="AQ18" s="4">
        <f t="shared" ref="AQ18" si="52">AQ16-AQ17</f>
        <v>7222.2649836537603</v>
      </c>
      <c r="AR18" s="4">
        <f t="shared" ref="AR18" si="53">AR16-AR17</f>
        <v>7800.046182346061</v>
      </c>
      <c r="AS18" s="4">
        <f t="shared" ref="AS18" si="54">AS16-AS17</f>
        <v>8424.0498769337464</v>
      </c>
    </row>
    <row r="19" spans="2:45">
      <c r="B19" s="3" t="s">
        <v>16</v>
      </c>
      <c r="C19" s="4"/>
      <c r="D19" s="4">
        <v>577</v>
      </c>
      <c r="E19" s="4">
        <f t="shared" ref="E19:M19" si="55">E5*0.033</f>
        <v>477.92085000000003</v>
      </c>
      <c r="F19" s="4">
        <f t="shared" si="55"/>
        <v>511.37530950000007</v>
      </c>
      <c r="G19" s="4">
        <f t="shared" si="55"/>
        <v>547.17158116500013</v>
      </c>
      <c r="H19" s="4">
        <f t="shared" si="55"/>
        <v>585.47359184655022</v>
      </c>
      <c r="I19" s="4">
        <f t="shared" si="55"/>
        <v>626.45674327580866</v>
      </c>
      <c r="J19" s="4">
        <f t="shared" si="55"/>
        <v>670.30871530511536</v>
      </c>
      <c r="K19" s="4">
        <f t="shared" si="55"/>
        <v>717.2303253764735</v>
      </c>
      <c r="L19" s="4">
        <f t="shared" si="55"/>
        <v>767.43644815282676</v>
      </c>
      <c r="M19" s="4">
        <f t="shared" si="55"/>
        <v>821.15699952352463</v>
      </c>
      <c r="S19" s="3" t="s">
        <v>16</v>
      </c>
      <c r="T19" s="4"/>
      <c r="U19" s="4">
        <v>577</v>
      </c>
      <c r="V19" s="4">
        <f t="shared" ref="V19:AD19" si="56">V5*0.033</f>
        <v>473.45430000000005</v>
      </c>
      <c r="W19" s="4">
        <f t="shared" si="56"/>
        <v>501.86155800000006</v>
      </c>
      <c r="X19" s="4">
        <f t="shared" si="56"/>
        <v>531.97325148000004</v>
      </c>
      <c r="Y19" s="4">
        <f t="shared" si="56"/>
        <v>563.89164656880018</v>
      </c>
      <c r="Z19" s="4">
        <f t="shared" si="56"/>
        <v>597.72514536292817</v>
      </c>
      <c r="AA19" s="4">
        <f t="shared" si="56"/>
        <v>633.58865408470376</v>
      </c>
      <c r="AB19" s="4">
        <f t="shared" si="56"/>
        <v>671.60397332978607</v>
      </c>
      <c r="AC19" s="4">
        <f t="shared" si="56"/>
        <v>711.90021172957336</v>
      </c>
      <c r="AD19" s="4">
        <f t="shared" si="56"/>
        <v>754.61422443334777</v>
      </c>
      <c r="AH19" s="3" t="s">
        <v>16</v>
      </c>
      <c r="AI19" s="4"/>
      <c r="AJ19" s="4">
        <v>577</v>
      </c>
      <c r="AK19" s="4">
        <f t="shared" ref="AK19:AS19" si="57">AK5*0.033</f>
        <v>482.38740000000007</v>
      </c>
      <c r="AL19" s="4">
        <f t="shared" si="57"/>
        <v>520.9783920000001</v>
      </c>
      <c r="AM19" s="4">
        <f t="shared" si="57"/>
        <v>562.65666336000015</v>
      </c>
      <c r="AN19" s="4">
        <f t="shared" si="57"/>
        <v>607.66919642880021</v>
      </c>
      <c r="AO19" s="4">
        <f t="shared" si="57"/>
        <v>656.28273214310423</v>
      </c>
      <c r="AP19" s="4">
        <f t="shared" si="57"/>
        <v>708.78535071455269</v>
      </c>
      <c r="AQ19" s="4">
        <f t="shared" si="57"/>
        <v>765.488178771717</v>
      </c>
      <c r="AR19" s="4">
        <f t="shared" si="57"/>
        <v>826.72723307345439</v>
      </c>
      <c r="AS19" s="4">
        <f t="shared" si="57"/>
        <v>892.86541171933084</v>
      </c>
    </row>
    <row r="20" spans="2:45">
      <c r="B20" s="3" t="s">
        <v>17</v>
      </c>
      <c r="C20" s="4"/>
      <c r="D20" s="4">
        <v>-457</v>
      </c>
      <c r="E20" s="4">
        <f t="shared" ref="E20:M20" si="58">E5*-0.013</f>
        <v>-188.27185</v>
      </c>
      <c r="F20" s="4">
        <f t="shared" si="58"/>
        <v>-201.45087950000001</v>
      </c>
      <c r="G20" s="4">
        <f t="shared" si="58"/>
        <v>-215.55244106500004</v>
      </c>
      <c r="H20" s="4">
        <f t="shared" si="58"/>
        <v>-230.64111193955006</v>
      </c>
      <c r="I20" s="4">
        <f t="shared" si="58"/>
        <v>-246.78598977531854</v>
      </c>
      <c r="J20" s="4">
        <f t="shared" si="58"/>
        <v>-264.0610090595909</v>
      </c>
      <c r="K20" s="4">
        <f t="shared" si="58"/>
        <v>-282.54527969376227</v>
      </c>
      <c r="L20" s="4">
        <f t="shared" si="58"/>
        <v>-302.32344927232566</v>
      </c>
      <c r="M20" s="4">
        <f t="shared" si="58"/>
        <v>-323.48609072138845</v>
      </c>
      <c r="S20" s="3" t="s">
        <v>17</v>
      </c>
      <c r="T20" s="4"/>
      <c r="U20" s="4">
        <v>-457</v>
      </c>
      <c r="V20" s="4">
        <f t="shared" ref="V20:AD20" si="59">V5*-0.013</f>
        <v>-186.51229999999998</v>
      </c>
      <c r="W20" s="4">
        <f t="shared" si="59"/>
        <v>-197.70303800000002</v>
      </c>
      <c r="X20" s="4">
        <f t="shared" si="59"/>
        <v>-209.56522028000001</v>
      </c>
      <c r="Y20" s="4">
        <f t="shared" si="59"/>
        <v>-222.13913349680004</v>
      </c>
      <c r="Z20" s="4">
        <f t="shared" si="59"/>
        <v>-235.46748150660804</v>
      </c>
      <c r="AA20" s="4">
        <f t="shared" si="59"/>
        <v>-249.5955303970045</v>
      </c>
      <c r="AB20" s="4">
        <f t="shared" si="59"/>
        <v>-264.57126222082479</v>
      </c>
      <c r="AC20" s="4">
        <f t="shared" si="59"/>
        <v>-280.44553795407433</v>
      </c>
      <c r="AD20" s="4">
        <f t="shared" si="59"/>
        <v>-297.27227023131877</v>
      </c>
      <c r="AH20" s="3" t="s">
        <v>17</v>
      </c>
      <c r="AI20" s="4"/>
      <c r="AJ20" s="4">
        <v>-457</v>
      </c>
      <c r="AK20" s="4">
        <f t="shared" ref="AK20:AS20" si="60">AK5*-0.013</f>
        <v>-190.03140000000002</v>
      </c>
      <c r="AL20" s="4">
        <f t="shared" si="60"/>
        <v>-205.233912</v>
      </c>
      <c r="AM20" s="4">
        <f t="shared" si="60"/>
        <v>-221.65262496000003</v>
      </c>
      <c r="AN20" s="4">
        <f t="shared" si="60"/>
        <v>-239.38483495680003</v>
      </c>
      <c r="AO20" s="4">
        <f t="shared" si="60"/>
        <v>-258.53562175334406</v>
      </c>
      <c r="AP20" s="4">
        <f t="shared" si="60"/>
        <v>-279.21847149361162</v>
      </c>
      <c r="AQ20" s="4">
        <f t="shared" si="60"/>
        <v>-301.55594921310058</v>
      </c>
      <c r="AR20" s="4">
        <f t="shared" si="60"/>
        <v>-325.68042515014866</v>
      </c>
      <c r="AS20" s="4">
        <f t="shared" si="60"/>
        <v>-351.7348591621606</v>
      </c>
    </row>
    <row r="21" spans="2:45">
      <c r="B21" s="3" t="s">
        <v>4</v>
      </c>
      <c r="C21" s="4"/>
      <c r="D21" s="4">
        <v>-672</v>
      </c>
      <c r="E21" s="4">
        <f t="shared" ref="E21:M21" si="61">E5*-0.039</f>
        <v>-564.81555000000003</v>
      </c>
      <c r="F21" s="4">
        <f t="shared" si="61"/>
        <v>-604.35263850000001</v>
      </c>
      <c r="G21" s="4">
        <f t="shared" si="61"/>
        <v>-646.65732319500012</v>
      </c>
      <c r="H21" s="4">
        <f t="shared" si="61"/>
        <v>-691.92333581865012</v>
      </c>
      <c r="I21" s="4">
        <f t="shared" si="61"/>
        <v>-740.35796932595565</v>
      </c>
      <c r="J21" s="4">
        <f t="shared" si="61"/>
        <v>-792.1830271787727</v>
      </c>
      <c r="K21" s="4">
        <f t="shared" si="61"/>
        <v>-847.6358390812868</v>
      </c>
      <c r="L21" s="4">
        <f t="shared" si="61"/>
        <v>-906.97034781697698</v>
      </c>
      <c r="M21" s="4">
        <f t="shared" si="61"/>
        <v>-970.45827216416546</v>
      </c>
      <c r="S21" s="3" t="s">
        <v>4</v>
      </c>
      <c r="T21" s="4"/>
      <c r="U21" s="4">
        <v>-672</v>
      </c>
      <c r="V21" s="4">
        <f t="shared" ref="V21:AD21" si="62">V5*-0.039</f>
        <v>-559.53690000000006</v>
      </c>
      <c r="W21" s="4">
        <f t="shared" si="62"/>
        <v>-593.10911400000009</v>
      </c>
      <c r="X21" s="4">
        <f t="shared" si="62"/>
        <v>-628.69566084000007</v>
      </c>
      <c r="Y21" s="4">
        <f t="shared" si="62"/>
        <v>-666.41740049040015</v>
      </c>
      <c r="Z21" s="4">
        <f t="shared" si="62"/>
        <v>-706.40244451982414</v>
      </c>
      <c r="AA21" s="4">
        <f t="shared" si="62"/>
        <v>-748.7865911910136</v>
      </c>
      <c r="AB21" s="4">
        <f t="shared" si="62"/>
        <v>-793.71378666247438</v>
      </c>
      <c r="AC21" s="4">
        <f t="shared" si="62"/>
        <v>-841.33661386222298</v>
      </c>
      <c r="AD21" s="4">
        <f t="shared" si="62"/>
        <v>-891.81681069395643</v>
      </c>
      <c r="AH21" s="3" t="s">
        <v>4</v>
      </c>
      <c r="AI21" s="4"/>
      <c r="AJ21" s="4">
        <v>-672</v>
      </c>
      <c r="AK21" s="4">
        <f t="shared" ref="AK21:AS21" si="63">AK5*-0.039</f>
        <v>-570.0942</v>
      </c>
      <c r="AL21" s="4">
        <f t="shared" si="63"/>
        <v>-615.7017360000001</v>
      </c>
      <c r="AM21" s="4">
        <f t="shared" si="63"/>
        <v>-664.95787488000008</v>
      </c>
      <c r="AN21" s="4">
        <f t="shared" si="63"/>
        <v>-718.15450487040016</v>
      </c>
      <c r="AO21" s="4">
        <f t="shared" si="63"/>
        <v>-775.60686526003224</v>
      </c>
      <c r="AP21" s="4">
        <f t="shared" si="63"/>
        <v>-837.65541448083491</v>
      </c>
      <c r="AQ21" s="4">
        <f t="shared" si="63"/>
        <v>-904.66784763930184</v>
      </c>
      <c r="AR21" s="4">
        <f t="shared" si="63"/>
        <v>-977.04127545044605</v>
      </c>
      <c r="AS21" s="4">
        <f t="shared" si="63"/>
        <v>-1055.2045774864819</v>
      </c>
    </row>
    <row r="22" spans="2:45">
      <c r="B22" s="3" t="s">
        <v>6</v>
      </c>
      <c r="C22" s="4"/>
      <c r="D22" s="4">
        <v>-1567</v>
      </c>
      <c r="E22" s="4">
        <f t="shared" ref="E22:M22" si="64">E5*-0.013</f>
        <v>-188.27185</v>
      </c>
      <c r="F22" s="4">
        <f t="shared" si="64"/>
        <v>-201.45087950000001</v>
      </c>
      <c r="G22" s="4">
        <f t="shared" si="64"/>
        <v>-215.55244106500004</v>
      </c>
      <c r="H22" s="4">
        <f t="shared" si="64"/>
        <v>-230.64111193955006</v>
      </c>
      <c r="I22" s="4">
        <f t="shared" si="64"/>
        <v>-246.78598977531854</v>
      </c>
      <c r="J22" s="4">
        <f t="shared" si="64"/>
        <v>-264.0610090595909</v>
      </c>
      <c r="K22" s="4">
        <f t="shared" si="64"/>
        <v>-282.54527969376227</v>
      </c>
      <c r="L22" s="4">
        <f t="shared" si="64"/>
        <v>-302.32344927232566</v>
      </c>
      <c r="M22" s="4">
        <f t="shared" si="64"/>
        <v>-323.48609072138845</v>
      </c>
      <c r="S22" s="3" t="s">
        <v>6</v>
      </c>
      <c r="T22" s="4"/>
      <c r="U22" s="4">
        <v>-1567</v>
      </c>
      <c r="V22" s="4">
        <f t="shared" ref="V22:AD22" si="65">V5*-0.013</f>
        <v>-186.51229999999998</v>
      </c>
      <c r="W22" s="4">
        <f t="shared" si="65"/>
        <v>-197.70303800000002</v>
      </c>
      <c r="X22" s="4">
        <f t="shared" si="65"/>
        <v>-209.56522028000001</v>
      </c>
      <c r="Y22" s="4">
        <f t="shared" si="65"/>
        <v>-222.13913349680004</v>
      </c>
      <c r="Z22" s="4">
        <f t="shared" si="65"/>
        <v>-235.46748150660804</v>
      </c>
      <c r="AA22" s="4">
        <f t="shared" si="65"/>
        <v>-249.5955303970045</v>
      </c>
      <c r="AB22" s="4">
        <f t="shared" si="65"/>
        <v>-264.57126222082479</v>
      </c>
      <c r="AC22" s="4">
        <f t="shared" si="65"/>
        <v>-280.44553795407433</v>
      </c>
      <c r="AD22" s="4">
        <f t="shared" si="65"/>
        <v>-297.27227023131877</v>
      </c>
      <c r="AH22" s="3" t="s">
        <v>6</v>
      </c>
      <c r="AI22" s="4"/>
      <c r="AJ22" s="4">
        <v>-1567</v>
      </c>
      <c r="AK22" s="4">
        <f t="shared" ref="AK22:AS22" si="66">AK5*-0.013</f>
        <v>-190.03140000000002</v>
      </c>
      <c r="AL22" s="4">
        <f t="shared" si="66"/>
        <v>-205.233912</v>
      </c>
      <c r="AM22" s="4">
        <f t="shared" si="66"/>
        <v>-221.65262496000003</v>
      </c>
      <c r="AN22" s="4">
        <f t="shared" si="66"/>
        <v>-239.38483495680003</v>
      </c>
      <c r="AO22" s="4">
        <f t="shared" si="66"/>
        <v>-258.53562175334406</v>
      </c>
      <c r="AP22" s="4">
        <f t="shared" si="66"/>
        <v>-279.21847149361162</v>
      </c>
      <c r="AQ22" s="4">
        <f t="shared" si="66"/>
        <v>-301.55594921310058</v>
      </c>
      <c r="AR22" s="4">
        <f t="shared" si="66"/>
        <v>-325.68042515014866</v>
      </c>
      <c r="AS22" s="4">
        <f t="shared" si="66"/>
        <v>-351.7348591621606</v>
      </c>
    </row>
    <row r="23" spans="2:45">
      <c r="B23" s="5" t="s">
        <v>7</v>
      </c>
      <c r="C23" s="6"/>
      <c r="D23" s="6">
        <f>SUM(D18:D22)</f>
        <v>1545.6999999999998</v>
      </c>
      <c r="E23" s="6">
        <f>SUM(E18:E22)</f>
        <v>4045.6724075000011</v>
      </c>
      <c r="F23" s="6">
        <f t="shared" ref="F23:M23" si="67">SUM(F18:F22)</f>
        <v>4328.869476025</v>
      </c>
      <c r="G23" s="6">
        <f t="shared" si="67"/>
        <v>4631.8903393467517</v>
      </c>
      <c r="H23" s="6">
        <f t="shared" si="67"/>
        <v>4956.122663101025</v>
      </c>
      <c r="I23" s="6">
        <f t="shared" si="67"/>
        <v>5303.0512495180947</v>
      </c>
      <c r="J23" s="6">
        <f t="shared" si="67"/>
        <v>5674.2648369843619</v>
      </c>
      <c r="K23" s="6">
        <f t="shared" si="67"/>
        <v>6071.4633755732675</v>
      </c>
      <c r="L23" s="6">
        <f t="shared" si="67"/>
        <v>6496.4658118633988</v>
      </c>
      <c r="M23" s="6">
        <f t="shared" si="67"/>
        <v>6951.2184186938366</v>
      </c>
      <c r="S23" s="5" t="s">
        <v>7</v>
      </c>
      <c r="T23" s="6"/>
      <c r="U23" s="6">
        <f>SUM(U18:U22)</f>
        <v>1545.6999999999998</v>
      </c>
      <c r="V23" s="6">
        <f>SUM(V18:V22)</f>
        <v>4007.8623850000008</v>
      </c>
      <c r="W23" s="6">
        <f t="shared" ref="W23" si="68">SUM(W18:W22)</f>
        <v>4248.3341281000021</v>
      </c>
      <c r="X23" s="6">
        <f t="shared" ref="X23" si="69">SUM(X18:X22)</f>
        <v>4503.2341757860004</v>
      </c>
      <c r="Y23" s="6">
        <f t="shared" ref="Y23" si="70">SUM(Y18:Y22)</f>
        <v>4773.4282263331606</v>
      </c>
      <c r="Z23" s="6">
        <f t="shared" ref="Z23" si="71">SUM(Z18:Z22)</f>
        <v>5059.8339199131497</v>
      </c>
      <c r="AA23" s="6">
        <f t="shared" ref="AA23" si="72">SUM(AA18:AA22)</f>
        <v>5363.4239551079409</v>
      </c>
      <c r="AB23" s="6">
        <f t="shared" ref="AB23" si="73">SUM(AB18:AB22)</f>
        <v>5685.2293924144151</v>
      </c>
      <c r="AC23" s="6">
        <f t="shared" ref="AC23" si="74">SUM(AC18:AC22)</f>
        <v>6026.3431559592818</v>
      </c>
      <c r="AD23" s="6">
        <f t="shared" ref="AD23" si="75">SUM(AD18:AD22)</f>
        <v>6387.9237453168398</v>
      </c>
      <c r="AH23" s="5" t="s">
        <v>7</v>
      </c>
      <c r="AI23" s="6"/>
      <c r="AJ23" s="6">
        <f>SUM(AJ18:AJ22)</f>
        <v>1545.6999999999998</v>
      </c>
      <c r="AK23" s="6">
        <f>SUM(AK18:AK22)</f>
        <v>4083.48243</v>
      </c>
      <c r="AL23" s="6">
        <f t="shared" ref="AL23" si="76">SUM(AL18:AL22)</f>
        <v>4410.1610244000012</v>
      </c>
      <c r="AM23" s="6">
        <f t="shared" ref="AM23" si="77">SUM(AM18:AM22)</f>
        <v>4762.973906352001</v>
      </c>
      <c r="AN23" s="6">
        <f t="shared" ref="AN23" si="78">SUM(AN18:AN22)</f>
        <v>5144.0118188601618</v>
      </c>
      <c r="AO23" s="6">
        <f t="shared" ref="AO23" si="79">SUM(AO18:AO22)</f>
        <v>5555.5327643689734</v>
      </c>
      <c r="AP23" s="6">
        <f t="shared" ref="AP23" si="80">SUM(AP18:AP22)</f>
        <v>5999.9753855184917</v>
      </c>
      <c r="AQ23" s="6">
        <f t="shared" ref="AQ23" si="81">SUM(AQ18:AQ22)</f>
        <v>6479.9734163599742</v>
      </c>
      <c r="AR23" s="6">
        <f t="shared" ref="AR23" si="82">SUM(AR18:AR22)</f>
        <v>6998.3712896687712</v>
      </c>
      <c r="AS23" s="6">
        <f t="shared" ref="AS23" si="83">SUM(AS18:AS22)</f>
        <v>7558.240992842274</v>
      </c>
    </row>
    <row r="24" spans="2:45">
      <c r="B24" s="3" t="s">
        <v>32</v>
      </c>
      <c r="C24" s="7">
        <v>0.02</v>
      </c>
      <c r="D24" s="7"/>
      <c r="E24" s="7"/>
      <c r="F24" s="7"/>
      <c r="G24" s="7"/>
      <c r="H24" s="7"/>
      <c r="I24" s="4"/>
      <c r="J24" s="4"/>
      <c r="K24" s="4"/>
      <c r="L24" s="4"/>
      <c r="M24" s="4"/>
      <c r="S24" s="3" t="s">
        <v>32</v>
      </c>
      <c r="T24" s="7">
        <v>0.02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H24" s="3" t="s">
        <v>32</v>
      </c>
      <c r="AI24" s="7">
        <v>0.02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>
      <c r="B25" s="3" t="s">
        <v>33</v>
      </c>
      <c r="C25" s="7">
        <v>0.09</v>
      </c>
      <c r="D25" s="7"/>
      <c r="E25" s="7"/>
      <c r="F25" s="7"/>
      <c r="G25" s="7"/>
      <c r="H25" s="7"/>
      <c r="I25" s="4"/>
      <c r="J25" s="4"/>
      <c r="K25" s="4"/>
      <c r="L25" s="4"/>
      <c r="M25" s="4"/>
      <c r="S25" s="3" t="s">
        <v>33</v>
      </c>
      <c r="T25" s="7">
        <v>0.09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H25" s="3" t="s">
        <v>33</v>
      </c>
      <c r="AI25" s="7">
        <v>0.09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2:45">
      <c r="B26" s="8" t="s">
        <v>34</v>
      </c>
      <c r="C26" s="9">
        <v>7.0000000000000007E-2</v>
      </c>
      <c r="D26" s="9"/>
      <c r="E26" s="9"/>
      <c r="F26" s="9"/>
      <c r="G26" s="9"/>
      <c r="H26" s="9"/>
      <c r="I26" s="10"/>
      <c r="J26" s="10"/>
      <c r="K26" s="10"/>
      <c r="L26" s="10"/>
      <c r="M26" s="10"/>
      <c r="S26" s="8" t="s">
        <v>34</v>
      </c>
      <c r="T26" s="9">
        <v>0.06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H26" s="8" t="s">
        <v>34</v>
      </c>
      <c r="AI26" s="9">
        <v>0.08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2:45">
      <c r="B27" s="8" t="s">
        <v>37</v>
      </c>
      <c r="C27" s="11">
        <f>NPV(C25,D23,E23,F23,G23,H23,I23,J23,K23,L23,M23)</f>
        <v>29908.943199373545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S27" s="8" t="s">
        <v>37</v>
      </c>
      <c r="T27" s="11">
        <f>NPV(T25,U23,V23,W23,X23,Y23,Z23,AA23,AB23,AC23,AD23)</f>
        <v>28641.748821950256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H27" s="8" t="s">
        <v>37</v>
      </c>
      <c r="AI27" s="11">
        <f>NPV(AI25,AJ23,AK23,AL23,AM23,AN23,AO23,AP23,AQ23,AR23,AS23)</f>
        <v>31239.759928979289</v>
      </c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2:45">
      <c r="B28" s="8" t="s">
        <v>36</v>
      </c>
      <c r="C28" s="4">
        <f>NPV(C25,D28,E28,F28,G28,H28,I28,J28,K28,L28,M28)</f>
        <v>42785.645382451592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f>M23*(1+C24)/(C25-C24)</f>
        <v>101289.18267239592</v>
      </c>
      <c r="S28" s="8" t="s">
        <v>36</v>
      </c>
      <c r="T28" s="4">
        <f>NPV(T25,U28,V28,W28,X28,Y28,Z28,AA28,AB28,AC28,AD28)</f>
        <v>39318.494058862372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f>AD23*(1+T24)/(T25-T24)</f>
        <v>93081.174574616816</v>
      </c>
      <c r="AH28" s="8" t="s">
        <v>36</v>
      </c>
      <c r="AI28" s="4">
        <f>NPV(AI25,AJ28,AK28,AL28,AM28,AN28,AO28,AP28,AQ28,AR28,AS28)</f>
        <v>46521.947571836427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f>AS23*(1+AI24)/(AI25-AI24)</f>
        <v>110134.36875284457</v>
      </c>
    </row>
    <row r="29" spans="2:45" ht="17" thickBot="1">
      <c r="B29" s="8" t="s">
        <v>35</v>
      </c>
      <c r="C29" s="12">
        <f>SUM(C27:C28)</f>
        <v>72694.588581825141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S29" s="8" t="s">
        <v>35</v>
      </c>
      <c r="T29" s="12">
        <f>SUM(T27:T28)</f>
        <v>67960.242880812628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H29" s="8" t="s">
        <v>35</v>
      </c>
      <c r="AI29" s="12">
        <f>SUM(AI27:AI28)</f>
        <v>77761.707500815712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2:45" ht="17" thickTop="1">
      <c r="B30" s="3" t="s">
        <v>38</v>
      </c>
      <c r="C30" s="13">
        <v>3021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S30" s="3" t="s">
        <v>38</v>
      </c>
      <c r="T30" s="13">
        <v>3021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H30" s="3" t="s">
        <v>38</v>
      </c>
      <c r="AI30" s="13">
        <v>3021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2:45">
      <c r="B31" s="3" t="s">
        <v>39</v>
      </c>
      <c r="C31" s="13">
        <v>-7000</v>
      </c>
      <c r="D31" s="4"/>
      <c r="E31" s="4"/>
      <c r="F31" s="4"/>
      <c r="G31" s="4"/>
      <c r="H31" s="4"/>
      <c r="I31" s="4"/>
      <c r="J31" s="4"/>
      <c r="K31" s="4"/>
      <c r="L31" s="4"/>
      <c r="M31" s="4"/>
      <c r="S31" s="3" t="s">
        <v>39</v>
      </c>
      <c r="T31" s="13">
        <v>-7000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H31" s="3" t="s">
        <v>39</v>
      </c>
      <c r="AI31" s="13">
        <v>-7000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2:45">
      <c r="B32" s="3" t="s">
        <v>40</v>
      </c>
      <c r="C32" s="13">
        <f>SUM(C30:C31)</f>
        <v>-3979</v>
      </c>
      <c r="D32" s="4"/>
      <c r="E32" s="4"/>
      <c r="F32" s="4"/>
      <c r="G32" s="4"/>
      <c r="H32" s="4"/>
      <c r="I32" s="4"/>
      <c r="J32" s="4"/>
      <c r="K32" s="4"/>
      <c r="L32" s="4"/>
      <c r="M32" s="4"/>
      <c r="S32" s="3" t="s">
        <v>40</v>
      </c>
      <c r="T32" s="13">
        <f>SUM(T30:T31)</f>
        <v>-3979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H32" s="3" t="s">
        <v>40</v>
      </c>
      <c r="AI32" s="13">
        <f>SUM(AI30:AI31)</f>
        <v>-3979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2:45">
      <c r="B33" s="3" t="s">
        <v>41</v>
      </c>
      <c r="C33" s="13">
        <f>C29-C32</f>
        <v>76673.588581825141</v>
      </c>
      <c r="D33" s="4"/>
      <c r="E33" s="4"/>
      <c r="F33" s="4"/>
      <c r="G33" s="4"/>
      <c r="H33" s="4"/>
      <c r="I33" s="4"/>
      <c r="J33" s="4"/>
      <c r="K33" s="4"/>
      <c r="L33" s="4"/>
      <c r="M33" s="4"/>
      <c r="S33" s="3" t="s">
        <v>41</v>
      </c>
      <c r="T33" s="13">
        <f>T29-T32</f>
        <v>71939.242880812628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H33" s="3" t="s">
        <v>41</v>
      </c>
      <c r="AI33" s="13">
        <f>AI29-AI32</f>
        <v>81740.707500815712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5" spans="2:45" ht="17">
      <c r="B35" t="s">
        <v>18</v>
      </c>
      <c r="C35" t="s">
        <v>19</v>
      </c>
      <c r="S35" s="17" t="s">
        <v>41</v>
      </c>
      <c r="T35" s="18">
        <f>T33</f>
        <v>71939.242880812628</v>
      </c>
      <c r="AH35" s="17" t="s">
        <v>41</v>
      </c>
      <c r="AI35" s="18">
        <f>AI33</f>
        <v>81740.707500815712</v>
      </c>
    </row>
    <row r="36" spans="2:45" ht="17">
      <c r="B36" s="14" t="s">
        <v>41</v>
      </c>
      <c r="C36" s="4">
        <f>C33</f>
        <v>76673.588581825141</v>
      </c>
      <c r="S36" s="19" t="s">
        <v>42</v>
      </c>
      <c r="T36" s="22">
        <v>1053</v>
      </c>
      <c r="AH36" s="19" t="s">
        <v>42</v>
      </c>
      <c r="AI36" s="22">
        <v>1053</v>
      </c>
    </row>
    <row r="37" spans="2:45" ht="17">
      <c r="B37" s="14" t="s">
        <v>42</v>
      </c>
      <c r="C37" s="4">
        <v>1053</v>
      </c>
      <c r="S37" s="20" t="s">
        <v>43</v>
      </c>
      <c r="T37" s="21">
        <f>T35/T36</f>
        <v>68.318369307514359</v>
      </c>
      <c r="AH37" s="20" t="s">
        <v>43</v>
      </c>
      <c r="AI37" s="21">
        <f>AI35/AI36</f>
        <v>77.626502849777509</v>
      </c>
    </row>
    <row r="38" spans="2:45" ht="17">
      <c r="B38" s="14" t="s">
        <v>43</v>
      </c>
      <c r="C38" s="15">
        <f>C36/C37</f>
        <v>72.814424104297373</v>
      </c>
    </row>
    <row r="42" spans="2:45">
      <c r="E42" s="39" t="s">
        <v>43</v>
      </c>
      <c r="F42" s="40"/>
      <c r="G42" s="33" t="s">
        <v>60</v>
      </c>
      <c r="H42" s="34"/>
      <c r="I42" s="35"/>
    </row>
    <row r="43" spans="2:45">
      <c r="E43" s="41"/>
      <c r="F43" s="42"/>
      <c r="G43" s="29">
        <v>0.01</v>
      </c>
      <c r="H43" s="29">
        <v>0.02</v>
      </c>
      <c r="I43" s="29">
        <v>0.03</v>
      </c>
    </row>
    <row r="44" spans="2:45" ht="16" customHeight="1">
      <c r="E44" s="36" t="s">
        <v>59</v>
      </c>
      <c r="F44" s="29">
        <v>0.06</v>
      </c>
      <c r="G44" s="30">
        <v>63.33</v>
      </c>
      <c r="H44" s="30">
        <v>68.319999999999993</v>
      </c>
      <c r="I44" s="30">
        <v>74.97</v>
      </c>
    </row>
    <row r="45" spans="2:45">
      <c r="E45" s="37"/>
      <c r="F45" s="29">
        <v>7.0000000000000007E-2</v>
      </c>
      <c r="G45" s="30">
        <v>67.39</v>
      </c>
      <c r="H45" s="30">
        <v>72.81</v>
      </c>
      <c r="I45" s="30">
        <v>80.05</v>
      </c>
    </row>
    <row r="46" spans="2:45">
      <c r="E46" s="38"/>
      <c r="F46" s="29">
        <v>0.08</v>
      </c>
      <c r="G46" s="30">
        <v>71.72</v>
      </c>
      <c r="H46" s="30">
        <v>77.63</v>
      </c>
      <c r="I46" s="30">
        <v>85.5</v>
      </c>
    </row>
  </sheetData>
  <mergeCells count="3">
    <mergeCell ref="G42:I42"/>
    <mergeCell ref="E44:E46"/>
    <mergeCell ref="E42:F43"/>
  </mergeCell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2BFA-77A1-6646-86FC-93FEC54BE78A}">
  <dimension ref="B1:AN51"/>
  <sheetViews>
    <sheetView workbookViewId="0">
      <selection activeCell="E17" sqref="E17"/>
    </sheetView>
  </sheetViews>
  <sheetFormatPr baseColWidth="10" defaultRowHeight="16"/>
  <cols>
    <col min="2" max="2" width="30.1640625" bestFit="1" customWidth="1"/>
    <col min="3" max="3" width="11.6640625" bestFit="1" customWidth="1"/>
    <col min="4" max="4" width="9.6640625" bestFit="1" customWidth="1"/>
    <col min="5" max="5" width="9.5" bestFit="1" customWidth="1"/>
    <col min="6" max="6" width="9.33203125" bestFit="1" customWidth="1"/>
    <col min="7" max="7" width="9.5" bestFit="1" customWidth="1"/>
    <col min="8" max="8" width="10.5" bestFit="1" customWidth="1"/>
    <col min="9" max="9" width="10.6640625" bestFit="1" customWidth="1"/>
    <col min="11" max="11" width="11.1640625" bestFit="1" customWidth="1"/>
    <col min="12" max="14" width="9.6640625" bestFit="1" customWidth="1"/>
    <col min="15" max="15" width="10" bestFit="1" customWidth="1"/>
    <col min="16" max="16" width="10.6640625" bestFit="1" customWidth="1"/>
    <col min="17" max="17" width="11" bestFit="1" customWidth="1"/>
    <col min="18" max="18" width="10.5" bestFit="1" customWidth="1"/>
    <col min="19" max="19" width="11.6640625" bestFit="1" customWidth="1"/>
    <col min="23" max="23" width="30.1640625" bestFit="1" customWidth="1"/>
    <col min="24" max="24" width="19.33203125" bestFit="1" customWidth="1"/>
    <col min="40" max="40" width="12.33203125" bestFit="1" customWidth="1"/>
  </cols>
  <sheetData>
    <row r="1" spans="2:40">
      <c r="C1" t="s">
        <v>52</v>
      </c>
      <c r="X1" t="s">
        <v>52</v>
      </c>
    </row>
    <row r="2" spans="2:40">
      <c r="C2" t="s">
        <v>56</v>
      </c>
      <c r="X2" t="s">
        <v>62</v>
      </c>
    </row>
    <row r="3" spans="2:40">
      <c r="C3" t="s">
        <v>51</v>
      </c>
      <c r="X3" t="s">
        <v>51</v>
      </c>
    </row>
    <row r="4" spans="2:40"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  <c r="M4">
        <v>2018</v>
      </c>
      <c r="N4">
        <v>2019</v>
      </c>
      <c r="O4">
        <v>2020</v>
      </c>
      <c r="P4">
        <v>2021</v>
      </c>
      <c r="Q4">
        <v>2022</v>
      </c>
      <c r="R4">
        <v>2023</v>
      </c>
      <c r="S4">
        <v>2024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>
        <v>2017</v>
      </c>
      <c r="AH4">
        <v>2018</v>
      </c>
      <c r="AI4">
        <v>2019</v>
      </c>
      <c r="AJ4">
        <v>2020</v>
      </c>
      <c r="AK4">
        <v>2021</v>
      </c>
      <c r="AL4">
        <v>2022</v>
      </c>
      <c r="AM4">
        <v>2023</v>
      </c>
      <c r="AN4">
        <v>2024</v>
      </c>
    </row>
    <row r="5" spans="2:40">
      <c r="B5" t="s">
        <v>8</v>
      </c>
      <c r="D5">
        <v>14118</v>
      </c>
      <c r="E5" s="2">
        <f>D5*1.069</f>
        <v>15092.142</v>
      </c>
      <c r="F5" s="2">
        <f t="shared" ref="F5:S5" si="0">E5*1.069</f>
        <v>16133.499797999999</v>
      </c>
      <c r="G5" s="2">
        <f t="shared" si="0"/>
        <v>17246.711284061999</v>
      </c>
      <c r="H5" s="2">
        <f t="shared" si="0"/>
        <v>18436.734362662275</v>
      </c>
      <c r="I5" s="2">
        <f t="shared" si="0"/>
        <v>19708.869033685973</v>
      </c>
      <c r="J5" s="2">
        <f t="shared" si="0"/>
        <v>21068.780997010304</v>
      </c>
      <c r="K5" s="2">
        <f t="shared" si="0"/>
        <v>22522.526885804014</v>
      </c>
      <c r="L5" s="2">
        <f t="shared" si="0"/>
        <v>24076.58124092449</v>
      </c>
      <c r="M5" s="2">
        <f t="shared" si="0"/>
        <v>25737.865346548278</v>
      </c>
      <c r="N5" s="2">
        <f t="shared" si="0"/>
        <v>27513.778055460109</v>
      </c>
      <c r="O5" s="2">
        <f t="shared" si="0"/>
        <v>29412.228741286854</v>
      </c>
      <c r="P5" s="2">
        <f t="shared" si="0"/>
        <v>31441.672524435646</v>
      </c>
      <c r="Q5" s="2">
        <f t="shared" si="0"/>
        <v>33611.147928621707</v>
      </c>
      <c r="R5" s="2">
        <f t="shared" si="0"/>
        <v>35930.317135696605</v>
      </c>
      <c r="S5" s="2">
        <f t="shared" si="0"/>
        <v>38409.509018059667</v>
      </c>
      <c r="W5" t="s">
        <v>8</v>
      </c>
      <c r="Y5">
        <v>14118</v>
      </c>
      <c r="Z5" s="2">
        <f>Y5*1.059</f>
        <v>14950.962</v>
      </c>
      <c r="AA5" s="2">
        <f t="shared" ref="AA5:AN5" si="1">Z5*1.059</f>
        <v>15833.068757999999</v>
      </c>
      <c r="AB5" s="2">
        <f t="shared" si="1"/>
        <v>16767.219814721997</v>
      </c>
      <c r="AC5" s="2">
        <f t="shared" si="1"/>
        <v>17756.485783790595</v>
      </c>
      <c r="AD5" s="2">
        <f t="shared" si="1"/>
        <v>18804.118445034237</v>
      </c>
      <c r="AE5" s="2">
        <f t="shared" si="1"/>
        <v>19913.561433291256</v>
      </c>
      <c r="AF5" s="2">
        <f t="shared" si="1"/>
        <v>21088.461557855437</v>
      </c>
      <c r="AG5" s="2">
        <f t="shared" si="1"/>
        <v>22332.680789768907</v>
      </c>
      <c r="AH5" s="2">
        <f t="shared" si="1"/>
        <v>23650.308956365272</v>
      </c>
      <c r="AI5" s="2">
        <f t="shared" si="1"/>
        <v>25045.67718479082</v>
      </c>
      <c r="AJ5" s="2">
        <f t="shared" si="1"/>
        <v>26523.372138693478</v>
      </c>
      <c r="AK5" s="2">
        <f t="shared" si="1"/>
        <v>28088.251094876392</v>
      </c>
      <c r="AL5" s="2">
        <f t="shared" si="1"/>
        <v>29745.457909474098</v>
      </c>
      <c r="AM5" s="2">
        <f t="shared" si="1"/>
        <v>31500.439926133069</v>
      </c>
      <c r="AN5" s="2">
        <f t="shared" si="1"/>
        <v>33358.965881774915</v>
      </c>
    </row>
    <row r="7" spans="2:40">
      <c r="B7" t="s">
        <v>9</v>
      </c>
      <c r="D7">
        <v>1792</v>
      </c>
      <c r="E7" s="2">
        <f>E5*0.102</f>
        <v>1539.3984839999998</v>
      </c>
      <c r="F7" s="2">
        <f t="shared" ref="F7:S7" si="2">F5*0.102</f>
        <v>1645.6169793959998</v>
      </c>
      <c r="G7" s="2">
        <f t="shared" si="2"/>
        <v>1759.1645509743239</v>
      </c>
      <c r="H7" s="2">
        <f t="shared" si="2"/>
        <v>1880.5469049915519</v>
      </c>
      <c r="I7" s="2">
        <f t="shared" si="2"/>
        <v>2010.3046414359692</v>
      </c>
      <c r="J7" s="2">
        <f t="shared" si="2"/>
        <v>2149.0156616950508</v>
      </c>
      <c r="K7" s="2">
        <f t="shared" si="2"/>
        <v>2297.2977423520092</v>
      </c>
      <c r="L7" s="2">
        <f t="shared" si="2"/>
        <v>2455.8112865742978</v>
      </c>
      <c r="M7" s="2">
        <f t="shared" si="2"/>
        <v>2625.2622653479243</v>
      </c>
      <c r="N7" s="2">
        <f t="shared" si="2"/>
        <v>2806.4053616569308</v>
      </c>
      <c r="O7" s="2">
        <f t="shared" si="2"/>
        <v>3000.0473316112589</v>
      </c>
      <c r="P7" s="2">
        <f t="shared" si="2"/>
        <v>3207.0505974924358</v>
      </c>
      <c r="Q7" s="2">
        <f t="shared" si="2"/>
        <v>3428.3370887194137</v>
      </c>
      <c r="R7" s="2">
        <f t="shared" si="2"/>
        <v>3664.8923478410534</v>
      </c>
      <c r="S7" s="2">
        <f t="shared" si="2"/>
        <v>3917.769919842086</v>
      </c>
      <c r="W7" t="s">
        <v>9</v>
      </c>
      <c r="Y7">
        <v>1792</v>
      </c>
      <c r="Z7" s="2">
        <f>Z5*0.102</f>
        <v>1524.998124</v>
      </c>
      <c r="AA7" s="2">
        <f t="shared" ref="AA7:AN7" si="3">AA5*0.102</f>
        <v>1614.9730133159999</v>
      </c>
      <c r="AB7" s="2">
        <f t="shared" si="3"/>
        <v>1710.2564211016436</v>
      </c>
      <c r="AC7" s="2">
        <f t="shared" si="3"/>
        <v>1811.1615499466404</v>
      </c>
      <c r="AD7" s="2">
        <f t="shared" si="3"/>
        <v>1918.0200813934921</v>
      </c>
      <c r="AE7" s="2">
        <f t="shared" si="3"/>
        <v>2031.183266195708</v>
      </c>
      <c r="AF7" s="2">
        <f t="shared" si="3"/>
        <v>2151.0230789012544</v>
      </c>
      <c r="AG7" s="2">
        <f t="shared" si="3"/>
        <v>2277.9334405564282</v>
      </c>
      <c r="AH7" s="2">
        <f t="shared" si="3"/>
        <v>2412.3315135492576</v>
      </c>
      <c r="AI7" s="2">
        <f t="shared" si="3"/>
        <v>2554.6590728486635</v>
      </c>
      <c r="AJ7" s="2">
        <f t="shared" si="3"/>
        <v>2705.3839581467346</v>
      </c>
      <c r="AK7" s="2">
        <f t="shared" si="3"/>
        <v>2865.0016116773918</v>
      </c>
      <c r="AL7" s="2">
        <f t="shared" si="3"/>
        <v>3034.0367067663578</v>
      </c>
      <c r="AM7" s="2">
        <f t="shared" si="3"/>
        <v>3213.044872465573</v>
      </c>
      <c r="AN7" s="2">
        <f t="shared" si="3"/>
        <v>3402.6145199410412</v>
      </c>
    </row>
    <row r="8" spans="2:40">
      <c r="B8" t="s">
        <v>10</v>
      </c>
      <c r="D8">
        <v>2644</v>
      </c>
      <c r="E8" s="2">
        <f>E5*0.199</f>
        <v>3003.3362580000003</v>
      </c>
      <c r="F8" s="2">
        <f t="shared" ref="F8:S8" si="4">F5*0.199</f>
        <v>3210.5664598019998</v>
      </c>
      <c r="G8" s="2">
        <f t="shared" si="4"/>
        <v>3432.0955455283379</v>
      </c>
      <c r="H8" s="2">
        <f t="shared" si="4"/>
        <v>3668.9101381697928</v>
      </c>
      <c r="I8" s="2">
        <f t="shared" si="4"/>
        <v>3922.0649377035088</v>
      </c>
      <c r="J8" s="2">
        <f t="shared" si="4"/>
        <v>4192.6874184050512</v>
      </c>
      <c r="K8" s="2">
        <f t="shared" si="4"/>
        <v>4481.9828502749988</v>
      </c>
      <c r="L8" s="2">
        <f t="shared" si="4"/>
        <v>4791.239666943974</v>
      </c>
      <c r="M8" s="2">
        <f t="shared" si="4"/>
        <v>5121.8352039631072</v>
      </c>
      <c r="N8" s="2">
        <f t="shared" si="4"/>
        <v>5475.2418330365617</v>
      </c>
      <c r="O8" s="2">
        <f t="shared" si="4"/>
        <v>5853.0335195160842</v>
      </c>
      <c r="P8" s="2">
        <f t="shared" si="4"/>
        <v>6256.8928323626942</v>
      </c>
      <c r="Q8" s="2">
        <f t="shared" si="4"/>
        <v>6688.6184377957197</v>
      </c>
      <c r="R8" s="2">
        <f t="shared" si="4"/>
        <v>7150.133110003625</v>
      </c>
      <c r="S8" s="2">
        <f t="shared" si="4"/>
        <v>7643.4922945938742</v>
      </c>
      <c r="W8" t="s">
        <v>10</v>
      </c>
      <c r="Y8">
        <v>2644</v>
      </c>
      <c r="Z8" s="2">
        <f>Z5*0.199</f>
        <v>2975.241438</v>
      </c>
      <c r="AA8" s="2">
        <f t="shared" ref="AA8:AN8" si="5">AA5*0.199</f>
        <v>3150.7806828420003</v>
      </c>
      <c r="AB8" s="2">
        <f t="shared" si="5"/>
        <v>3336.6767431296776</v>
      </c>
      <c r="AC8" s="2">
        <f t="shared" si="5"/>
        <v>3533.5406709743283</v>
      </c>
      <c r="AD8" s="2">
        <f t="shared" si="5"/>
        <v>3742.0195705618135</v>
      </c>
      <c r="AE8" s="2">
        <f t="shared" si="5"/>
        <v>3962.79872522496</v>
      </c>
      <c r="AF8" s="2">
        <f t="shared" si="5"/>
        <v>4196.6038500132317</v>
      </c>
      <c r="AG8" s="2">
        <f t="shared" si="5"/>
        <v>4444.2034771640128</v>
      </c>
      <c r="AH8" s="2">
        <f t="shared" si="5"/>
        <v>4706.4114823166892</v>
      </c>
      <c r="AI8" s="2">
        <f t="shared" si="5"/>
        <v>4984.0897597733738</v>
      </c>
      <c r="AJ8" s="2">
        <f t="shared" si="5"/>
        <v>5278.1510556000021</v>
      </c>
      <c r="AK8" s="2">
        <f t="shared" si="5"/>
        <v>5589.5619678804023</v>
      </c>
      <c r="AL8" s="2">
        <f t="shared" si="5"/>
        <v>5919.3461239853459</v>
      </c>
      <c r="AM8" s="2">
        <f t="shared" si="5"/>
        <v>6268.587545300481</v>
      </c>
      <c r="AN8" s="2">
        <f t="shared" si="5"/>
        <v>6638.4342104732086</v>
      </c>
    </row>
    <row r="9" spans="2:40">
      <c r="B9" t="s">
        <v>11</v>
      </c>
      <c r="D9">
        <v>2058</v>
      </c>
      <c r="E9" s="2">
        <f>E5*0.143</f>
        <v>2158.1763059999998</v>
      </c>
      <c r="F9" s="2">
        <f t="shared" ref="F9:S9" si="6">F5*0.143</f>
        <v>2307.0904711139997</v>
      </c>
      <c r="G9" s="2">
        <f t="shared" si="6"/>
        <v>2466.2797136208656</v>
      </c>
      <c r="H9" s="2">
        <f t="shared" si="6"/>
        <v>2636.4530138607051</v>
      </c>
      <c r="I9" s="2">
        <f t="shared" si="6"/>
        <v>2818.368271817094</v>
      </c>
      <c r="J9" s="2">
        <f t="shared" si="6"/>
        <v>3012.8356825724732</v>
      </c>
      <c r="K9" s="2">
        <f t="shared" si="6"/>
        <v>3220.7213446699739</v>
      </c>
      <c r="L9" s="2">
        <f t="shared" si="6"/>
        <v>3442.9511174522017</v>
      </c>
      <c r="M9" s="2">
        <f t="shared" si="6"/>
        <v>3680.5147445564035</v>
      </c>
      <c r="N9" s="2">
        <f t="shared" si="6"/>
        <v>3934.470261930795</v>
      </c>
      <c r="O9" s="2">
        <f t="shared" si="6"/>
        <v>4205.9487100040196</v>
      </c>
      <c r="P9" s="2">
        <f t="shared" si="6"/>
        <v>4496.1591709942968</v>
      </c>
      <c r="Q9" s="2">
        <f t="shared" si="6"/>
        <v>4806.394153792904</v>
      </c>
      <c r="R9" s="2">
        <f t="shared" si="6"/>
        <v>5138.0353504046143</v>
      </c>
      <c r="S9" s="2">
        <f t="shared" si="6"/>
        <v>5492.5597895825322</v>
      </c>
      <c r="W9" t="s">
        <v>11</v>
      </c>
      <c r="Y9">
        <v>2058</v>
      </c>
      <c r="Z9" s="2">
        <f>Z5*0.143</f>
        <v>2137.9875659999998</v>
      </c>
      <c r="AA9" s="2">
        <f t="shared" ref="AA9:AN9" si="7">AA5*0.143</f>
        <v>2264.1288323939998</v>
      </c>
      <c r="AB9" s="2">
        <f t="shared" si="7"/>
        <v>2397.7124335052454</v>
      </c>
      <c r="AC9" s="2">
        <f t="shared" si="7"/>
        <v>2539.177467082055</v>
      </c>
      <c r="AD9" s="2">
        <f t="shared" si="7"/>
        <v>2688.9889376398955</v>
      </c>
      <c r="AE9" s="2">
        <f t="shared" si="7"/>
        <v>2847.6392849606491</v>
      </c>
      <c r="AF9" s="2">
        <f t="shared" si="7"/>
        <v>3015.6500027733273</v>
      </c>
      <c r="AG9" s="2">
        <f t="shared" si="7"/>
        <v>3193.5733529369536</v>
      </c>
      <c r="AH9" s="2">
        <f t="shared" si="7"/>
        <v>3381.9941807602336</v>
      </c>
      <c r="AI9" s="2">
        <f t="shared" si="7"/>
        <v>3581.5318374250869</v>
      </c>
      <c r="AJ9" s="2">
        <f t="shared" si="7"/>
        <v>3792.8422158331668</v>
      </c>
      <c r="AK9" s="2">
        <f t="shared" si="7"/>
        <v>4016.6199065673236</v>
      </c>
      <c r="AL9" s="2">
        <f t="shared" si="7"/>
        <v>4253.6004810547956</v>
      </c>
      <c r="AM9" s="2">
        <f t="shared" si="7"/>
        <v>4504.5629094370288</v>
      </c>
      <c r="AN9" s="2">
        <f t="shared" si="7"/>
        <v>4770.332121093812</v>
      </c>
    </row>
    <row r="10" spans="2:40">
      <c r="B10" t="s">
        <v>12</v>
      </c>
      <c r="D10">
        <v>1403</v>
      </c>
      <c r="E10" s="2">
        <f>E5*0.078</f>
        <v>1177.1870759999999</v>
      </c>
      <c r="F10" s="2">
        <f t="shared" ref="F10:S10" si="8">F5*0.078</f>
        <v>1258.412984244</v>
      </c>
      <c r="G10" s="2">
        <f t="shared" si="8"/>
        <v>1345.2434801568359</v>
      </c>
      <c r="H10" s="2">
        <f t="shared" si="8"/>
        <v>1438.0652802876575</v>
      </c>
      <c r="I10" s="2">
        <f t="shared" si="8"/>
        <v>1537.2917846275059</v>
      </c>
      <c r="J10" s="2">
        <f t="shared" si="8"/>
        <v>1643.3649177668037</v>
      </c>
      <c r="K10" s="2">
        <f t="shared" si="8"/>
        <v>1756.7570970927131</v>
      </c>
      <c r="L10" s="2">
        <f t="shared" si="8"/>
        <v>1877.9733367921101</v>
      </c>
      <c r="M10" s="2">
        <f t="shared" si="8"/>
        <v>2007.5534970307658</v>
      </c>
      <c r="N10" s="2">
        <f t="shared" si="8"/>
        <v>2146.0746883258885</v>
      </c>
      <c r="O10" s="2">
        <f t="shared" si="8"/>
        <v>2294.1538418203745</v>
      </c>
      <c r="P10" s="2">
        <f t="shared" si="8"/>
        <v>2452.4504569059804</v>
      </c>
      <c r="Q10" s="2">
        <f t="shared" si="8"/>
        <v>2621.669538432493</v>
      </c>
      <c r="R10" s="2">
        <f t="shared" si="8"/>
        <v>2802.5647365843352</v>
      </c>
      <c r="S10" s="2">
        <f t="shared" si="8"/>
        <v>2995.9417034086541</v>
      </c>
      <c r="W10" t="s">
        <v>12</v>
      </c>
      <c r="Y10">
        <v>1403</v>
      </c>
      <c r="Z10" s="2">
        <f>Z5*0.078</f>
        <v>1166.1750359999999</v>
      </c>
      <c r="AA10" s="2">
        <f t="shared" ref="AA10:AN10" si="9">AA5*0.078</f>
        <v>1234.979363124</v>
      </c>
      <c r="AB10" s="2">
        <f t="shared" si="9"/>
        <v>1307.8431455483158</v>
      </c>
      <c r="AC10" s="2">
        <f t="shared" si="9"/>
        <v>1385.0058911356664</v>
      </c>
      <c r="AD10" s="2">
        <f t="shared" si="9"/>
        <v>1466.7212387126706</v>
      </c>
      <c r="AE10" s="2">
        <f t="shared" si="9"/>
        <v>1553.257791796718</v>
      </c>
      <c r="AF10" s="2">
        <f t="shared" si="9"/>
        <v>1644.900001512724</v>
      </c>
      <c r="AG10" s="2">
        <f t="shared" si="9"/>
        <v>1741.9491016019747</v>
      </c>
      <c r="AH10" s="2">
        <f t="shared" si="9"/>
        <v>1844.7240985964911</v>
      </c>
      <c r="AI10" s="2">
        <f t="shared" si="9"/>
        <v>1953.562820413684</v>
      </c>
      <c r="AJ10" s="2">
        <f t="shared" si="9"/>
        <v>2068.8230268180914</v>
      </c>
      <c r="AK10" s="2">
        <f t="shared" si="9"/>
        <v>2190.8835854003587</v>
      </c>
      <c r="AL10" s="2">
        <f t="shared" si="9"/>
        <v>2320.1457169389796</v>
      </c>
      <c r="AM10" s="2">
        <f t="shared" si="9"/>
        <v>2457.0343142383795</v>
      </c>
      <c r="AN10" s="2">
        <f t="shared" si="9"/>
        <v>2601.9993387784434</v>
      </c>
    </row>
    <row r="11" spans="2:40">
      <c r="B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W11" t="s">
        <v>13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2:40">
      <c r="B12" t="s">
        <v>14</v>
      </c>
      <c r="D12">
        <f>SUM(D7:D11)</f>
        <v>7897</v>
      </c>
      <c r="E12" s="2">
        <f>E5*0.523</f>
        <v>7893.1902660000005</v>
      </c>
      <c r="F12" s="2">
        <f t="shared" ref="F12:S12" si="10">F5*0.523</f>
        <v>8437.8203943539993</v>
      </c>
      <c r="G12" s="2">
        <f t="shared" si="10"/>
        <v>9020.0300015644261</v>
      </c>
      <c r="H12" s="2">
        <f t="shared" si="10"/>
        <v>9642.4120716723701</v>
      </c>
      <c r="I12" s="2">
        <f t="shared" si="10"/>
        <v>10307.738504617764</v>
      </c>
      <c r="J12" s="2">
        <f t="shared" si="10"/>
        <v>11018.972461436389</v>
      </c>
      <c r="K12" s="2">
        <f t="shared" si="10"/>
        <v>11779.2815612755</v>
      </c>
      <c r="L12" s="2">
        <f t="shared" si="10"/>
        <v>12592.051989003508</v>
      </c>
      <c r="M12" s="2">
        <f t="shared" si="10"/>
        <v>13460.903576244749</v>
      </c>
      <c r="N12" s="2">
        <f t="shared" si="10"/>
        <v>14389.705923005637</v>
      </c>
      <c r="O12" s="2">
        <f t="shared" si="10"/>
        <v>15382.595631693024</v>
      </c>
      <c r="P12" s="2">
        <f t="shared" si="10"/>
        <v>16443.994730279843</v>
      </c>
      <c r="Q12" s="2">
        <f t="shared" si="10"/>
        <v>17578.630366669153</v>
      </c>
      <c r="R12" s="2">
        <f t="shared" si="10"/>
        <v>18791.555861969326</v>
      </c>
      <c r="S12" s="2">
        <f t="shared" si="10"/>
        <v>20088.173216445208</v>
      </c>
      <c r="W12" t="s">
        <v>14</v>
      </c>
      <c r="Y12">
        <f>SUM(Y7:Y11)</f>
        <v>7897</v>
      </c>
      <c r="Z12" s="2">
        <f>Z5*0.523</f>
        <v>7819.353126</v>
      </c>
      <c r="AA12" s="2">
        <f t="shared" ref="AA12:AN12" si="11">AA5*0.523</f>
        <v>8280.6949604340007</v>
      </c>
      <c r="AB12" s="2">
        <f t="shared" si="11"/>
        <v>8769.2559630996057</v>
      </c>
      <c r="AC12" s="2">
        <f t="shared" si="11"/>
        <v>9286.6420649224819</v>
      </c>
      <c r="AD12" s="2">
        <f t="shared" si="11"/>
        <v>9834.553946752907</v>
      </c>
      <c r="AE12" s="2">
        <f t="shared" si="11"/>
        <v>10414.792629611327</v>
      </c>
      <c r="AF12" s="2">
        <f t="shared" si="11"/>
        <v>11029.265394758393</v>
      </c>
      <c r="AG12" s="2">
        <f t="shared" si="11"/>
        <v>11679.992053049138</v>
      </c>
      <c r="AH12" s="2">
        <f t="shared" si="11"/>
        <v>12369.111584179038</v>
      </c>
      <c r="AI12" s="2">
        <f t="shared" si="11"/>
        <v>13098.889167645599</v>
      </c>
      <c r="AJ12" s="2">
        <f t="shared" si="11"/>
        <v>13871.723628536689</v>
      </c>
      <c r="AK12" s="2">
        <f t="shared" si="11"/>
        <v>14690.155322620354</v>
      </c>
      <c r="AL12" s="2">
        <f t="shared" si="11"/>
        <v>15556.874486654953</v>
      </c>
      <c r="AM12" s="2">
        <f t="shared" si="11"/>
        <v>16474.730081367597</v>
      </c>
      <c r="AN12" s="2">
        <f t="shared" si="11"/>
        <v>17446.739156168282</v>
      </c>
    </row>
    <row r="15" spans="2:40"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25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s="16" t="s">
        <v>44</v>
      </c>
      <c r="O15" s="16" t="s">
        <v>45</v>
      </c>
      <c r="P15" s="16" t="s">
        <v>46</v>
      </c>
      <c r="Q15" s="16" t="s">
        <v>47</v>
      </c>
      <c r="R15" s="16" t="s">
        <v>48</v>
      </c>
      <c r="S15" s="16" t="s">
        <v>49</v>
      </c>
      <c r="W15" s="3" t="s">
        <v>20</v>
      </c>
      <c r="X15" s="3" t="s">
        <v>21</v>
      </c>
      <c r="Y15" s="3" t="s">
        <v>22</v>
      </c>
      <c r="Z15" s="3" t="s">
        <v>23</v>
      </c>
      <c r="AA15" s="3" t="s">
        <v>24</v>
      </c>
      <c r="AB15" s="3" t="s">
        <v>25</v>
      </c>
      <c r="AC15" s="3" t="s">
        <v>26</v>
      </c>
      <c r="AD15" s="3" t="s">
        <v>27</v>
      </c>
      <c r="AE15" s="3" t="s">
        <v>28</v>
      </c>
      <c r="AF15" s="3" t="s">
        <v>29</v>
      </c>
      <c r="AG15" s="3" t="s">
        <v>30</v>
      </c>
      <c r="AH15" s="3" t="s">
        <v>31</v>
      </c>
      <c r="AI15" s="16" t="s">
        <v>44</v>
      </c>
      <c r="AJ15" s="16" t="s">
        <v>45</v>
      </c>
      <c r="AK15" s="16" t="s">
        <v>46</v>
      </c>
      <c r="AL15" s="16" t="s">
        <v>47</v>
      </c>
      <c r="AM15" s="16" t="s">
        <v>48</v>
      </c>
      <c r="AN15" s="16" t="s">
        <v>49</v>
      </c>
    </row>
    <row r="16" spans="2:40">
      <c r="B16" s="3" t="s">
        <v>0</v>
      </c>
      <c r="C16" s="4"/>
      <c r="D16" s="4">
        <f>D5-D12</f>
        <v>6221</v>
      </c>
      <c r="E16" s="4">
        <f>E5*0.477</f>
        <v>7198.9517339999993</v>
      </c>
      <c r="F16" s="4">
        <f t="shared" ref="F16:S16" si="12">F5*0.477</f>
        <v>7695.6794036459987</v>
      </c>
      <c r="G16" s="4">
        <f t="shared" si="12"/>
        <v>8226.6812824975732</v>
      </c>
      <c r="H16" s="4">
        <f t="shared" si="12"/>
        <v>8794.322290989905</v>
      </c>
      <c r="I16" s="4">
        <f t="shared" si="12"/>
        <v>9401.1305290682085</v>
      </c>
      <c r="J16" s="4">
        <f t="shared" si="12"/>
        <v>10049.808535573915</v>
      </c>
      <c r="K16" s="4">
        <f t="shared" si="12"/>
        <v>10743.245324528514</v>
      </c>
      <c r="L16" s="4">
        <f t="shared" si="12"/>
        <v>11484.529251920982</v>
      </c>
      <c r="M16" s="4">
        <f t="shared" si="12"/>
        <v>12276.961770303529</v>
      </c>
      <c r="N16" s="4">
        <f t="shared" si="12"/>
        <v>13124.072132454472</v>
      </c>
      <c r="O16" s="4">
        <f t="shared" si="12"/>
        <v>14029.633109593829</v>
      </c>
      <c r="P16" s="4">
        <f t="shared" si="12"/>
        <v>14997.677794155803</v>
      </c>
      <c r="Q16" s="4">
        <f t="shared" si="12"/>
        <v>16032.517561952554</v>
      </c>
      <c r="R16" s="4">
        <f t="shared" si="12"/>
        <v>17138.761273727279</v>
      </c>
      <c r="S16" s="4">
        <f t="shared" si="12"/>
        <v>18321.335801614459</v>
      </c>
      <c r="W16" s="3" t="s">
        <v>0</v>
      </c>
      <c r="X16" s="4"/>
      <c r="Y16" s="4">
        <f>Y5-Y12</f>
        <v>6221</v>
      </c>
      <c r="Z16" s="4">
        <f>Z5*0.477</f>
        <v>7131.6088739999996</v>
      </c>
      <c r="AA16" s="4">
        <f t="shared" ref="AA16:AN16" si="13">AA5*0.477</f>
        <v>7552.3737975659997</v>
      </c>
      <c r="AB16" s="4">
        <f t="shared" si="13"/>
        <v>7997.9638516223922</v>
      </c>
      <c r="AC16" s="4">
        <f t="shared" si="13"/>
        <v>8469.8437188681128</v>
      </c>
      <c r="AD16" s="4">
        <f t="shared" si="13"/>
        <v>8969.5644982813301</v>
      </c>
      <c r="AE16" s="4">
        <f t="shared" si="13"/>
        <v>9498.7688036799282</v>
      </c>
      <c r="AF16" s="4">
        <f t="shared" si="13"/>
        <v>10059.196163097044</v>
      </c>
      <c r="AG16" s="4">
        <f t="shared" si="13"/>
        <v>10652.688736719769</v>
      </c>
      <c r="AH16" s="4">
        <f t="shared" si="13"/>
        <v>11281.197372186234</v>
      </c>
      <c r="AI16" s="4">
        <f t="shared" si="13"/>
        <v>11946.788017145222</v>
      </c>
      <c r="AJ16" s="4">
        <f t="shared" si="13"/>
        <v>12651.648510156789</v>
      </c>
      <c r="AK16" s="4">
        <f t="shared" si="13"/>
        <v>13398.095772256038</v>
      </c>
      <c r="AL16" s="4">
        <f t="shared" si="13"/>
        <v>14188.583422819145</v>
      </c>
      <c r="AM16" s="4">
        <f t="shared" si="13"/>
        <v>15025.709844765473</v>
      </c>
      <c r="AN16" s="4">
        <f t="shared" si="13"/>
        <v>15912.226725606633</v>
      </c>
    </row>
    <row r="17" spans="2:40">
      <c r="B17" s="3" t="s">
        <v>1</v>
      </c>
      <c r="C17" s="4"/>
      <c r="D17" s="4">
        <f>D16*0.35</f>
        <v>2177.35</v>
      </c>
      <c r="E17" s="4">
        <f>E16*0.307</f>
        <v>2210.0781823379998</v>
      </c>
      <c r="F17" s="4">
        <f t="shared" ref="F17:S17" si="14">F16*0.307</f>
        <v>2362.5735769193216</v>
      </c>
      <c r="G17" s="4">
        <f t="shared" si="14"/>
        <v>2525.5911537267548</v>
      </c>
      <c r="H17" s="4">
        <f t="shared" si="14"/>
        <v>2699.8569433339007</v>
      </c>
      <c r="I17" s="4">
        <f t="shared" si="14"/>
        <v>2886.1470724239398</v>
      </c>
      <c r="J17" s="4">
        <f t="shared" si="14"/>
        <v>3085.2912204211916</v>
      </c>
      <c r="K17" s="4">
        <f t="shared" si="14"/>
        <v>3298.1763146302537</v>
      </c>
      <c r="L17" s="4">
        <f t="shared" si="14"/>
        <v>3525.7504803397414</v>
      </c>
      <c r="M17" s="4">
        <f t="shared" si="14"/>
        <v>3769.0272634831836</v>
      </c>
      <c r="N17" s="4">
        <f t="shared" si="14"/>
        <v>4029.090144663523</v>
      </c>
      <c r="O17" s="4">
        <f t="shared" si="14"/>
        <v>4307.0973646453058</v>
      </c>
      <c r="P17" s="4">
        <f t="shared" si="14"/>
        <v>4604.2870828058312</v>
      </c>
      <c r="Q17" s="4">
        <f t="shared" si="14"/>
        <v>4921.9828915194339</v>
      </c>
      <c r="R17" s="4">
        <f t="shared" si="14"/>
        <v>5261.5997110342751</v>
      </c>
      <c r="S17" s="4">
        <f t="shared" si="14"/>
        <v>5624.6500910956393</v>
      </c>
      <c r="W17" s="3" t="s">
        <v>1</v>
      </c>
      <c r="X17" s="4"/>
      <c r="Y17" s="4">
        <f>Y16*0.35</f>
        <v>2177.35</v>
      </c>
      <c r="Z17" s="4">
        <f>Z16*0.307</f>
        <v>2189.403924318</v>
      </c>
      <c r="AA17" s="4">
        <f t="shared" ref="AA17" si="15">AA16*0.307</f>
        <v>2318.5787558527618</v>
      </c>
      <c r="AB17" s="4">
        <f t="shared" ref="AB17" si="16">AB16*0.307</f>
        <v>2455.3749024480744</v>
      </c>
      <c r="AC17" s="4">
        <f t="shared" ref="AC17" si="17">AC16*0.307</f>
        <v>2600.2420216925107</v>
      </c>
      <c r="AD17" s="4">
        <f t="shared" ref="AD17" si="18">AD16*0.307</f>
        <v>2753.6563009723682</v>
      </c>
      <c r="AE17" s="4">
        <f t="shared" ref="AE17" si="19">AE16*0.307</f>
        <v>2916.1220227297381</v>
      </c>
      <c r="AF17" s="4">
        <f t="shared" ref="AF17" si="20">AF16*0.307</f>
        <v>3088.1732220707922</v>
      </c>
      <c r="AG17" s="4">
        <f t="shared" ref="AG17" si="21">AG16*0.307</f>
        <v>3270.3754421729691</v>
      </c>
      <c r="AH17" s="4">
        <f t="shared" ref="AH17" si="22">AH16*0.307</f>
        <v>3463.3275932611737</v>
      </c>
      <c r="AI17" s="4">
        <f t="shared" ref="AI17" si="23">AI16*0.307</f>
        <v>3667.6639212635828</v>
      </c>
      <c r="AJ17" s="4">
        <f t="shared" ref="AJ17" si="24">AJ16*0.307</f>
        <v>3884.0560926181342</v>
      </c>
      <c r="AK17" s="4">
        <f t="shared" ref="AK17" si="25">AK16*0.307</f>
        <v>4113.2154020826038</v>
      </c>
      <c r="AL17" s="4">
        <f t="shared" ref="AL17" si="26">AL16*0.307</f>
        <v>4355.8951108054771</v>
      </c>
      <c r="AM17" s="4">
        <f t="shared" ref="AM17" si="27">AM16*0.307</f>
        <v>4612.8929223430005</v>
      </c>
      <c r="AN17" s="4">
        <f t="shared" ref="AN17" si="28">AN16*0.307</f>
        <v>4885.0536047612368</v>
      </c>
    </row>
    <row r="18" spans="2:40">
      <c r="B18" s="3" t="s">
        <v>15</v>
      </c>
      <c r="C18" s="4"/>
      <c r="D18" s="4">
        <f>D16-D17</f>
        <v>4043.65</v>
      </c>
      <c r="E18" s="4">
        <f>E16-E17</f>
        <v>4988.873551662</v>
      </c>
      <c r="F18" s="4">
        <f t="shared" ref="F18:S18" si="29">F16-F17</f>
        <v>5333.1058267266772</v>
      </c>
      <c r="G18" s="4">
        <f t="shared" si="29"/>
        <v>5701.0901287708184</v>
      </c>
      <c r="H18" s="4">
        <f t="shared" si="29"/>
        <v>6094.4653476560043</v>
      </c>
      <c r="I18" s="4">
        <f t="shared" si="29"/>
        <v>6514.9834566442687</v>
      </c>
      <c r="J18" s="4">
        <f t="shared" si="29"/>
        <v>6964.5173151527233</v>
      </c>
      <c r="K18" s="4">
        <f t="shared" si="29"/>
        <v>7445.0690098982604</v>
      </c>
      <c r="L18" s="4">
        <f t="shared" si="29"/>
        <v>7958.7787715812401</v>
      </c>
      <c r="M18" s="4">
        <f t="shared" si="29"/>
        <v>8507.9345068203456</v>
      </c>
      <c r="N18" s="4">
        <f t="shared" si="29"/>
        <v>9094.9819877909486</v>
      </c>
      <c r="O18" s="4">
        <f t="shared" si="29"/>
        <v>9722.5357449485236</v>
      </c>
      <c r="P18" s="4">
        <f t="shared" si="29"/>
        <v>10393.390711349972</v>
      </c>
      <c r="Q18" s="4">
        <f t="shared" si="29"/>
        <v>11110.53467043312</v>
      </c>
      <c r="R18" s="4">
        <f t="shared" si="29"/>
        <v>11877.161562693003</v>
      </c>
      <c r="S18" s="4">
        <f t="shared" si="29"/>
        <v>12696.685710518821</v>
      </c>
      <c r="W18" s="3" t="s">
        <v>15</v>
      </c>
      <c r="X18" s="4"/>
      <c r="Y18" s="4">
        <f>Y16-Y17</f>
        <v>4043.65</v>
      </c>
      <c r="Z18" s="4">
        <f>Z16-Z17</f>
        <v>4942.204949682</v>
      </c>
      <c r="AA18" s="4">
        <f t="shared" ref="AA18" si="30">AA16-AA17</f>
        <v>5233.7950417132379</v>
      </c>
      <c r="AB18" s="4">
        <f t="shared" ref="AB18" si="31">AB16-AB17</f>
        <v>5542.5889491743183</v>
      </c>
      <c r="AC18" s="4">
        <f t="shared" ref="AC18" si="32">AC16-AC17</f>
        <v>5869.6016971756017</v>
      </c>
      <c r="AD18" s="4">
        <f t="shared" ref="AD18" si="33">AD16-AD17</f>
        <v>6215.9081973089615</v>
      </c>
      <c r="AE18" s="4">
        <f t="shared" ref="AE18" si="34">AE16-AE17</f>
        <v>6582.6467809501901</v>
      </c>
      <c r="AF18" s="4">
        <f t="shared" ref="AF18" si="35">AF16-AF17</f>
        <v>6971.0229410262509</v>
      </c>
      <c r="AG18" s="4">
        <f t="shared" ref="AG18" si="36">AG16-AG17</f>
        <v>7382.3132945467996</v>
      </c>
      <c r="AH18" s="4">
        <f t="shared" ref="AH18" si="37">AH16-AH17</f>
        <v>7817.86977892506</v>
      </c>
      <c r="AI18" s="4">
        <f t="shared" ref="AI18" si="38">AI16-AI17</f>
        <v>8279.1240958816379</v>
      </c>
      <c r="AJ18" s="4">
        <f t="shared" ref="AJ18" si="39">AJ16-AJ17</f>
        <v>8767.5924175386535</v>
      </c>
      <c r="AK18" s="4">
        <f t="shared" ref="AK18" si="40">AK16-AK17</f>
        <v>9284.8803701734341</v>
      </c>
      <c r="AL18" s="4">
        <f t="shared" ref="AL18" si="41">AL16-AL17</f>
        <v>9832.6883120136681</v>
      </c>
      <c r="AM18" s="4">
        <f t="shared" ref="AM18" si="42">AM16-AM17</f>
        <v>10412.816922422473</v>
      </c>
      <c r="AN18" s="4">
        <f t="shared" ref="AN18" si="43">AN16-AN17</f>
        <v>11027.173120845397</v>
      </c>
    </row>
    <row r="19" spans="2:40">
      <c r="B19" s="3" t="s">
        <v>16</v>
      </c>
      <c r="C19" s="4"/>
      <c r="D19" s="4">
        <v>577</v>
      </c>
      <c r="E19" s="4">
        <f>E5*0.029</f>
        <v>437.67211800000001</v>
      </c>
      <c r="F19" s="4">
        <f t="shared" ref="F19:S19" si="44">F5*0.029</f>
        <v>467.87149414200002</v>
      </c>
      <c r="G19" s="4">
        <f t="shared" si="44"/>
        <v>500.15462723779802</v>
      </c>
      <c r="H19" s="4">
        <f t="shared" si="44"/>
        <v>534.665296517206</v>
      </c>
      <c r="I19" s="4">
        <f t="shared" si="44"/>
        <v>571.55720197689323</v>
      </c>
      <c r="J19" s="4">
        <f t="shared" si="44"/>
        <v>610.99464891329887</v>
      </c>
      <c r="K19" s="4">
        <f t="shared" si="44"/>
        <v>653.1532796883165</v>
      </c>
      <c r="L19" s="4">
        <f t="shared" si="44"/>
        <v>698.22085598681019</v>
      </c>
      <c r="M19" s="4">
        <f t="shared" si="44"/>
        <v>746.39809504990012</v>
      </c>
      <c r="N19" s="4">
        <f t="shared" si="44"/>
        <v>797.89956360834321</v>
      </c>
      <c r="O19" s="4">
        <f t="shared" si="44"/>
        <v>852.95463349731881</v>
      </c>
      <c r="P19" s="4">
        <f t="shared" si="44"/>
        <v>911.80850320863374</v>
      </c>
      <c r="Q19" s="4">
        <f t="shared" si="44"/>
        <v>974.72328993002952</v>
      </c>
      <c r="R19" s="4">
        <f t="shared" si="44"/>
        <v>1041.9791969352016</v>
      </c>
      <c r="S19" s="4">
        <f t="shared" si="44"/>
        <v>1113.8757615237305</v>
      </c>
      <c r="W19" s="3" t="s">
        <v>16</v>
      </c>
      <c r="X19" s="4"/>
      <c r="Y19" s="4">
        <v>577</v>
      </c>
      <c r="Z19" s="4">
        <f>Z5*0.029</f>
        <v>433.577898</v>
      </c>
      <c r="AA19" s="4">
        <f t="shared" ref="AA19:AN19" si="45">AA5*0.029</f>
        <v>459.15899398200003</v>
      </c>
      <c r="AB19" s="4">
        <f t="shared" si="45"/>
        <v>486.24937462693794</v>
      </c>
      <c r="AC19" s="4">
        <f t="shared" si="45"/>
        <v>514.93808772992725</v>
      </c>
      <c r="AD19" s="4">
        <f t="shared" si="45"/>
        <v>545.31943490599292</v>
      </c>
      <c r="AE19" s="4">
        <f t="shared" si="45"/>
        <v>577.49328156544641</v>
      </c>
      <c r="AF19" s="4">
        <f t="shared" si="45"/>
        <v>611.56538517780768</v>
      </c>
      <c r="AG19" s="4">
        <f t="shared" si="45"/>
        <v>647.64774290329831</v>
      </c>
      <c r="AH19" s="4">
        <f t="shared" si="45"/>
        <v>685.85895973459287</v>
      </c>
      <c r="AI19" s="4">
        <f t="shared" si="45"/>
        <v>726.32463835893384</v>
      </c>
      <c r="AJ19" s="4">
        <f t="shared" si="45"/>
        <v>769.17779202211091</v>
      </c>
      <c r="AK19" s="4">
        <f t="shared" si="45"/>
        <v>814.55928175141537</v>
      </c>
      <c r="AL19" s="4">
        <f t="shared" si="45"/>
        <v>862.61827937474891</v>
      </c>
      <c r="AM19" s="4">
        <f t="shared" si="45"/>
        <v>913.51275785785901</v>
      </c>
      <c r="AN19" s="4">
        <f t="shared" si="45"/>
        <v>967.41001057147264</v>
      </c>
    </row>
    <row r="20" spans="2:40">
      <c r="B20" s="3" t="s">
        <v>17</v>
      </c>
      <c r="C20" s="4"/>
      <c r="D20" s="4">
        <v>-457</v>
      </c>
      <c r="E20" s="4">
        <f>E5*-0.007</f>
        <v>-105.644994</v>
      </c>
      <c r="F20" s="4">
        <f t="shared" ref="F20:S20" si="46">F5*-0.007</f>
        <v>-112.93449858599999</v>
      </c>
      <c r="G20" s="4">
        <f t="shared" si="46"/>
        <v>-120.726978988434</v>
      </c>
      <c r="H20" s="4">
        <f t="shared" si="46"/>
        <v>-129.05714053863593</v>
      </c>
      <c r="I20" s="4">
        <f t="shared" si="46"/>
        <v>-137.9620832358018</v>
      </c>
      <c r="J20" s="4">
        <f t="shared" si="46"/>
        <v>-147.48146697907214</v>
      </c>
      <c r="K20" s="4">
        <f t="shared" si="46"/>
        <v>-157.65768820062812</v>
      </c>
      <c r="L20" s="4">
        <f t="shared" si="46"/>
        <v>-168.53606868647142</v>
      </c>
      <c r="M20" s="4">
        <f t="shared" si="46"/>
        <v>-180.16505742583794</v>
      </c>
      <c r="N20" s="4">
        <f t="shared" si="46"/>
        <v>-192.59644638822076</v>
      </c>
      <c r="O20" s="4">
        <f t="shared" si="46"/>
        <v>-205.88560118900799</v>
      </c>
      <c r="P20" s="4">
        <f t="shared" si="46"/>
        <v>-220.09170767104953</v>
      </c>
      <c r="Q20" s="4">
        <f t="shared" si="46"/>
        <v>-235.27803550035196</v>
      </c>
      <c r="R20" s="4">
        <f t="shared" si="46"/>
        <v>-251.51221994987625</v>
      </c>
      <c r="S20" s="4">
        <f t="shared" si="46"/>
        <v>-268.8665631264177</v>
      </c>
      <c r="W20" s="3" t="s">
        <v>17</v>
      </c>
      <c r="X20" s="4"/>
      <c r="Y20" s="4">
        <v>-457</v>
      </c>
      <c r="Z20" s="4">
        <f>Z5*-0.007</f>
        <v>-104.656734</v>
      </c>
      <c r="AA20" s="4">
        <f t="shared" ref="AA20:AN20" si="47">AA5*-0.007</f>
        <v>-110.831481306</v>
      </c>
      <c r="AB20" s="4">
        <f t="shared" si="47"/>
        <v>-117.37053870305398</v>
      </c>
      <c r="AC20" s="4">
        <f t="shared" si="47"/>
        <v>-124.29540048653416</v>
      </c>
      <c r="AD20" s="4">
        <f t="shared" si="47"/>
        <v>-131.62882911523965</v>
      </c>
      <c r="AE20" s="4">
        <f t="shared" si="47"/>
        <v>-139.3949300330388</v>
      </c>
      <c r="AF20" s="4">
        <f t="shared" si="47"/>
        <v>-147.61923090498806</v>
      </c>
      <c r="AG20" s="4">
        <f t="shared" si="47"/>
        <v>-156.32876552838235</v>
      </c>
      <c r="AH20" s="4">
        <f t="shared" si="47"/>
        <v>-165.5521626945569</v>
      </c>
      <c r="AI20" s="4">
        <f t="shared" si="47"/>
        <v>-175.31974029353574</v>
      </c>
      <c r="AJ20" s="4">
        <f t="shared" si="47"/>
        <v>-185.66360497085435</v>
      </c>
      <c r="AK20" s="4">
        <f t="shared" si="47"/>
        <v>-196.61775766413476</v>
      </c>
      <c r="AL20" s="4">
        <f t="shared" si="47"/>
        <v>-208.2182053663187</v>
      </c>
      <c r="AM20" s="4">
        <f t="shared" si="47"/>
        <v>-220.5030794829315</v>
      </c>
      <c r="AN20" s="4">
        <f t="shared" si="47"/>
        <v>-233.5127611724244</v>
      </c>
    </row>
    <row r="21" spans="2:40">
      <c r="B21" s="3" t="s">
        <v>4</v>
      </c>
      <c r="C21" s="4"/>
      <c r="D21" s="4">
        <v>-672</v>
      </c>
      <c r="E21" s="4">
        <f>E5*-0.031</f>
        <v>-467.856402</v>
      </c>
      <c r="F21" s="4">
        <f t="shared" ref="F21:S21" si="48">F5*-0.031</f>
        <v>-500.13849373799997</v>
      </c>
      <c r="G21" s="4">
        <f t="shared" si="48"/>
        <v>-534.64804980592203</v>
      </c>
      <c r="H21" s="4">
        <f t="shared" si="48"/>
        <v>-571.53876524253053</v>
      </c>
      <c r="I21" s="4">
        <f t="shared" si="48"/>
        <v>-610.97494004426517</v>
      </c>
      <c r="J21" s="4">
        <f t="shared" si="48"/>
        <v>-653.1322109073194</v>
      </c>
      <c r="K21" s="4">
        <f t="shared" si="48"/>
        <v>-698.19833345992447</v>
      </c>
      <c r="L21" s="4">
        <f t="shared" si="48"/>
        <v>-746.37401846865919</v>
      </c>
      <c r="M21" s="4">
        <f t="shared" si="48"/>
        <v>-797.87382574299659</v>
      </c>
      <c r="N21" s="4">
        <f t="shared" si="48"/>
        <v>-852.92711971926337</v>
      </c>
      <c r="O21" s="4">
        <f t="shared" si="48"/>
        <v>-911.77909097989243</v>
      </c>
      <c r="P21" s="4">
        <f t="shared" si="48"/>
        <v>-974.69184825750506</v>
      </c>
      <c r="Q21" s="4">
        <f t="shared" si="48"/>
        <v>-1041.9455857872729</v>
      </c>
      <c r="R21" s="4">
        <f t="shared" si="48"/>
        <v>-1113.8398312065947</v>
      </c>
      <c r="S21" s="4">
        <f t="shared" si="48"/>
        <v>-1190.6947795598496</v>
      </c>
      <c r="W21" s="3" t="s">
        <v>4</v>
      </c>
      <c r="X21" s="4"/>
      <c r="Y21" s="4">
        <v>-672</v>
      </c>
      <c r="Z21" s="4">
        <f>Z5*-0.031</f>
        <v>-463.47982199999996</v>
      </c>
      <c r="AA21" s="4">
        <f t="shared" ref="AA21:AN21" si="49">AA5*-0.031</f>
        <v>-490.82513149799996</v>
      </c>
      <c r="AB21" s="4">
        <f t="shared" si="49"/>
        <v>-519.7838142563819</v>
      </c>
      <c r="AC21" s="4">
        <f t="shared" si="49"/>
        <v>-550.45105929750844</v>
      </c>
      <c r="AD21" s="4">
        <f t="shared" si="49"/>
        <v>-582.9276717960613</v>
      </c>
      <c r="AE21" s="4">
        <f t="shared" si="49"/>
        <v>-617.32040443202891</v>
      </c>
      <c r="AF21" s="4">
        <f t="shared" si="49"/>
        <v>-653.74230829351848</v>
      </c>
      <c r="AG21" s="4">
        <f t="shared" si="49"/>
        <v>-692.31310448283614</v>
      </c>
      <c r="AH21" s="4">
        <f t="shared" si="49"/>
        <v>-733.15957764732343</v>
      </c>
      <c r="AI21" s="4">
        <f t="shared" si="49"/>
        <v>-776.41599272851545</v>
      </c>
      <c r="AJ21" s="4">
        <f t="shared" si="49"/>
        <v>-822.2245362994978</v>
      </c>
      <c r="AK21" s="4">
        <f t="shared" si="49"/>
        <v>-870.73578394116817</v>
      </c>
      <c r="AL21" s="4">
        <f t="shared" si="49"/>
        <v>-922.10919519369702</v>
      </c>
      <c r="AM21" s="4">
        <f t="shared" si="49"/>
        <v>-976.51363771012518</v>
      </c>
      <c r="AN21" s="4">
        <f t="shared" si="49"/>
        <v>-1034.1279423350225</v>
      </c>
    </row>
    <row r="22" spans="2:40">
      <c r="B22" s="3" t="s">
        <v>6</v>
      </c>
      <c r="C22" s="4"/>
      <c r="D22" s="4">
        <v>0</v>
      </c>
      <c r="E22" s="4">
        <f>E5*0</f>
        <v>0</v>
      </c>
      <c r="F22" s="4">
        <f t="shared" ref="F22:S22" si="50">F5*0</f>
        <v>0</v>
      </c>
      <c r="G22" s="4">
        <f t="shared" si="50"/>
        <v>0</v>
      </c>
      <c r="H22" s="4">
        <f t="shared" si="50"/>
        <v>0</v>
      </c>
      <c r="I22" s="4">
        <f t="shared" si="50"/>
        <v>0</v>
      </c>
      <c r="J22" s="4">
        <f t="shared" si="50"/>
        <v>0</v>
      </c>
      <c r="K22" s="4">
        <f t="shared" si="50"/>
        <v>0</v>
      </c>
      <c r="L22" s="4">
        <f t="shared" si="50"/>
        <v>0</v>
      </c>
      <c r="M22" s="4">
        <f t="shared" si="50"/>
        <v>0</v>
      </c>
      <c r="N22" s="4">
        <f t="shared" si="50"/>
        <v>0</v>
      </c>
      <c r="O22" s="4">
        <f t="shared" si="50"/>
        <v>0</v>
      </c>
      <c r="P22" s="4">
        <f t="shared" si="50"/>
        <v>0</v>
      </c>
      <c r="Q22" s="4">
        <f t="shared" si="50"/>
        <v>0</v>
      </c>
      <c r="R22" s="4">
        <f t="shared" si="50"/>
        <v>0</v>
      </c>
      <c r="S22" s="4">
        <f t="shared" si="50"/>
        <v>0</v>
      </c>
      <c r="W22" s="3" t="s">
        <v>6</v>
      </c>
      <c r="X22" s="4"/>
      <c r="Y22" s="4">
        <v>0</v>
      </c>
      <c r="Z22" s="4">
        <f>Z5*0</f>
        <v>0</v>
      </c>
      <c r="AA22" s="4">
        <f t="shared" ref="AA22:AN22" si="51">AA5*0</f>
        <v>0</v>
      </c>
      <c r="AB22" s="4">
        <f t="shared" si="51"/>
        <v>0</v>
      </c>
      <c r="AC22" s="4">
        <f t="shared" si="51"/>
        <v>0</v>
      </c>
      <c r="AD22" s="4">
        <f t="shared" si="51"/>
        <v>0</v>
      </c>
      <c r="AE22" s="4">
        <f t="shared" si="51"/>
        <v>0</v>
      </c>
      <c r="AF22" s="4">
        <f t="shared" si="51"/>
        <v>0</v>
      </c>
      <c r="AG22" s="4">
        <f t="shared" si="51"/>
        <v>0</v>
      </c>
      <c r="AH22" s="4">
        <f t="shared" si="51"/>
        <v>0</v>
      </c>
      <c r="AI22" s="4">
        <f t="shared" si="51"/>
        <v>0</v>
      </c>
      <c r="AJ22" s="4">
        <f t="shared" si="51"/>
        <v>0</v>
      </c>
      <c r="AK22" s="4">
        <f t="shared" si="51"/>
        <v>0</v>
      </c>
      <c r="AL22" s="4">
        <f t="shared" si="51"/>
        <v>0</v>
      </c>
      <c r="AM22" s="4">
        <f t="shared" si="51"/>
        <v>0</v>
      </c>
      <c r="AN22" s="4">
        <f t="shared" si="51"/>
        <v>0</v>
      </c>
    </row>
    <row r="23" spans="2:40">
      <c r="B23" s="5" t="s">
        <v>7</v>
      </c>
      <c r="C23" s="6"/>
      <c r="D23" s="6">
        <f>SUM(D18:D22)</f>
        <v>3491.6499999999996</v>
      </c>
      <c r="E23" s="6">
        <f>SUM(E18:E22)</f>
        <v>4853.0442736619998</v>
      </c>
      <c r="F23" s="6">
        <f t="shared" ref="F23:M23" si="52">SUM(F18:F22)</f>
        <v>5187.9043285446778</v>
      </c>
      <c r="G23" s="6">
        <f t="shared" si="52"/>
        <v>5545.8697272142608</v>
      </c>
      <c r="H23" s="6">
        <f t="shared" si="52"/>
        <v>5928.5347383920434</v>
      </c>
      <c r="I23" s="6">
        <f t="shared" si="52"/>
        <v>6337.6036353410955</v>
      </c>
      <c r="J23" s="6">
        <f t="shared" si="52"/>
        <v>6774.8982861796303</v>
      </c>
      <c r="K23" s="6">
        <f t="shared" si="52"/>
        <v>7242.3662679260242</v>
      </c>
      <c r="L23" s="6">
        <f t="shared" si="52"/>
        <v>7742.0895404129187</v>
      </c>
      <c r="M23" s="6">
        <f t="shared" si="52"/>
        <v>8276.2937187014122</v>
      </c>
      <c r="N23" s="6">
        <f t="shared" ref="N23" si="53">SUM(N18:N22)</f>
        <v>8847.3579852918083</v>
      </c>
      <c r="O23" s="6">
        <f t="shared" ref="O23" si="54">SUM(O18:O22)</f>
        <v>9457.8256862769413</v>
      </c>
      <c r="P23" s="6">
        <f t="shared" ref="P23" si="55">SUM(P18:P22)</f>
        <v>10110.415658630049</v>
      </c>
      <c r="Q23" s="6">
        <f t="shared" ref="Q23" si="56">SUM(Q18:Q22)</f>
        <v>10808.034339075524</v>
      </c>
      <c r="R23" s="6">
        <f t="shared" ref="R23" si="57">SUM(R18:R22)</f>
        <v>11553.788708471733</v>
      </c>
      <c r="S23" s="6">
        <f t="shared" ref="S23" si="58">SUM(S18:S22)</f>
        <v>12351.000129356284</v>
      </c>
      <c r="W23" s="5" t="s">
        <v>7</v>
      </c>
      <c r="X23" s="6"/>
      <c r="Y23" s="6">
        <f>SUM(Y18:Y22)</f>
        <v>3491.6499999999996</v>
      </c>
      <c r="Z23" s="6">
        <f>SUM(Z18:Z22)</f>
        <v>4807.6462916819992</v>
      </c>
      <c r="AA23" s="6">
        <f t="shared" ref="AA23" si="59">SUM(AA18:AA22)</f>
        <v>5091.2974228912381</v>
      </c>
      <c r="AB23" s="6">
        <f t="shared" ref="AB23" si="60">SUM(AB18:AB22)</f>
        <v>5391.6839708418211</v>
      </c>
      <c r="AC23" s="6">
        <f t="shared" ref="AC23" si="61">SUM(AC18:AC22)</f>
        <v>5709.7933251214863</v>
      </c>
      <c r="AD23" s="6">
        <f t="shared" ref="AD23" si="62">SUM(AD18:AD22)</f>
        <v>6046.671131303654</v>
      </c>
      <c r="AE23" s="6">
        <f t="shared" ref="AE23" si="63">SUM(AE18:AE22)</f>
        <v>6403.4247280505688</v>
      </c>
      <c r="AF23" s="6">
        <f t="shared" ref="AF23" si="64">SUM(AF18:AF22)</f>
        <v>6781.2267870055521</v>
      </c>
      <c r="AG23" s="6">
        <f t="shared" ref="AG23" si="65">SUM(AG18:AG22)</f>
        <v>7181.31916743888</v>
      </c>
      <c r="AH23" s="6">
        <f t="shared" ref="AH23" si="66">SUM(AH18:AH22)</f>
        <v>7605.016998317772</v>
      </c>
      <c r="AI23" s="6">
        <f t="shared" ref="AI23" si="67">SUM(AI18:AI22)</f>
        <v>8053.7130012185198</v>
      </c>
      <c r="AJ23" s="6">
        <f t="shared" ref="AJ23" si="68">SUM(AJ18:AJ22)</f>
        <v>8528.8820682904116</v>
      </c>
      <c r="AK23" s="6">
        <f t="shared" ref="AK23" si="69">SUM(AK18:AK22)</f>
        <v>9032.0861103195457</v>
      </c>
      <c r="AL23" s="6">
        <f t="shared" ref="AL23" si="70">SUM(AL18:AL22)</f>
        <v>9564.9791908284005</v>
      </c>
      <c r="AM23" s="6">
        <f t="shared" ref="AM23" si="71">SUM(AM18:AM22)</f>
        <v>10129.312963087277</v>
      </c>
      <c r="AN23" s="6">
        <f t="shared" ref="AN23" si="72">SUM(AN18:AN22)</f>
        <v>10726.942427909424</v>
      </c>
    </row>
    <row r="24" spans="2:40">
      <c r="B24" s="3" t="s">
        <v>32</v>
      </c>
      <c r="C24" s="7">
        <v>0.02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16"/>
      <c r="O24" s="16"/>
      <c r="P24" s="16"/>
      <c r="Q24" s="16"/>
      <c r="R24" s="16"/>
      <c r="S24" s="16"/>
      <c r="W24" s="3" t="s">
        <v>32</v>
      </c>
      <c r="X24" s="7">
        <v>0.02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16"/>
      <c r="AJ24" s="16"/>
      <c r="AK24" s="16"/>
      <c r="AL24" s="16"/>
      <c r="AM24" s="16"/>
      <c r="AN24" s="16"/>
    </row>
    <row r="25" spans="2:40">
      <c r="B25" s="3" t="s">
        <v>33</v>
      </c>
      <c r="C25" s="7">
        <v>0.09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16"/>
      <c r="O25" s="16"/>
      <c r="P25" s="16"/>
      <c r="Q25" s="16"/>
      <c r="R25" s="16"/>
      <c r="S25" s="16"/>
      <c r="W25" s="3" t="s">
        <v>33</v>
      </c>
      <c r="X25" s="7">
        <v>0.09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16"/>
      <c r="AJ25" s="16"/>
      <c r="AK25" s="16"/>
      <c r="AL25" s="16"/>
      <c r="AM25" s="16"/>
      <c r="AN25" s="16"/>
    </row>
    <row r="26" spans="2:40">
      <c r="B26" s="8" t="s">
        <v>34</v>
      </c>
      <c r="C26" s="32">
        <v>6.9000000000000006E-2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6"/>
      <c r="O26" s="16"/>
      <c r="P26" s="16"/>
      <c r="Q26" s="16"/>
      <c r="R26" s="16"/>
      <c r="S26" s="16"/>
      <c r="W26" s="8" t="s">
        <v>34</v>
      </c>
      <c r="X26" s="32">
        <v>5.8999999999999997E-2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6"/>
      <c r="AJ26" s="16"/>
      <c r="AK26" s="16"/>
      <c r="AL26" s="16"/>
      <c r="AM26" s="16"/>
      <c r="AN26" s="16"/>
    </row>
    <row r="27" spans="2:40">
      <c r="B27" s="8" t="s">
        <v>55</v>
      </c>
      <c r="C27" s="11">
        <f>NPV(C25,D23,E23,F23,G23,H23,I23,J23,K23,L23,M23,N23,O23,P23,Q23,R23,S23)</f>
        <v>56862.516487995621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6"/>
      <c r="O27" s="16"/>
      <c r="P27" s="16"/>
      <c r="Q27" s="16"/>
      <c r="R27" s="16"/>
      <c r="S27" s="16"/>
      <c r="W27" s="8" t="s">
        <v>55</v>
      </c>
      <c r="X27" s="11">
        <f>NPV(X25,Y23,Z23,AA23,AB23,AC23,AD23,AE23,AF23,AG23,AH23,AI23,AJ23,AK23,AL23,AM23,AN23)</f>
        <v>53186.783255471622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6"/>
      <c r="AJ27" s="16"/>
      <c r="AK27" s="16"/>
      <c r="AL27" s="16"/>
      <c r="AM27" s="16"/>
      <c r="AN27" s="16"/>
    </row>
    <row r="28" spans="2:40">
      <c r="B28" s="8" t="s">
        <v>36</v>
      </c>
      <c r="C28" s="4">
        <f>NPV(C25,D28,E28,F28,G28,H28,I28,J28,K28,L28,M28,N28,O28,P28,Q28,R28,S28)</f>
        <v>45329.433439671928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f>S23*(1+C24)/(C25-C24)</f>
        <v>179971.71617062014</v>
      </c>
      <c r="W28" s="8" t="s">
        <v>36</v>
      </c>
      <c r="X28" s="4">
        <f>NPV(X25,Y28,Z28,AA28,AB28,AC28,AD28,AE28,AF28,AG28,AH28,AI28,AJ28,AK28,AL28,AM28,AN28)</f>
        <v>39368.975605577572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f>AN23*(1+X24)/(X25-X24)</f>
        <v>156306.87537810876</v>
      </c>
    </row>
    <row r="29" spans="2:40" ht="17" thickBot="1">
      <c r="B29" s="8" t="s">
        <v>35</v>
      </c>
      <c r="C29" s="12">
        <f>SUM(C27:C28)</f>
        <v>102191.94992766755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6"/>
      <c r="O29" s="16"/>
      <c r="P29" s="16"/>
      <c r="Q29" s="16"/>
      <c r="R29" s="16"/>
      <c r="S29" s="16"/>
      <c r="W29" s="8" t="s">
        <v>35</v>
      </c>
      <c r="X29" s="12">
        <f>SUM(X27:X28)</f>
        <v>92555.758861049195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6"/>
      <c r="AJ29" s="16"/>
      <c r="AK29" s="16"/>
      <c r="AL29" s="16"/>
      <c r="AM29" s="16"/>
      <c r="AN29" s="16"/>
    </row>
    <row r="30" spans="2:40" ht="17" thickTop="1">
      <c r="B30" s="8" t="s">
        <v>57</v>
      </c>
      <c r="C30" s="11">
        <v>-11420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6"/>
      <c r="O30" s="16"/>
      <c r="P30" s="16"/>
      <c r="Q30" s="16"/>
      <c r="R30" s="16"/>
      <c r="S30" s="16"/>
      <c r="W30" s="8" t="s">
        <v>57</v>
      </c>
      <c r="X30" s="11">
        <v>-11420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6"/>
      <c r="AJ30" s="16"/>
      <c r="AK30" s="16"/>
      <c r="AL30" s="16"/>
      <c r="AM30" s="16"/>
      <c r="AN30" s="16"/>
    </row>
    <row r="31" spans="2:40">
      <c r="B31" s="8" t="s">
        <v>58</v>
      </c>
      <c r="C31" s="11">
        <v>8190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6"/>
      <c r="O31" s="16"/>
      <c r="P31" s="16"/>
      <c r="Q31" s="16"/>
      <c r="R31" s="16"/>
      <c r="S31" s="16"/>
      <c r="W31" s="8" t="s">
        <v>58</v>
      </c>
      <c r="X31" s="11">
        <v>8190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6"/>
      <c r="AJ31" s="16"/>
      <c r="AK31" s="16"/>
      <c r="AL31" s="16"/>
      <c r="AM31" s="16"/>
      <c r="AN31" s="16"/>
    </row>
    <row r="32" spans="2:40">
      <c r="B32" s="3" t="s">
        <v>38</v>
      </c>
      <c r="C32" s="13">
        <v>3021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16"/>
      <c r="O32" s="16"/>
      <c r="P32" s="16"/>
      <c r="Q32" s="16"/>
      <c r="R32" s="16"/>
      <c r="S32" s="16"/>
      <c r="W32" s="3" t="s">
        <v>38</v>
      </c>
      <c r="X32" s="13">
        <v>3021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16"/>
      <c r="AJ32" s="16"/>
      <c r="AK32" s="16"/>
      <c r="AL32" s="16"/>
      <c r="AM32" s="16"/>
      <c r="AN32" s="16"/>
    </row>
    <row r="33" spans="2:40">
      <c r="B33" s="3" t="s">
        <v>39</v>
      </c>
      <c r="C33" s="13">
        <v>-7000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16"/>
      <c r="O33" s="16"/>
      <c r="P33" s="16"/>
      <c r="Q33" s="16"/>
      <c r="R33" s="16"/>
      <c r="S33" s="16"/>
      <c r="W33" s="3" t="s">
        <v>39</v>
      </c>
      <c r="X33" s="13">
        <v>-7000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6"/>
      <c r="AJ33" s="16"/>
      <c r="AK33" s="16"/>
      <c r="AL33" s="16"/>
      <c r="AM33" s="16"/>
      <c r="AN33" s="16"/>
    </row>
    <row r="34" spans="2:40">
      <c r="B34" s="3" t="s">
        <v>40</v>
      </c>
      <c r="C34" s="13">
        <f>SUM(C30:C33)</f>
        <v>-7209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16"/>
      <c r="O34" s="16"/>
      <c r="P34" s="16"/>
      <c r="Q34" s="16"/>
      <c r="R34" s="16"/>
      <c r="S34" s="16"/>
      <c r="W34" s="3" t="s">
        <v>54</v>
      </c>
      <c r="X34" s="13">
        <f>SUM(X30:X33)</f>
        <v>-7209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16"/>
      <c r="AJ34" s="16"/>
      <c r="AK34" s="16"/>
      <c r="AL34" s="16"/>
      <c r="AM34" s="16"/>
      <c r="AN34" s="16"/>
    </row>
    <row r="35" spans="2:40">
      <c r="B35" s="3" t="s">
        <v>41</v>
      </c>
      <c r="C35" s="13">
        <f>C29-C34</f>
        <v>109400.94992766755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16"/>
      <c r="O35" s="16"/>
      <c r="P35" s="16"/>
      <c r="Q35" s="16"/>
      <c r="R35" s="16"/>
      <c r="S35" s="16"/>
      <c r="W35" s="3" t="s">
        <v>41</v>
      </c>
      <c r="X35" s="13">
        <f>X29-X34</f>
        <v>99764.758861049195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16"/>
      <c r="AJ35" s="16"/>
      <c r="AK35" s="16"/>
      <c r="AL35" s="16"/>
      <c r="AM35" s="16"/>
      <c r="AN35" s="16"/>
    </row>
    <row r="37" spans="2:40" ht="17">
      <c r="B37" s="23" t="s">
        <v>41</v>
      </c>
      <c r="C37" s="24">
        <f>C35</f>
        <v>109400.94992766755</v>
      </c>
      <c r="W37" s="23" t="s">
        <v>41</v>
      </c>
      <c r="X37" s="24">
        <f>X35</f>
        <v>99764.758861049195</v>
      </c>
    </row>
    <row r="38" spans="2:40" ht="17">
      <c r="B38" s="25" t="s">
        <v>42</v>
      </c>
      <c r="C38" s="26">
        <v>1053</v>
      </c>
      <c r="W38" s="25" t="s">
        <v>42</v>
      </c>
      <c r="X38" s="26">
        <v>1053</v>
      </c>
    </row>
    <row r="39" spans="2:40" ht="17">
      <c r="B39" s="27" t="s">
        <v>43</v>
      </c>
      <c r="C39" s="28">
        <f>C37/C38</f>
        <v>103.89453934251429</v>
      </c>
      <c r="W39" s="27" t="s">
        <v>43</v>
      </c>
      <c r="X39" s="28">
        <f>X37/X38</f>
        <v>94.743360741737121</v>
      </c>
    </row>
    <row r="45" spans="2:40">
      <c r="J45" s="14"/>
      <c r="K45" s="4"/>
    </row>
    <row r="46" spans="2:40">
      <c r="J46" s="14"/>
      <c r="K46" s="4"/>
    </row>
    <row r="47" spans="2:40">
      <c r="F47" s="39" t="s">
        <v>43</v>
      </c>
      <c r="G47" s="40"/>
      <c r="H47" s="33" t="s">
        <v>60</v>
      </c>
      <c r="I47" s="34"/>
      <c r="J47" s="35"/>
      <c r="K47" s="4"/>
    </row>
    <row r="48" spans="2:40">
      <c r="F48" s="41"/>
      <c r="G48" s="42"/>
      <c r="H48" s="29">
        <v>0.01</v>
      </c>
      <c r="I48" s="29">
        <v>0.02</v>
      </c>
      <c r="J48" s="29">
        <v>0.03</v>
      </c>
    </row>
    <row r="49" spans="6:10">
      <c r="F49" s="36" t="s">
        <v>59</v>
      </c>
      <c r="G49" s="31">
        <v>5.8999999999999997E-2</v>
      </c>
      <c r="H49" s="30">
        <v>89.75</v>
      </c>
      <c r="I49" s="30">
        <v>94.74</v>
      </c>
      <c r="J49" s="30">
        <v>101.4</v>
      </c>
    </row>
    <row r="50" spans="6:10">
      <c r="F50" s="37"/>
      <c r="G50" s="31">
        <v>6.9000000000000006E-2</v>
      </c>
      <c r="H50" s="30">
        <v>98.14</v>
      </c>
      <c r="I50" s="30">
        <v>103.89</v>
      </c>
      <c r="J50" s="30">
        <v>111.56</v>
      </c>
    </row>
    <row r="51" spans="6:10">
      <c r="F51" s="38"/>
      <c r="G51" s="31">
        <v>7.9000000000000001E-2</v>
      </c>
      <c r="H51" s="30">
        <v>107.53</v>
      </c>
      <c r="I51" s="30">
        <v>114.15</v>
      </c>
      <c r="J51" s="30">
        <v>122.96</v>
      </c>
    </row>
  </sheetData>
  <mergeCells count="3">
    <mergeCell ref="F47:G48"/>
    <mergeCell ref="H47:J47"/>
    <mergeCell ref="F49:F51"/>
  </mergeCells>
  <phoneticPr fontId="4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LRP</vt:lpstr>
      <vt:lpstr>NFM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Murtaza Vahanvaty</cp:lastModifiedBy>
  <dcterms:created xsi:type="dcterms:W3CDTF">2021-03-14T22:36:36Z</dcterms:created>
  <dcterms:modified xsi:type="dcterms:W3CDTF">2021-08-14T21:46:10Z</dcterms:modified>
</cp:coreProperties>
</file>