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e_pazaj_uva_nl/Documents/Corporate Finance 2020-2021/Tutorial 1/"/>
    </mc:Choice>
  </mc:AlternateContent>
  <xr:revisionPtr revIDLastSave="547" documentId="8_{00AC24E0-6086-764D-9115-14E2369AF9C1}" xr6:coauthVersionLast="46" xr6:coauthVersionMax="46" xr10:uidLastSave="{2B27D5EE-4150-9344-87C6-4888898E82BD}"/>
  <bookViews>
    <workbookView xWindow="0" yWindow="460" windowWidth="33600" windowHeight="19460" xr2:uid="{CCD7EDDE-554F-024C-B6E2-15394AE4FB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G98" i="1"/>
  <c r="F98" i="1"/>
  <c r="J96" i="1"/>
  <c r="I97" i="1"/>
  <c r="I98" i="1" s="1"/>
  <c r="H97" i="1"/>
  <c r="H98" i="1" s="1"/>
  <c r="G97" i="1"/>
  <c r="F97" i="1"/>
  <c r="L97" i="1"/>
  <c r="F101" i="1" s="1"/>
  <c r="L96" i="1"/>
  <c r="B144" i="1"/>
  <c r="B145" i="1" s="1"/>
  <c r="B146" i="1" s="1"/>
  <c r="E79" i="1"/>
  <c r="E47" i="1"/>
  <c r="D48" i="1" s="1"/>
  <c r="E50" i="1" s="1"/>
  <c r="F96" i="1"/>
  <c r="M96" i="1" s="1"/>
  <c r="E78" i="1"/>
  <c r="B136" i="1"/>
  <c r="B135" i="1"/>
  <c r="B120" i="1"/>
  <c r="B121" i="1" s="1"/>
  <c r="B122" i="1" s="1"/>
  <c r="B123" i="1" s="1"/>
  <c r="B124" i="1" s="1"/>
  <c r="B114" i="1"/>
  <c r="D115" i="1" s="1"/>
  <c r="D116" i="1" s="1"/>
  <c r="B92" i="1"/>
  <c r="B77" i="1"/>
  <c r="D62" i="1"/>
  <c r="E63" i="1" s="1"/>
  <c r="E64" i="1" s="1"/>
  <c r="C66" i="1" s="1"/>
  <c r="C67" i="1" s="1"/>
  <c r="C49" i="1"/>
  <c r="C32" i="1"/>
  <c r="D32" i="1"/>
  <c r="E32" i="1"/>
  <c r="F32" i="1"/>
  <c r="G32" i="1"/>
  <c r="B32" i="1"/>
  <c r="C30" i="1"/>
  <c r="D30" i="1"/>
  <c r="E30" i="1"/>
  <c r="F30" i="1"/>
  <c r="G30" i="1"/>
  <c r="B30" i="1"/>
  <c r="D27" i="1"/>
  <c r="E27" i="1"/>
  <c r="F27" i="1"/>
  <c r="G27" i="1"/>
  <c r="B29" i="1"/>
  <c r="C27" i="1"/>
  <c r="C14" i="1"/>
  <c r="D14" i="1"/>
  <c r="E14" i="1"/>
  <c r="F14" i="1"/>
  <c r="B14" i="1"/>
  <c r="B13" i="1"/>
  <c r="C13" i="1" s="1"/>
  <c r="D13" i="1" s="1"/>
  <c r="E13" i="1" s="1"/>
  <c r="F13" i="1" s="1"/>
  <c r="M97" i="1" l="1"/>
  <c r="N96" i="1"/>
  <c r="J97" i="1"/>
  <c r="B137" i="1"/>
  <c r="E145" i="1" s="1"/>
  <c r="E146" i="1" s="1"/>
  <c r="J98" i="1"/>
  <c r="F15" i="1"/>
  <c r="F103" i="1"/>
  <c r="B31" i="1"/>
  <c r="B34" i="1" s="1"/>
  <c r="B50" i="1"/>
  <c r="B51" i="1" s="1"/>
  <c r="B52" i="1" s="1"/>
  <c r="B78" i="1"/>
  <c r="B79" i="1" s="1"/>
  <c r="F17" i="1"/>
  <c r="B18" i="1" s="1"/>
  <c r="D15" i="1"/>
  <c r="C15" i="1"/>
  <c r="C29" i="1"/>
  <c r="B15" i="1"/>
  <c r="E15" i="1"/>
  <c r="M98" i="1" l="1"/>
  <c r="N98" i="1" s="1"/>
  <c r="N97" i="1"/>
  <c r="D29" i="1"/>
  <c r="E29" i="1" s="1"/>
  <c r="C31" i="1"/>
  <c r="C34" i="1" s="1"/>
  <c r="B17" i="1"/>
  <c r="B19" i="1" s="1"/>
  <c r="D31" i="1" l="1"/>
  <c r="D34" i="1" s="1"/>
  <c r="F29" i="1" l="1"/>
  <c r="E31" i="1"/>
  <c r="E34" i="1" s="1"/>
  <c r="G29" i="1" l="1"/>
  <c r="G31" i="1" s="1"/>
  <c r="F33" i="1" s="1"/>
  <c r="F31" i="1"/>
  <c r="F34" i="1" l="1"/>
  <c r="B36" i="1" s="1"/>
</calcChain>
</file>

<file path=xl/sharedStrings.xml><?xml version="1.0" encoding="utf-8"?>
<sst xmlns="http://schemas.openxmlformats.org/spreadsheetml/2006/main" count="131" uniqueCount="116">
  <si>
    <t>Exercise 1</t>
  </si>
  <si>
    <t>Annual div just paid</t>
  </si>
  <si>
    <t>USD</t>
  </si>
  <si>
    <t>Expected div growth per year for next five years</t>
  </si>
  <si>
    <t>Expected earnings growth after year 5</t>
  </si>
  <si>
    <t>per year</t>
  </si>
  <si>
    <t>Constant dividend payout rate</t>
  </si>
  <si>
    <t>Equity cost of capital</t>
  </si>
  <si>
    <t>Dividend discount model valuation</t>
  </si>
  <si>
    <t>Years</t>
  </si>
  <si>
    <t>Dividend</t>
  </si>
  <si>
    <t>Discount factor</t>
  </si>
  <si>
    <t>Present value</t>
  </si>
  <si>
    <t>PV of first 5 CFs</t>
  </si>
  <si>
    <t>PV of CF after year 5</t>
  </si>
  <si>
    <t>Total Value</t>
  </si>
  <si>
    <t>Exercise 2</t>
  </si>
  <si>
    <t>Year</t>
  </si>
  <si>
    <t>Earnings</t>
  </si>
  <si>
    <t>Retention ratio</t>
  </si>
  <si>
    <t>Return on retained earnings</t>
  </si>
  <si>
    <t>EPS growth rate</t>
  </si>
  <si>
    <t>EPS</t>
  </si>
  <si>
    <t>Payout ratio</t>
  </si>
  <si>
    <t>Value perpetuity</t>
  </si>
  <si>
    <t>DF</t>
  </si>
  <si>
    <t>PV</t>
  </si>
  <si>
    <t>Exercise 3</t>
  </si>
  <si>
    <t>Debt</t>
  </si>
  <si>
    <t>Excess cash</t>
  </si>
  <si>
    <t>Shrout</t>
  </si>
  <si>
    <t>FCF</t>
  </si>
  <si>
    <t>FCF growth rate</t>
  </si>
  <si>
    <t>WACC</t>
  </si>
  <si>
    <t>Value of CF beyond 2010</t>
  </si>
  <si>
    <t xml:space="preserve">Equity value </t>
  </si>
  <si>
    <t>Value per share</t>
  </si>
  <si>
    <t>Exercise 4</t>
  </si>
  <si>
    <t>SHROUT</t>
  </si>
  <si>
    <t>million</t>
  </si>
  <si>
    <t>Cash</t>
  </si>
  <si>
    <t xml:space="preserve">a. </t>
  </si>
  <si>
    <t>Acquisition value</t>
  </si>
  <si>
    <t>Purchase price</t>
  </si>
  <si>
    <t>Equity value</t>
  </si>
  <si>
    <t>Est. FCF</t>
  </si>
  <si>
    <t>b</t>
  </si>
  <si>
    <t>EBIT</t>
  </si>
  <si>
    <t>EBIT Margin</t>
  </si>
  <si>
    <t>Exercise 5</t>
  </si>
  <si>
    <t>RF debt</t>
  </si>
  <si>
    <t>Equity beta</t>
  </si>
  <si>
    <t>Cash and rf securities</t>
  </si>
  <si>
    <t>rf</t>
  </si>
  <si>
    <t>Market risk premium</t>
  </si>
  <si>
    <t>a. Enterprise value</t>
  </si>
  <si>
    <t>b. Beta of business assets</t>
  </si>
  <si>
    <t>c. WACC?</t>
  </si>
  <si>
    <t>or</t>
  </si>
  <si>
    <t>Exercise 6</t>
  </si>
  <si>
    <t>Million</t>
  </si>
  <si>
    <t>PRC</t>
  </si>
  <si>
    <t>Capital structure change</t>
  </si>
  <si>
    <t>LT debt</t>
  </si>
  <si>
    <t>ST debt</t>
  </si>
  <si>
    <t>Total raised</t>
  </si>
  <si>
    <t>Current cash</t>
  </si>
  <si>
    <t>a.</t>
  </si>
  <si>
    <t>i.</t>
  </si>
  <si>
    <t>Market value before transaction:</t>
  </si>
  <si>
    <t>ii.</t>
  </si>
  <si>
    <t>Before share repurchase</t>
  </si>
  <si>
    <t>iii.</t>
  </si>
  <si>
    <t>After repurchase</t>
  </si>
  <si>
    <t>Exercise 7</t>
  </si>
  <si>
    <t>r_e</t>
  </si>
  <si>
    <t>r_f</t>
  </si>
  <si>
    <t>Debt is risk-free</t>
  </si>
  <si>
    <t>WACC when D/E=0.5</t>
  </si>
  <si>
    <t>WACC when D/E = 1</t>
  </si>
  <si>
    <t>new r_e</t>
  </si>
  <si>
    <t>wacc</t>
  </si>
  <si>
    <t>b. betas</t>
  </si>
  <si>
    <t>market premium</t>
  </si>
  <si>
    <t>b1</t>
  </si>
  <si>
    <t>b_asset</t>
  </si>
  <si>
    <t>new b_e</t>
  </si>
  <si>
    <t>new wacc</t>
  </si>
  <si>
    <t>Exercise 8</t>
  </si>
  <si>
    <t>shrout</t>
  </si>
  <si>
    <t>Market cap</t>
  </si>
  <si>
    <t>billion</t>
  </si>
  <si>
    <t>a. How many new shares must the firm issue?</t>
  </si>
  <si>
    <t>Share price current</t>
  </si>
  <si>
    <t>New issue amount</t>
  </si>
  <si>
    <t>New issue shares</t>
  </si>
  <si>
    <t>b. Undoing the deleverage decision</t>
  </si>
  <si>
    <t xml:space="preserve">Borrow to buy additional shares in the same proportion as the firm's actions, i.e. relevering your own portfolio. </t>
  </si>
  <si>
    <t>Value beyond 2011</t>
  </si>
  <si>
    <t>Desired leverage</t>
  </si>
  <si>
    <t xml:space="preserve">No. of additional shares </t>
  </si>
  <si>
    <t>Borrowing amount</t>
  </si>
  <si>
    <t>Exact computations</t>
  </si>
  <si>
    <t>Quick approx. (~100 million shares outstanding)</t>
  </si>
  <si>
    <t>Liabilities</t>
  </si>
  <si>
    <t>Assets</t>
  </si>
  <si>
    <t>Non-cash</t>
  </si>
  <si>
    <t>Equity</t>
  </si>
  <si>
    <t>ST Debt</t>
  </si>
  <si>
    <t>LT Debt</t>
  </si>
  <si>
    <t>Pref. Stock</t>
  </si>
  <si>
    <t>Pref. stock</t>
  </si>
  <si>
    <t>Total</t>
  </si>
  <si>
    <t>Shares repurchased</t>
  </si>
  <si>
    <t>Remaining shares</t>
  </si>
  <si>
    <t>Share price after issuance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</si>
</sst>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.0_ ;_ * \-#,##0.0_ ;_ * &quot;-&quot;??_ ;_ @_ "/>
    <numFmt numFmtId="165" formatCode="_ * #,##0.0_ ;_ * \-#,##0.0_ ;_ * &quot;-&quot;?_ ;_ @_ "/>
    <numFmt numFmtId="166" formatCode="_ * #,##0.00_ ;_ * \-#,##0.00_ ;_ * &quot;-&quot;?_ ;_ @_ "/>
    <numFmt numFmtId="167" formatCode="0.000%"/>
    <numFmt numFmtId="168" formatCode="0.0000000%"/>
    <numFmt numFmtId="169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166" fontId="0" fillId="0" borderId="0" xfId="0" applyNumberFormat="1"/>
    <xf numFmtId="43" fontId="0" fillId="0" borderId="0" xfId="0" applyNumberFormat="1"/>
    <xf numFmtId="0" fontId="0" fillId="2" borderId="0" xfId="0" applyFill="1"/>
    <xf numFmtId="9" fontId="0" fillId="0" borderId="0" xfId="2" applyFont="1"/>
    <xf numFmtId="10" fontId="0" fillId="0" borderId="0" xfId="2" applyNumberFormat="1" applyFont="1"/>
    <xf numFmtId="167" fontId="0" fillId="0" borderId="0" xfId="2" applyNumberFormat="1" applyFont="1"/>
    <xf numFmtId="168" fontId="0" fillId="0" borderId="0" xfId="0" applyNumberFormat="1"/>
    <xf numFmtId="169" fontId="0" fillId="0" borderId="0" xfId="1" applyNumberFormat="1" applyFont="1"/>
    <xf numFmtId="43" fontId="0" fillId="0" borderId="0" xfId="1" applyNumberFormat="1" applyFont="1"/>
    <xf numFmtId="0" fontId="0" fillId="3" borderId="0" xfId="0" applyFill="1"/>
    <xf numFmtId="0" fontId="2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2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7" xfId="0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5E7E-93AA-CA4E-8784-BA7D429AA808}">
  <dimension ref="A2:N152"/>
  <sheetViews>
    <sheetView tabSelected="1" topLeftCell="A78" zoomScale="111" workbookViewId="0">
      <selection activeCell="B19" sqref="B19"/>
    </sheetView>
  </sheetViews>
  <sheetFormatPr baseColWidth="10" defaultRowHeight="16" x14ac:dyDescent="0.2"/>
  <cols>
    <col min="1" max="1" width="40.5" customWidth="1"/>
    <col min="2" max="2" width="13.6640625" bestFit="1" customWidth="1"/>
    <col min="3" max="4" width="11.6640625" bestFit="1" customWidth="1"/>
    <col min="5" max="5" width="22" bestFit="1" customWidth="1"/>
    <col min="6" max="6" width="16.33203125" bestFit="1" customWidth="1"/>
  </cols>
  <sheetData>
    <row r="2" spans="1:7" s="9" customFormat="1" x14ac:dyDescent="0.2">
      <c r="A2" s="9" t="s">
        <v>0</v>
      </c>
    </row>
    <row r="4" spans="1:7" x14ac:dyDescent="0.2">
      <c r="A4" t="s">
        <v>1</v>
      </c>
      <c r="B4">
        <v>1.5</v>
      </c>
    </row>
    <row r="5" spans="1:7" x14ac:dyDescent="0.2">
      <c r="A5" t="s">
        <v>3</v>
      </c>
      <c r="B5">
        <v>0.12</v>
      </c>
      <c r="C5" t="s">
        <v>2</v>
      </c>
    </row>
    <row r="6" spans="1:7" x14ac:dyDescent="0.2">
      <c r="A6" t="s">
        <v>4</v>
      </c>
      <c r="B6" s="1">
        <v>0.06</v>
      </c>
      <c r="C6" t="s">
        <v>5</v>
      </c>
    </row>
    <row r="7" spans="1:7" x14ac:dyDescent="0.2">
      <c r="A7" t="s">
        <v>6</v>
      </c>
    </row>
    <row r="8" spans="1:7" x14ac:dyDescent="0.2">
      <c r="A8" t="s">
        <v>7</v>
      </c>
      <c r="B8" s="5">
        <v>8.5000000000000006E-2</v>
      </c>
    </row>
    <row r="9" spans="1:7" x14ac:dyDescent="0.2">
      <c r="B9" s="6"/>
    </row>
    <row r="10" spans="1:7" x14ac:dyDescent="0.2">
      <c r="A10" t="s">
        <v>8</v>
      </c>
    </row>
    <row r="12" spans="1:7" x14ac:dyDescent="0.2">
      <c r="A12" t="s">
        <v>9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</row>
    <row r="13" spans="1:7" x14ac:dyDescent="0.2">
      <c r="A13" t="s">
        <v>10</v>
      </c>
      <c r="B13" s="3">
        <f>B4+B5</f>
        <v>1.62</v>
      </c>
      <c r="C13" s="4">
        <f>B13+$B$5</f>
        <v>1.7400000000000002</v>
      </c>
      <c r="D13" s="4">
        <f t="shared" ref="D13:F13" si="0">C13+$B$5</f>
        <v>1.8600000000000003</v>
      </c>
      <c r="E13" s="4">
        <f t="shared" si="0"/>
        <v>1.9800000000000004</v>
      </c>
      <c r="F13" s="4">
        <f t="shared" si="0"/>
        <v>2.1000000000000005</v>
      </c>
    </row>
    <row r="14" spans="1:7" x14ac:dyDescent="0.2">
      <c r="A14" t="s">
        <v>11</v>
      </c>
      <c r="B14" s="6">
        <f>1/(1+$B$8)^B12</f>
        <v>0.92165898617511521</v>
      </c>
      <c r="C14" s="6">
        <f t="shared" ref="C14:F14" si="1">1/(1+$B$8)^C12</f>
        <v>0.84945528679734128</v>
      </c>
      <c r="D14" s="6">
        <f t="shared" si="1"/>
        <v>0.78290809843072917</v>
      </c>
      <c r="E14" s="6">
        <f t="shared" si="1"/>
        <v>0.72157428426795334</v>
      </c>
      <c r="F14" s="6">
        <f t="shared" si="1"/>
        <v>0.66504542328843619</v>
      </c>
    </row>
    <row r="15" spans="1:7" x14ac:dyDescent="0.2">
      <c r="A15" t="s">
        <v>12</v>
      </c>
      <c r="B15" s="4">
        <f>B13*B14</f>
        <v>1.4930875576036868</v>
      </c>
      <c r="C15" s="4">
        <f t="shared" ref="C15:F15" si="2">C13*C14</f>
        <v>1.4780521990273741</v>
      </c>
      <c r="D15" s="4">
        <f t="shared" si="2"/>
        <v>1.4562090630811566</v>
      </c>
      <c r="E15" s="4">
        <f t="shared" si="2"/>
        <v>1.428717082850548</v>
      </c>
      <c r="F15" s="4">
        <f t="shared" si="2"/>
        <v>1.3965953889057163</v>
      </c>
    </row>
    <row r="17" spans="1:7" x14ac:dyDescent="0.2">
      <c r="A17" t="s">
        <v>13</v>
      </c>
      <c r="B17" s="7">
        <f>SUM(B15:F15)</f>
        <v>7.2526612914684812</v>
      </c>
      <c r="F17" s="8">
        <f>(F13*(1+B6)/(B8-B6))</f>
        <v>89.04</v>
      </c>
    </row>
    <row r="18" spans="1:7" x14ac:dyDescent="0.2">
      <c r="A18" t="s">
        <v>14</v>
      </c>
      <c r="B18" s="8">
        <f>F17*F14</f>
        <v>59.215644489602361</v>
      </c>
    </row>
    <row r="19" spans="1:7" x14ac:dyDescent="0.2">
      <c r="A19" t="s">
        <v>15</v>
      </c>
      <c r="B19" s="7">
        <f>SUM(B17:B18)</f>
        <v>66.468305781070839</v>
      </c>
    </row>
    <row r="21" spans="1:7" s="9" customFormat="1" x14ac:dyDescent="0.2">
      <c r="A21" s="9" t="s">
        <v>16</v>
      </c>
    </row>
    <row r="22" spans="1:7" x14ac:dyDescent="0.2">
      <c r="A22" t="s">
        <v>7</v>
      </c>
      <c r="B22" s="5">
        <v>9.5000000000000001E-2</v>
      </c>
    </row>
    <row r="23" spans="1:7" x14ac:dyDescent="0.2">
      <c r="A23" t="s">
        <v>17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</row>
    <row r="24" spans="1:7" x14ac:dyDescent="0.2">
      <c r="A24" t="s">
        <v>18</v>
      </c>
      <c r="B24">
        <v>2.77</v>
      </c>
    </row>
    <row r="25" spans="1:7" x14ac:dyDescent="0.2">
      <c r="A25" t="s">
        <v>19</v>
      </c>
      <c r="B25">
        <v>1</v>
      </c>
      <c r="C25">
        <v>1</v>
      </c>
      <c r="D25" s="1">
        <v>0.48</v>
      </c>
      <c r="E25" s="1">
        <v>0.48</v>
      </c>
      <c r="F25" s="1">
        <v>0.19</v>
      </c>
      <c r="G25" s="1">
        <v>0.19</v>
      </c>
    </row>
    <row r="26" spans="1:7" x14ac:dyDescent="0.2">
      <c r="A26" t="s">
        <v>20</v>
      </c>
      <c r="B26" s="5">
        <v>0.27210000000000001</v>
      </c>
    </row>
    <row r="27" spans="1:7" x14ac:dyDescent="0.2">
      <c r="A27" t="s">
        <v>21</v>
      </c>
      <c r="C27" s="11">
        <f>B25*$B$26</f>
        <v>0.27210000000000001</v>
      </c>
      <c r="D27" s="11">
        <f>C25*$B$26</f>
        <v>0.27210000000000001</v>
      </c>
      <c r="E27" s="11">
        <f>D25*$B$26</f>
        <v>0.130608</v>
      </c>
      <c r="F27" s="11">
        <f>E25*$B$26</f>
        <v>0.130608</v>
      </c>
      <c r="G27" s="11">
        <f>F25*$B$26</f>
        <v>5.1699000000000002E-2</v>
      </c>
    </row>
    <row r="29" spans="1:7" x14ac:dyDescent="0.2">
      <c r="A29" t="s">
        <v>22</v>
      </c>
      <c r="B29">
        <f>B24</f>
        <v>2.77</v>
      </c>
      <c r="C29" s="2">
        <f>B29*(1+C27)</f>
        <v>3.523717</v>
      </c>
      <c r="D29" s="2">
        <f>C29*(1+D27)</f>
        <v>4.4825203956999999</v>
      </c>
      <c r="E29" s="2">
        <f>D29*(1+E27)</f>
        <v>5.0679734195415858</v>
      </c>
      <c r="F29" s="2">
        <f>E29*(1+F27)</f>
        <v>5.7298912919210734</v>
      </c>
      <c r="G29" s="2">
        <f>F29*(1+G27)</f>
        <v>6.0261209418221009</v>
      </c>
    </row>
    <row r="30" spans="1:7" x14ac:dyDescent="0.2">
      <c r="A30" t="s">
        <v>23</v>
      </c>
      <c r="B30" s="10">
        <f>1-B25</f>
        <v>0</v>
      </c>
      <c r="C30" s="10">
        <f t="shared" ref="C30:G30" si="3">1-C25</f>
        <v>0</v>
      </c>
      <c r="D30" s="10">
        <f t="shared" si="3"/>
        <v>0.52</v>
      </c>
      <c r="E30" s="10">
        <f t="shared" si="3"/>
        <v>0.52</v>
      </c>
      <c r="F30" s="10">
        <f t="shared" si="3"/>
        <v>0.81</v>
      </c>
      <c r="G30" s="10">
        <f t="shared" si="3"/>
        <v>0.81</v>
      </c>
    </row>
    <row r="31" spans="1:7" x14ac:dyDescent="0.2">
      <c r="A31" t="s">
        <v>10</v>
      </c>
      <c r="B31" s="2">
        <f>B29*B30</f>
        <v>0</v>
      </c>
      <c r="C31" s="2">
        <f t="shared" ref="C31:G31" si="4">C29*C30</f>
        <v>0</v>
      </c>
      <c r="D31" s="2">
        <f t="shared" si="4"/>
        <v>2.3309106057640001</v>
      </c>
      <c r="E31" s="2">
        <f t="shared" si="4"/>
        <v>2.6353461781616248</v>
      </c>
      <c r="F31" s="2">
        <f t="shared" si="4"/>
        <v>4.6412119464560702</v>
      </c>
      <c r="G31" s="15">
        <f t="shared" si="4"/>
        <v>4.8811579628759016</v>
      </c>
    </row>
    <row r="32" spans="1:7" x14ac:dyDescent="0.2">
      <c r="A32" t="s">
        <v>25</v>
      </c>
      <c r="B32" s="2">
        <f>1/(1+$B$22)^B23</f>
        <v>0.91324200913242015</v>
      </c>
      <c r="C32" s="2">
        <f t="shared" ref="C32:G32" si="5">1/(1+$B$22)^C23</f>
        <v>0.8340109672442193</v>
      </c>
      <c r="D32" s="2">
        <f t="shared" si="5"/>
        <v>0.76165385136458386</v>
      </c>
      <c r="E32" s="2">
        <f t="shared" si="5"/>
        <v>0.6955742934836382</v>
      </c>
      <c r="F32" s="2">
        <f t="shared" si="5"/>
        <v>0.63522766528186136</v>
      </c>
      <c r="G32" s="2">
        <f t="shared" si="5"/>
        <v>0.58011658929850352</v>
      </c>
    </row>
    <row r="33" spans="1:7" x14ac:dyDescent="0.2">
      <c r="A33" t="s">
        <v>24</v>
      </c>
      <c r="F33" s="8">
        <f>G31/(B22-G27)</f>
        <v>112.72621793667356</v>
      </c>
      <c r="G33" s="8"/>
    </row>
    <row r="34" spans="1:7" x14ac:dyDescent="0.2">
      <c r="A34" t="s">
        <v>26</v>
      </c>
      <c r="B34">
        <f>B32*B31</f>
        <v>0</v>
      </c>
      <c r="C34">
        <f t="shared" ref="C34:E34" si="6">C32*C31</f>
        <v>0</v>
      </c>
      <c r="D34">
        <f t="shared" si="6"/>
        <v>1.775347040066706</v>
      </c>
      <c r="E34">
        <f t="shared" si="6"/>
        <v>1.8330790559595782</v>
      </c>
      <c r="F34">
        <f>(F33+F31)*F32</f>
        <v>74.555038464793</v>
      </c>
    </row>
    <row r="36" spans="1:7" x14ac:dyDescent="0.2">
      <c r="B36">
        <f>SUM(B34:F34)</f>
        <v>78.163464560819278</v>
      </c>
    </row>
    <row r="38" spans="1:7" s="9" customFormat="1" x14ac:dyDescent="0.2">
      <c r="A38" s="9" t="s">
        <v>27</v>
      </c>
    </row>
    <row r="40" spans="1:7" x14ac:dyDescent="0.2">
      <c r="B40">
        <v>2008</v>
      </c>
      <c r="C40">
        <v>2009</v>
      </c>
      <c r="D40">
        <v>2010</v>
      </c>
      <c r="E40">
        <v>2011</v>
      </c>
    </row>
    <row r="42" spans="1:7" x14ac:dyDescent="0.2">
      <c r="A42" t="s">
        <v>28</v>
      </c>
      <c r="B42">
        <v>38</v>
      </c>
    </row>
    <row r="43" spans="1:7" x14ac:dyDescent="0.2">
      <c r="A43" t="s">
        <v>29</v>
      </c>
      <c r="B43">
        <v>118</v>
      </c>
    </row>
    <row r="44" spans="1:7" x14ac:dyDescent="0.2">
      <c r="A44" t="s">
        <v>30</v>
      </c>
      <c r="B44">
        <v>50</v>
      </c>
    </row>
    <row r="45" spans="1:7" x14ac:dyDescent="0.2">
      <c r="A45" t="s">
        <v>33</v>
      </c>
      <c r="B45" s="5">
        <v>9.4E-2</v>
      </c>
    </row>
    <row r="46" spans="1:7" x14ac:dyDescent="0.2">
      <c r="A46" t="s">
        <v>32</v>
      </c>
      <c r="B46" s="1">
        <v>0.04</v>
      </c>
    </row>
    <row r="47" spans="1:7" x14ac:dyDescent="0.2">
      <c r="A47" t="s">
        <v>31</v>
      </c>
      <c r="C47">
        <v>46</v>
      </c>
      <c r="D47">
        <v>57</v>
      </c>
      <c r="E47">
        <f>D47*(1+B46)</f>
        <v>59.28</v>
      </c>
    </row>
    <row r="48" spans="1:7" x14ac:dyDescent="0.2">
      <c r="A48" t="s">
        <v>98</v>
      </c>
      <c r="D48">
        <f>E47/(B45-B46)</f>
        <v>1097.7777777777778</v>
      </c>
    </row>
    <row r="49" spans="1:5" x14ac:dyDescent="0.2">
      <c r="A49" t="s">
        <v>34</v>
      </c>
      <c r="C49">
        <f>D47/(B45-B46)</f>
        <v>1055.5555555555557</v>
      </c>
    </row>
    <row r="50" spans="1:5" x14ac:dyDescent="0.2">
      <c r="A50" t="s">
        <v>26</v>
      </c>
      <c r="B50" s="16">
        <f>(C49+C47)/(1+B45)</f>
        <v>1006.9063579118424</v>
      </c>
      <c r="E50" s="16">
        <f>C47/(1+B45)+(D47+D48)/((1+B45)^2)</f>
        <v>1006.9063579118422</v>
      </c>
    </row>
    <row r="51" spans="1:5" x14ac:dyDescent="0.2">
      <c r="A51" t="s">
        <v>35</v>
      </c>
      <c r="B51">
        <f>B50+B43-B42</f>
        <v>1086.9063579118424</v>
      </c>
    </row>
    <row r="52" spans="1:5" x14ac:dyDescent="0.2">
      <c r="A52" t="s">
        <v>36</v>
      </c>
      <c r="B52" s="2">
        <f>B51/B44</f>
        <v>21.73812715823685</v>
      </c>
    </row>
    <row r="54" spans="1:5" s="9" customFormat="1" x14ac:dyDescent="0.2">
      <c r="A54" s="9" t="s">
        <v>37</v>
      </c>
    </row>
    <row r="56" spans="1:5" x14ac:dyDescent="0.2">
      <c r="A56" t="s">
        <v>43</v>
      </c>
      <c r="B56">
        <v>15.25</v>
      </c>
    </row>
    <row r="57" spans="1:5" x14ac:dyDescent="0.2">
      <c r="A57" t="s">
        <v>38</v>
      </c>
      <c r="B57">
        <v>18.5</v>
      </c>
      <c r="C57" t="s">
        <v>39</v>
      </c>
    </row>
    <row r="58" spans="1:5" x14ac:dyDescent="0.2">
      <c r="A58" t="s">
        <v>40</v>
      </c>
      <c r="B58">
        <v>45</v>
      </c>
    </row>
    <row r="59" spans="1:5" x14ac:dyDescent="0.2">
      <c r="A59" t="s">
        <v>28</v>
      </c>
      <c r="B59">
        <v>0</v>
      </c>
    </row>
    <row r="60" spans="1:5" x14ac:dyDescent="0.2">
      <c r="A60" t="s">
        <v>33</v>
      </c>
      <c r="B60" s="1">
        <v>0.11</v>
      </c>
    </row>
    <row r="61" spans="1:5" x14ac:dyDescent="0.2">
      <c r="A61" t="s">
        <v>41</v>
      </c>
    </row>
    <row r="62" spans="1:5" x14ac:dyDescent="0.2">
      <c r="B62" t="s">
        <v>42</v>
      </c>
      <c r="D62">
        <f>B56*B57</f>
        <v>282.125</v>
      </c>
    </row>
    <row r="63" spans="1:5" x14ac:dyDescent="0.2">
      <c r="D63" t="s">
        <v>44</v>
      </c>
      <c r="E63">
        <f>D62-B58</f>
        <v>237.125</v>
      </c>
    </row>
    <row r="64" spans="1:5" x14ac:dyDescent="0.2">
      <c r="D64" t="s">
        <v>45</v>
      </c>
      <c r="E64">
        <f>E63*B60</f>
        <v>26.083749999999998</v>
      </c>
    </row>
    <row r="65" spans="1:5" x14ac:dyDescent="0.2">
      <c r="A65" t="s">
        <v>46</v>
      </c>
    </row>
    <row r="66" spans="1:5" x14ac:dyDescent="0.2">
      <c r="B66" t="s">
        <v>47</v>
      </c>
      <c r="C66">
        <f>E64/(1-0.35)</f>
        <v>40.128846153846148</v>
      </c>
    </row>
    <row r="67" spans="1:5" x14ac:dyDescent="0.2">
      <c r="B67" t="s">
        <v>48</v>
      </c>
      <c r="C67" s="11">
        <f>C66/480</f>
        <v>8.3601762820512807E-2</v>
      </c>
    </row>
    <row r="69" spans="1:5" s="9" customFormat="1" x14ac:dyDescent="0.2">
      <c r="A69" s="9" t="s">
        <v>49</v>
      </c>
    </row>
    <row r="70" spans="1:5" x14ac:dyDescent="0.2">
      <c r="A70" t="s">
        <v>50</v>
      </c>
      <c r="B70">
        <v>11</v>
      </c>
    </row>
    <row r="71" spans="1:5" x14ac:dyDescent="0.2">
      <c r="A71" t="s">
        <v>44</v>
      </c>
      <c r="B71">
        <v>89</v>
      </c>
    </row>
    <row r="72" spans="1:5" x14ac:dyDescent="0.2">
      <c r="A72" t="s">
        <v>51</v>
      </c>
      <c r="B72">
        <v>1.43</v>
      </c>
    </row>
    <row r="73" spans="1:5" x14ac:dyDescent="0.2">
      <c r="A73" t="s">
        <v>52</v>
      </c>
      <c r="B73">
        <v>21</v>
      </c>
    </row>
    <row r="74" spans="1:5" x14ac:dyDescent="0.2">
      <c r="A74" t="s">
        <v>53</v>
      </c>
      <c r="B74" s="1">
        <v>0.03</v>
      </c>
    </row>
    <row r="75" spans="1:5" x14ac:dyDescent="0.2">
      <c r="A75" t="s">
        <v>54</v>
      </c>
      <c r="B75" s="1">
        <v>0.04</v>
      </c>
    </row>
    <row r="77" spans="1:5" x14ac:dyDescent="0.2">
      <c r="A77" t="s">
        <v>55</v>
      </c>
      <c r="B77">
        <f>B71 +B70-B73</f>
        <v>79</v>
      </c>
    </row>
    <row r="78" spans="1:5" x14ac:dyDescent="0.2">
      <c r="A78" t="s">
        <v>56</v>
      </c>
      <c r="B78">
        <f>B72*(B71/B77)</f>
        <v>1.6110126582278481</v>
      </c>
      <c r="E78" s="5">
        <f>B74+B72*B75</f>
        <v>8.72E-2</v>
      </c>
    </row>
    <row r="79" spans="1:5" x14ac:dyDescent="0.2">
      <c r="A79" t="s">
        <v>57</v>
      </c>
      <c r="B79" s="13">
        <f>B74+B78*B75</f>
        <v>9.4440506329113924E-2</v>
      </c>
      <c r="D79" t="s">
        <v>58</v>
      </c>
      <c r="E79" s="12">
        <f>B74*(-B73+B70)/B77+E78*B71/B77</f>
        <v>9.444050632911391E-2</v>
      </c>
    </row>
    <row r="82" spans="1:14" s="9" customFormat="1" x14ac:dyDescent="0.2">
      <c r="A82" s="9" t="s">
        <v>59</v>
      </c>
    </row>
    <row r="84" spans="1:14" x14ac:dyDescent="0.2">
      <c r="A84" t="s">
        <v>38</v>
      </c>
      <c r="B84">
        <v>270</v>
      </c>
      <c r="C84" t="s">
        <v>60</v>
      </c>
    </row>
    <row r="85" spans="1:14" x14ac:dyDescent="0.2">
      <c r="A85" t="s">
        <v>61</v>
      </c>
      <c r="B85">
        <v>23.64</v>
      </c>
    </row>
    <row r="87" spans="1:14" x14ac:dyDescent="0.2">
      <c r="A87" t="s">
        <v>62</v>
      </c>
    </row>
    <row r="88" spans="1:14" x14ac:dyDescent="0.2">
      <c r="A88" t="s">
        <v>64</v>
      </c>
      <c r="B88">
        <v>921</v>
      </c>
    </row>
    <row r="89" spans="1:14" x14ac:dyDescent="0.2">
      <c r="A89" t="s">
        <v>63</v>
      </c>
      <c r="B89">
        <v>820</v>
      </c>
    </row>
    <row r="90" spans="1:14" x14ac:dyDescent="0.2">
      <c r="A90" t="s">
        <v>111</v>
      </c>
      <c r="B90">
        <v>1015</v>
      </c>
    </row>
    <row r="92" spans="1:14" x14ac:dyDescent="0.2">
      <c r="A92" t="s">
        <v>65</v>
      </c>
      <c r="B92">
        <f>SUM(B88:B90)</f>
        <v>2756</v>
      </c>
    </row>
    <row r="93" spans="1:14" ht="17" thickBot="1" x14ac:dyDescent="0.25"/>
    <row r="94" spans="1:14" ht="17" thickBot="1" x14ac:dyDescent="0.25">
      <c r="A94" t="s">
        <v>66</v>
      </c>
      <c r="B94">
        <v>94</v>
      </c>
      <c r="F94" s="24" t="s">
        <v>104</v>
      </c>
      <c r="G94" s="25"/>
      <c r="H94" s="25"/>
      <c r="I94" s="25"/>
      <c r="J94" s="26"/>
      <c r="L94" s="27" t="s">
        <v>105</v>
      </c>
      <c r="M94" s="28"/>
      <c r="N94" s="26"/>
    </row>
    <row r="95" spans="1:14" x14ac:dyDescent="0.2">
      <c r="F95" s="18" t="s">
        <v>107</v>
      </c>
      <c r="G95" s="19" t="s">
        <v>108</v>
      </c>
      <c r="H95" s="19" t="s">
        <v>109</v>
      </c>
      <c r="I95" s="19" t="s">
        <v>110</v>
      </c>
      <c r="J95" s="20" t="s">
        <v>112</v>
      </c>
      <c r="L95" s="18" t="s">
        <v>40</v>
      </c>
      <c r="M95" s="19" t="s">
        <v>106</v>
      </c>
      <c r="N95" s="20" t="s">
        <v>112</v>
      </c>
    </row>
    <row r="96" spans="1:14" x14ac:dyDescent="0.2">
      <c r="A96" t="s">
        <v>67</v>
      </c>
      <c r="B96" t="s">
        <v>68</v>
      </c>
      <c r="C96" t="s">
        <v>69</v>
      </c>
      <c r="F96" s="18">
        <f>B84*B85</f>
        <v>6382.8</v>
      </c>
      <c r="G96" s="19">
        <v>0</v>
      </c>
      <c r="H96" s="19">
        <v>0</v>
      </c>
      <c r="I96" s="19">
        <v>0</v>
      </c>
      <c r="J96" s="20">
        <f>SUM(F96:I96)</f>
        <v>6382.8</v>
      </c>
      <c r="L96" s="18">
        <f>B94</f>
        <v>94</v>
      </c>
      <c r="M96" s="19">
        <f>F96-L96</f>
        <v>6288.8</v>
      </c>
      <c r="N96" s="20">
        <f>SUM(L96:M96)</f>
        <v>6382.8</v>
      </c>
    </row>
    <row r="97" spans="1:14" x14ac:dyDescent="0.2">
      <c r="B97" t="s">
        <v>70</v>
      </c>
      <c r="C97" t="s">
        <v>71</v>
      </c>
      <c r="F97" s="18">
        <f>B84*B85</f>
        <v>6382.8</v>
      </c>
      <c r="G97" s="19">
        <f>B88</f>
        <v>921</v>
      </c>
      <c r="H97" s="19">
        <f>B89</f>
        <v>820</v>
      </c>
      <c r="I97" s="19">
        <f>B90</f>
        <v>1015</v>
      </c>
      <c r="J97" s="20">
        <f>SUM(F97:I97)</f>
        <v>9138.7999999999993</v>
      </c>
      <c r="L97" s="18">
        <f>B94+SUM(B88:B90)</f>
        <v>2850</v>
      </c>
      <c r="M97" s="19">
        <f>M96</f>
        <v>6288.8</v>
      </c>
      <c r="N97" s="20">
        <f t="shared" ref="N97:N98" si="7">SUM(L97:M97)</f>
        <v>9138.7999999999993</v>
      </c>
    </row>
    <row r="98" spans="1:14" ht="17" thickBot="1" x14ac:dyDescent="0.25">
      <c r="B98" t="s">
        <v>72</v>
      </c>
      <c r="C98" t="s">
        <v>73</v>
      </c>
      <c r="F98" s="21">
        <f>F97-L97</f>
        <v>3532.8</v>
      </c>
      <c r="G98" s="22">
        <f>G97</f>
        <v>921</v>
      </c>
      <c r="H98" s="22">
        <f t="shared" ref="H98:I98" si="8">H97</f>
        <v>820</v>
      </c>
      <c r="I98" s="22">
        <f t="shared" si="8"/>
        <v>1015</v>
      </c>
      <c r="J98" s="23">
        <f>SUM(F98:I98)</f>
        <v>6288.8</v>
      </c>
      <c r="L98" s="21">
        <v>0</v>
      </c>
      <c r="M98" s="22">
        <f>M97</f>
        <v>6288.8</v>
      </c>
      <c r="N98" s="23">
        <f t="shared" si="7"/>
        <v>6288.8</v>
      </c>
    </row>
    <row r="100" spans="1:14" x14ac:dyDescent="0.2">
      <c r="F100" s="2"/>
    </row>
    <row r="101" spans="1:14" x14ac:dyDescent="0.2">
      <c r="E101" t="s">
        <v>113</v>
      </c>
      <c r="F101" s="2">
        <f>L97*1000000/B85</f>
        <v>120558375.63451776</v>
      </c>
    </row>
    <row r="103" spans="1:14" x14ac:dyDescent="0.2">
      <c r="E103" t="s">
        <v>114</v>
      </c>
      <c r="F103" s="8">
        <f>B84*1000000-F101</f>
        <v>149441624.36548224</v>
      </c>
    </row>
    <row r="105" spans="1:14" x14ac:dyDescent="0.2">
      <c r="E105" t="s">
        <v>115</v>
      </c>
      <c r="F105" s="8">
        <f>F98*1000000/F103</f>
        <v>23.64</v>
      </c>
    </row>
    <row r="108" spans="1:14" s="9" customFormat="1" x14ac:dyDescent="0.2">
      <c r="A108" s="9" t="s">
        <v>74</v>
      </c>
    </row>
    <row r="110" spans="1:14" x14ac:dyDescent="0.2">
      <c r="A110" t="s">
        <v>75</v>
      </c>
      <c r="B110" s="1">
        <v>0.12</v>
      </c>
    </row>
    <row r="111" spans="1:14" x14ac:dyDescent="0.2">
      <c r="A111" t="s">
        <v>76</v>
      </c>
      <c r="B111" s="1">
        <v>0.03</v>
      </c>
    </row>
    <row r="112" spans="1:14" x14ac:dyDescent="0.2">
      <c r="A112" t="s">
        <v>77</v>
      </c>
    </row>
    <row r="113" spans="1:4" x14ac:dyDescent="0.2">
      <c r="A113" t="s">
        <v>67</v>
      </c>
    </row>
    <row r="114" spans="1:4" x14ac:dyDescent="0.2">
      <c r="A114" t="s">
        <v>78</v>
      </c>
      <c r="B114">
        <f>1/3*B111+2/3*B110</f>
        <v>8.9999999999999983E-2</v>
      </c>
    </row>
    <row r="115" spans="1:4" x14ac:dyDescent="0.2">
      <c r="A115" t="s">
        <v>79</v>
      </c>
      <c r="C115" t="s">
        <v>80</v>
      </c>
      <c r="D115">
        <f>B114+1*(B114-B111)</f>
        <v>0.14999999999999997</v>
      </c>
    </row>
    <row r="116" spans="1:4" x14ac:dyDescent="0.2">
      <c r="C116" t="s">
        <v>81</v>
      </c>
      <c r="D116">
        <f>5*D115+5*B111</f>
        <v>0.8999999999999998</v>
      </c>
    </row>
    <row r="117" spans="1:4" x14ac:dyDescent="0.2">
      <c r="A117" t="s">
        <v>82</v>
      </c>
    </row>
    <row r="118" spans="1:4" x14ac:dyDescent="0.2">
      <c r="A118" t="s">
        <v>83</v>
      </c>
      <c r="B118" s="5">
        <v>4.4999999999999998E-2</v>
      </c>
    </row>
    <row r="120" spans="1:4" x14ac:dyDescent="0.2">
      <c r="A120" t="s">
        <v>84</v>
      </c>
      <c r="B120" s="14">
        <f>(B110-B111)/B118</f>
        <v>2</v>
      </c>
    </row>
    <row r="121" spans="1:4" x14ac:dyDescent="0.2">
      <c r="A121" t="s">
        <v>85</v>
      </c>
      <c r="B121" s="8">
        <f>(2/3)*B120</f>
        <v>1.3333333333333333</v>
      </c>
    </row>
    <row r="122" spans="1:4" x14ac:dyDescent="0.2">
      <c r="A122" t="s">
        <v>86</v>
      </c>
      <c r="B122" s="8">
        <f>B121*(1+1)</f>
        <v>2.6666666666666665</v>
      </c>
    </row>
    <row r="123" spans="1:4" x14ac:dyDescent="0.2">
      <c r="A123" t="s">
        <v>80</v>
      </c>
      <c r="B123">
        <f>B111+B122*B118</f>
        <v>0.15</v>
      </c>
    </row>
    <row r="124" spans="1:4" x14ac:dyDescent="0.2">
      <c r="A124" t="s">
        <v>87</v>
      </c>
      <c r="B124">
        <f>5*B123+5*B111</f>
        <v>0.9</v>
      </c>
    </row>
    <row r="127" spans="1:4" s="9" customFormat="1" x14ac:dyDescent="0.2">
      <c r="A127" s="9" t="s">
        <v>88</v>
      </c>
    </row>
    <row r="129" spans="1:5" x14ac:dyDescent="0.2">
      <c r="A129" t="s">
        <v>89</v>
      </c>
      <c r="B129">
        <v>103.5</v>
      </c>
      <c r="C129" t="s">
        <v>39</v>
      </c>
    </row>
    <row r="130" spans="1:5" x14ac:dyDescent="0.2">
      <c r="A130" t="s">
        <v>90</v>
      </c>
      <c r="B130">
        <v>4.41</v>
      </c>
      <c r="C130" t="s">
        <v>91</v>
      </c>
    </row>
    <row r="131" spans="1:5" x14ac:dyDescent="0.2">
      <c r="A131" t="s">
        <v>28</v>
      </c>
      <c r="B131">
        <v>1.21</v>
      </c>
      <c r="C131" t="s">
        <v>91</v>
      </c>
    </row>
    <row r="133" spans="1:5" x14ac:dyDescent="0.2">
      <c r="A133" t="s">
        <v>92</v>
      </c>
    </row>
    <row r="135" spans="1:5" x14ac:dyDescent="0.2">
      <c r="A135" t="s">
        <v>93</v>
      </c>
      <c r="B135" s="2">
        <f>B130*1000/B129</f>
        <v>42.608695652173914</v>
      </c>
    </row>
    <row r="136" spans="1:5" x14ac:dyDescent="0.2">
      <c r="A136" t="s">
        <v>94</v>
      </c>
      <c r="B136">
        <f>B131*1000</f>
        <v>1210</v>
      </c>
    </row>
    <row r="137" spans="1:5" x14ac:dyDescent="0.2">
      <c r="A137" t="s">
        <v>95</v>
      </c>
      <c r="B137" s="8">
        <f>B136/B135</f>
        <v>28.397959183673468</v>
      </c>
      <c r="C137" t="s">
        <v>39</v>
      </c>
    </row>
    <row r="139" spans="1:5" x14ac:dyDescent="0.2">
      <c r="A139" t="s">
        <v>96</v>
      </c>
    </row>
    <row r="141" spans="1:5" x14ac:dyDescent="0.2">
      <c r="A141" t="s">
        <v>97</v>
      </c>
    </row>
    <row r="143" spans="1:5" x14ac:dyDescent="0.2">
      <c r="A143" s="17" t="s">
        <v>102</v>
      </c>
      <c r="E143" t="s">
        <v>103</v>
      </c>
    </row>
    <row r="144" spans="1:5" x14ac:dyDescent="0.2">
      <c r="A144" t="s">
        <v>99</v>
      </c>
      <c r="B144">
        <f>B131/(B130 + B131)</f>
        <v>0.21530249110320285</v>
      </c>
    </row>
    <row r="145" spans="1:6" x14ac:dyDescent="0.2">
      <c r="A145" t="s">
        <v>100</v>
      </c>
      <c r="B145">
        <f>B144*100/(1-B144)</f>
        <v>27.437641723356009</v>
      </c>
      <c r="E145" s="8">
        <f>B137</f>
        <v>28.397959183673468</v>
      </c>
    </row>
    <row r="146" spans="1:6" x14ac:dyDescent="0.2">
      <c r="A146" t="s">
        <v>101</v>
      </c>
      <c r="B146" s="8">
        <f>B145*B135</f>
        <v>1169.0821256038648</v>
      </c>
      <c r="E146">
        <f>E145*B135</f>
        <v>1210</v>
      </c>
      <c r="F146" s="8"/>
    </row>
    <row r="147" spans="1:6" x14ac:dyDescent="0.2">
      <c r="B147" s="8"/>
      <c r="F147" s="8"/>
    </row>
    <row r="152" spans="1:6" x14ac:dyDescent="0.2">
      <c r="B1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Pazaj</dc:creator>
  <cp:lastModifiedBy>Elisa Pazaj</cp:lastModifiedBy>
  <dcterms:created xsi:type="dcterms:W3CDTF">2021-01-29T10:10:36Z</dcterms:created>
  <dcterms:modified xsi:type="dcterms:W3CDTF">2021-02-08T09:23:07Z</dcterms:modified>
</cp:coreProperties>
</file>