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rstonecapabilities-my.sharepoint.com/personal/murtaza_vahanvaty_cornerstonecapabilities_com/Documents/Personal/portfolio-analysis/"/>
    </mc:Choice>
  </mc:AlternateContent>
  <xr:revisionPtr revIDLastSave="173" documentId="8_{86718DC4-C1E6-DC48-A6AD-602CD22DB7FD}" xr6:coauthVersionLast="47" xr6:coauthVersionMax="47" xr10:uidLastSave="{C9B0F2B4-22AA-3740-8E97-0627F360DAC0}"/>
  <bookViews>
    <workbookView xWindow="-38400" yWindow="-1200" windowWidth="33580" windowHeight="20460" activeTab="2" xr2:uid="{79BF3CD8-2E03-4D4B-B353-4E12CB38CC1E}"/>
  </bookViews>
  <sheets>
    <sheet name="Notes" sheetId="1" r:id="rId1"/>
    <sheet name="DCF_Model" sheetId="2" r:id="rId2"/>
    <sheet name="APPL_Intrinsic Value" sheetId="3" r:id="rId3"/>
    <sheet name="GOOG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4" l="1"/>
  <c r="I19" i="4" s="1"/>
  <c r="H19" i="4"/>
  <c r="G19" i="4"/>
  <c r="F19" i="4"/>
  <c r="H20" i="4" s="1"/>
  <c r="E19" i="4"/>
  <c r="G20" i="4" s="1"/>
  <c r="D19" i="4"/>
  <c r="C19" i="4"/>
  <c r="B19" i="4"/>
  <c r="J17" i="4" a="1"/>
  <c r="I18" i="3"/>
  <c r="H20" i="3"/>
  <c r="B19" i="3"/>
  <c r="D20" i="3" s="1"/>
  <c r="C19" i="3"/>
  <c r="E20" i="3" s="1"/>
  <c r="D19" i="3"/>
  <c r="F20" i="3" s="1"/>
  <c r="I19" i="3"/>
  <c r="I20" i="3" s="1"/>
  <c r="H19" i="3"/>
  <c r="G19" i="3"/>
  <c r="F19" i="3"/>
  <c r="E19" i="3"/>
  <c r="G20" i="3" s="1"/>
  <c r="J17" i="3" a="1"/>
  <c r="J17" i="3" s="1"/>
  <c r="J18" i="3" s="1"/>
  <c r="C4" i="2"/>
  <c r="E4" i="2"/>
  <c r="F4" i="2" s="1"/>
  <c r="G4" i="2" s="1"/>
  <c r="H4" i="2" s="1"/>
  <c r="E20" i="4" l="1"/>
  <c r="D20" i="4"/>
  <c r="F20" i="4"/>
  <c r="D16" i="2"/>
  <c r="I20" i="4"/>
  <c r="J17" i="4"/>
  <c r="J18" i="4" s="1"/>
  <c r="J22" i="3"/>
  <c r="K18" i="3"/>
  <c r="I4" i="2"/>
  <c r="H5" i="2"/>
  <c r="D6" i="2"/>
  <c r="F5" i="2"/>
  <c r="H6" i="2"/>
  <c r="F6" i="2"/>
  <c r="E5" i="2"/>
  <c r="E6" i="2"/>
  <c r="G6" i="2"/>
  <c r="G5" i="2"/>
  <c r="D5" i="2"/>
  <c r="J22" i="4" l="1"/>
  <c r="K18" i="4"/>
  <c r="K22" i="4" s="1"/>
  <c r="K22" i="3"/>
  <c r="L18" i="3"/>
  <c r="D8" i="2"/>
  <c r="I6" i="2"/>
  <c r="D14" i="2" s="1"/>
  <c r="I5" i="2"/>
  <c r="L18" i="4" l="1"/>
  <c r="M18" i="3"/>
  <c r="L22" i="3"/>
  <c r="L22" i="4" l="1"/>
  <c r="M18" i="4"/>
  <c r="M22" i="4" s="1"/>
  <c r="N18" i="3"/>
  <c r="M22" i="3"/>
  <c r="N18" i="4" l="1"/>
  <c r="O18" i="3"/>
  <c r="N22" i="3"/>
  <c r="O18" i="4" l="1"/>
  <c r="O22" i="4" s="1"/>
  <c r="N22" i="4"/>
  <c r="P18" i="3"/>
  <c r="O22" i="3"/>
  <c r="P18" i="4" l="1"/>
  <c r="P22" i="4" s="1"/>
  <c r="Q18" i="3"/>
  <c r="P22" i="3"/>
  <c r="Q18" i="4" l="1"/>
  <c r="Q22" i="4" s="1"/>
  <c r="R18" i="3"/>
  <c r="Q22" i="3"/>
  <c r="R18" i="4" l="1"/>
  <c r="R22" i="4" s="1"/>
  <c r="S18" i="3"/>
  <c r="R22" i="3"/>
  <c r="S18" i="4" l="1"/>
  <c r="S22" i="4"/>
  <c r="T18" i="4"/>
  <c r="T18" i="3"/>
  <c r="S22" i="3"/>
  <c r="T22" i="4" l="1"/>
  <c r="U18" i="4"/>
  <c r="U18" i="3"/>
  <c r="T22" i="3"/>
  <c r="U22" i="4" l="1"/>
  <c r="V18" i="4"/>
  <c r="V18" i="3"/>
  <c r="U22" i="3"/>
  <c r="V22" i="4" l="1"/>
  <c r="W18" i="4"/>
  <c r="W18" i="3"/>
  <c r="V22" i="3"/>
  <c r="W22" i="4" l="1"/>
  <c r="X18" i="4"/>
  <c r="X18" i="3"/>
  <c r="W22" i="3"/>
  <c r="X22" i="4" l="1"/>
  <c r="Y18" i="4"/>
  <c r="Y18" i="3"/>
  <c r="X22" i="3"/>
  <c r="Y22" i="4" l="1"/>
  <c r="Z18" i="4"/>
  <c r="Z18" i="3"/>
  <c r="Y22" i="3"/>
  <c r="Z22" i="4" l="1"/>
  <c r="AA18" i="4"/>
  <c r="AA18" i="3"/>
  <c r="Z22" i="3"/>
  <c r="AA22" i="4" l="1"/>
  <c r="AB18" i="4"/>
  <c r="AB18" i="3"/>
  <c r="AA22" i="3"/>
  <c r="AB22" i="4" l="1"/>
  <c r="AC18" i="4"/>
  <c r="AC18" i="3"/>
  <c r="AB22" i="3"/>
  <c r="AC22" i="4" l="1"/>
  <c r="AD18" i="4"/>
  <c r="AD18" i="3"/>
  <c r="AC22" i="3"/>
  <c r="AD22" i="4" l="1"/>
  <c r="AE18" i="4"/>
  <c r="AE18" i="3"/>
  <c r="AD22" i="3"/>
  <c r="AE22" i="4" l="1"/>
  <c r="AF18" i="4"/>
  <c r="AF18" i="3"/>
  <c r="AE22" i="3"/>
  <c r="AF22" i="4" l="1"/>
  <c r="AG18" i="4"/>
  <c r="AG18" i="3"/>
  <c r="AF22" i="3"/>
  <c r="AG22" i="4" l="1"/>
  <c r="AH18" i="4"/>
  <c r="AH18" i="3"/>
  <c r="AG22" i="3"/>
  <c r="AH22" i="4" l="1"/>
  <c r="AI18" i="4"/>
  <c r="AI18" i="3"/>
  <c r="AH22" i="3"/>
  <c r="AI22" i="4" l="1"/>
  <c r="AJ18" i="4"/>
  <c r="AJ18" i="3"/>
  <c r="AI22" i="3"/>
  <c r="AJ22" i="4" l="1"/>
  <c r="AK18" i="4"/>
  <c r="AK18" i="3"/>
  <c r="AJ22" i="3"/>
  <c r="AK22" i="4" l="1"/>
  <c r="AL18" i="4"/>
  <c r="AL18" i="3"/>
  <c r="AK22" i="3"/>
  <c r="AL22" i="4" l="1"/>
  <c r="AM18" i="4"/>
  <c r="AM18" i="3"/>
  <c r="AL22" i="3"/>
  <c r="AM22" i="4" l="1"/>
  <c r="AN18" i="4"/>
  <c r="AN18" i="3"/>
  <c r="AM22" i="3"/>
  <c r="AN22" i="4" l="1"/>
  <c r="AO18" i="4"/>
  <c r="AO18" i="3"/>
  <c r="AN22" i="3"/>
  <c r="AO22" i="4" l="1"/>
  <c r="AP18" i="4"/>
  <c r="AP18" i="3"/>
  <c r="AO22" i="3"/>
  <c r="AP22" i="4" l="1"/>
  <c r="AQ18" i="4"/>
  <c r="AQ18" i="3"/>
  <c r="AP22" i="3"/>
  <c r="AQ22" i="4" l="1"/>
  <c r="AR18" i="4"/>
  <c r="AR18" i="3"/>
  <c r="AQ22" i="3"/>
  <c r="AR22" i="4" l="1"/>
  <c r="AS18" i="4"/>
  <c r="AS18" i="3"/>
  <c r="AR22" i="3"/>
  <c r="AS22" i="4" l="1"/>
  <c r="AT18" i="4"/>
  <c r="AT18" i="3"/>
  <c r="AS22" i="3"/>
  <c r="AT22" i="4" l="1"/>
  <c r="AU18" i="4"/>
  <c r="AU18" i="3"/>
  <c r="AT22" i="3"/>
  <c r="AU22" i="4" l="1"/>
  <c r="AV18" i="4"/>
  <c r="AV18" i="3"/>
  <c r="AU22" i="3"/>
  <c r="AV22" i="4" l="1"/>
  <c r="AW18" i="4"/>
  <c r="AW18" i="3"/>
  <c r="AV22" i="3"/>
  <c r="AW22" i="4" l="1"/>
  <c r="AX18" i="4"/>
  <c r="AX18" i="3"/>
  <c r="AW22" i="3"/>
  <c r="AX22" i="4" l="1"/>
  <c r="AY18" i="4"/>
  <c r="AY18" i="3"/>
  <c r="AX22" i="3"/>
  <c r="AY22" i="4" l="1"/>
  <c r="AZ18" i="4"/>
  <c r="AZ18" i="3"/>
  <c r="AY22" i="3"/>
  <c r="AZ22" i="4" l="1"/>
  <c r="BA18" i="4"/>
  <c r="BA18" i="3"/>
  <c r="AZ22" i="3"/>
  <c r="BA22" i="4" l="1"/>
  <c r="BB18" i="4"/>
  <c r="BB18" i="3"/>
  <c r="BA22" i="3"/>
  <c r="BB22" i="4" l="1"/>
  <c r="BC18" i="4"/>
  <c r="BC18" i="3"/>
  <c r="BB22" i="3"/>
  <c r="BC22" i="4" l="1"/>
  <c r="BD18" i="4"/>
  <c r="BD18" i="3"/>
  <c r="BC22" i="3"/>
  <c r="BD22" i="4" l="1"/>
  <c r="BE18" i="4"/>
  <c r="BE18" i="3"/>
  <c r="BD22" i="3"/>
  <c r="BE22" i="4" l="1"/>
  <c r="BF18" i="4"/>
  <c r="BF18" i="3"/>
  <c r="BE22" i="3"/>
  <c r="BF22" i="4" l="1"/>
  <c r="BG18" i="4"/>
  <c r="BG18" i="3"/>
  <c r="BF22" i="3"/>
  <c r="BG22" i="4" l="1"/>
  <c r="BH18" i="4"/>
  <c r="BH18" i="3"/>
  <c r="BG22" i="3"/>
  <c r="BH22" i="4" l="1"/>
  <c r="BI18" i="4"/>
  <c r="BI18" i="3"/>
  <c r="BH22" i="3"/>
  <c r="BI22" i="4" l="1"/>
  <c r="BJ18" i="4"/>
  <c r="BJ18" i="3"/>
  <c r="BI22" i="3"/>
  <c r="BJ22" i="4" l="1"/>
  <c r="BK18" i="4"/>
  <c r="BK18" i="3"/>
  <c r="BJ22" i="3"/>
  <c r="BK22" i="4" l="1"/>
  <c r="BL18" i="4"/>
  <c r="BL18" i="3"/>
  <c r="BK22" i="3"/>
  <c r="BL22" i="4" l="1"/>
  <c r="BM18" i="4"/>
  <c r="BM18" i="3"/>
  <c r="BL22" i="3"/>
  <c r="BM22" i="4" l="1"/>
  <c r="BN18" i="4"/>
  <c r="BN18" i="3"/>
  <c r="BM22" i="3"/>
  <c r="BN22" i="4" l="1"/>
  <c r="BO18" i="4"/>
  <c r="BO18" i="3"/>
  <c r="BN22" i="3"/>
  <c r="BO22" i="4" l="1"/>
  <c r="BP18" i="4"/>
  <c r="BP18" i="3"/>
  <c r="BO22" i="3"/>
  <c r="BP22" i="4" l="1"/>
  <c r="BQ18" i="4"/>
  <c r="BQ18" i="3"/>
  <c r="BP22" i="3"/>
  <c r="BQ22" i="4" l="1"/>
  <c r="BR18" i="4"/>
  <c r="BR18" i="3"/>
  <c r="BQ22" i="3"/>
  <c r="BR22" i="4" l="1"/>
  <c r="BS18" i="4"/>
  <c r="BS18" i="3"/>
  <c r="BR22" i="3"/>
  <c r="BS22" i="4" l="1"/>
  <c r="BT18" i="4"/>
  <c r="BT18" i="3"/>
  <c r="BS22" i="3"/>
  <c r="BT22" i="4" l="1"/>
  <c r="BU18" i="4"/>
  <c r="BU18" i="3"/>
  <c r="BT22" i="3"/>
  <c r="BU22" i="4" l="1"/>
  <c r="BV18" i="4"/>
  <c r="BV18" i="3"/>
  <c r="BU22" i="3"/>
  <c r="BV22" i="4" l="1"/>
  <c r="BW18" i="4"/>
  <c r="BW18" i="3"/>
  <c r="BV22" i="3"/>
  <c r="BW22" i="4" l="1"/>
  <c r="BX18" i="4"/>
  <c r="BX18" i="3"/>
  <c r="BW22" i="3"/>
  <c r="BX22" i="4" l="1"/>
  <c r="BY18" i="4"/>
  <c r="BY18" i="3"/>
  <c r="BX22" i="3"/>
  <c r="BY22" i="4" l="1"/>
  <c r="BZ18" i="4"/>
  <c r="BZ18" i="3"/>
  <c r="BY22" i="3"/>
  <c r="BZ22" i="4" l="1"/>
  <c r="CA18" i="4"/>
  <c r="CA18" i="3"/>
  <c r="BZ22" i="3"/>
  <c r="CA22" i="4" l="1"/>
  <c r="CB18" i="4"/>
  <c r="CB18" i="3"/>
  <c r="CA22" i="3"/>
  <c r="CB22" i="4" l="1"/>
  <c r="CC18" i="4"/>
  <c r="CC18" i="3"/>
  <c r="CB22" i="3"/>
  <c r="CC22" i="4" l="1"/>
  <c r="CD18" i="4"/>
  <c r="CD18" i="3"/>
  <c r="CC22" i="3"/>
  <c r="CD22" i="4" l="1"/>
  <c r="CE18" i="4"/>
  <c r="CE18" i="3"/>
  <c r="CD22" i="3"/>
  <c r="CE22" i="4" l="1"/>
  <c r="CF18" i="4"/>
  <c r="I24" i="4" s="1"/>
  <c r="CF18" i="3"/>
  <c r="CE22" i="3"/>
  <c r="CF22" i="3" l="1"/>
  <c r="I22" i="3" s="1"/>
  <c r="I23" i="3" s="1"/>
  <c r="I24" i="3"/>
  <c r="CF22" i="4"/>
  <c r="I22" i="4" s="1"/>
  <c r="I2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<sst xmlns="http://schemas.openxmlformats.org/spreadsheetml/2006/main" count="34" uniqueCount="22">
  <si>
    <t>Year</t>
  </si>
  <si>
    <t>Cash flow</t>
  </si>
  <si>
    <t>Total</t>
  </si>
  <si>
    <t>Present Value</t>
  </si>
  <si>
    <t>Discount Rate</t>
  </si>
  <si>
    <t>Future Value</t>
  </si>
  <si>
    <t>Price</t>
  </si>
  <si>
    <t>Solving for discount rate</t>
  </si>
  <si>
    <t>Present Value (sum)</t>
  </si>
  <si>
    <t>IRR</t>
  </si>
  <si>
    <t>IRR (Internal Rate of Return)</t>
  </si>
  <si>
    <t>AAPLE</t>
  </si>
  <si>
    <t>Share Price</t>
  </si>
  <si>
    <t>Earnings Per Share</t>
  </si>
  <si>
    <t>EPS Growth</t>
  </si>
  <si>
    <t>Year 1-10</t>
  </si>
  <si>
    <t>Year 11-20</t>
  </si>
  <si>
    <t>Year 21-30</t>
  </si>
  <si>
    <t>Year 31-75</t>
  </si>
  <si>
    <t>NV</t>
  </si>
  <si>
    <t>GOOGLE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</si>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</sst>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10" fontId="0" fillId="0" borderId="0" xfId="1" applyNumberFormat="1" applyFont="1"/>
    <xf numFmtId="164" fontId="0" fillId="0" borderId="0" xfId="1" applyNumberFormat="1" applyFont="1"/>
    <xf numFmtId="10" fontId="0" fillId="0" borderId="0" xfId="0" applyNumberFormat="1"/>
    <xf numFmtId="8" fontId="0" fillId="0" borderId="0" xfId="0" applyNumberFormat="1"/>
    <xf numFmtId="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0</xdr:row>
      <xdr:rowOff>177800</xdr:rowOff>
    </xdr:from>
    <xdr:to>
      <xdr:col>13</xdr:col>
      <xdr:colOff>469900</xdr:colOff>
      <xdr:row>19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09A7CA-30AD-4649-927F-DE517C108E32}"/>
            </a:ext>
          </a:extLst>
        </xdr:cNvPr>
        <xdr:cNvSpPr txBox="1"/>
      </xdr:nvSpPr>
      <xdr:spPr>
        <a:xfrm>
          <a:off x="292100" y="177800"/>
          <a:ext cx="10909300" cy="373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Stock market isnt perfectly efficient at valuing</a:t>
          </a:r>
          <a:r>
            <a:rPr lang="en-US" sz="1100" baseline="0"/>
            <a:t> companies</a:t>
          </a:r>
        </a:p>
        <a:p>
          <a:endParaRPr lang="en-US" sz="1100" baseline="0"/>
        </a:p>
        <a:p>
          <a:r>
            <a:rPr lang="en-US" sz="1100" baseline="0"/>
            <a:t>Present Value = CASH FLOW / ((1 + Discount Rate)^ Years)</a:t>
          </a:r>
        </a:p>
        <a:p>
          <a:endParaRPr lang="en-US" sz="1100" baseline="0"/>
        </a:p>
        <a:p>
          <a:r>
            <a:rPr lang="en-US" sz="1100" baseline="0"/>
            <a:t>Discount Rate =  (Present Value / CASH FLOW ) ^ (1/Years) - 1</a:t>
          </a:r>
        </a:p>
        <a:p>
          <a:endParaRPr lang="en-US" sz="1100" baseline="0"/>
        </a:p>
        <a:p>
          <a:r>
            <a:rPr lang="en-US" sz="1100"/>
            <a:t>https://www.youtube.com/watch?v=ilfeKFmbURc&amp;ab_channel=RichardHopkins</a:t>
          </a:r>
        </a:p>
        <a:p>
          <a:endParaRPr lang="en-US" sz="1100"/>
        </a:p>
        <a:p>
          <a:r>
            <a:rPr lang="en-US" sz="1100"/>
            <a:t>https://www.youtube.com/watch?v=UtnEHqvGeCE&amp;ab_channel=RichardHopkins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B88C-C4CC-C346-8B39-99E5917BDC61}">
  <dimension ref="A1"/>
  <sheetViews>
    <sheetView workbookViewId="0">
      <selection activeCell="I24" sqref="I2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41D1-91FB-4245-8458-1EBCB1CA021F}">
  <dimension ref="B3:I16"/>
  <sheetViews>
    <sheetView workbookViewId="0">
      <selection activeCell="E14" sqref="E14"/>
    </sheetView>
  </sheetViews>
  <sheetFormatPr baseColWidth="10" defaultRowHeight="16" x14ac:dyDescent="0.2"/>
  <cols>
    <col min="2" max="2" width="21.1640625" bestFit="1" customWidth="1"/>
    <col min="3" max="3" width="21.1640625" customWidth="1"/>
  </cols>
  <sheetData>
    <row r="3" spans="2:9" x14ac:dyDescent="0.2">
      <c r="B3" t="s">
        <v>0</v>
      </c>
      <c r="D3">
        <v>1</v>
      </c>
      <c r="E3">
        <v>2</v>
      </c>
      <c r="F3">
        <v>3</v>
      </c>
      <c r="G3">
        <v>4</v>
      </c>
      <c r="H3">
        <v>5</v>
      </c>
      <c r="I3" t="s">
        <v>2</v>
      </c>
    </row>
    <row r="4" spans="2:9" x14ac:dyDescent="0.2">
      <c r="B4" t="s">
        <v>1</v>
      </c>
      <c r="C4">
        <f>-D9</f>
        <v>-450000</v>
      </c>
      <c r="D4">
        <v>100000</v>
      </c>
      <c r="E4">
        <f>D4*1.05</f>
        <v>105000</v>
      </c>
      <c r="F4">
        <f>E4*1.05</f>
        <v>110250</v>
      </c>
      <c r="G4">
        <f>F4*1.05</f>
        <v>115762.5</v>
      </c>
      <c r="H4">
        <f>G4*1.05</f>
        <v>121550.625</v>
      </c>
      <c r="I4">
        <f>SUM(D4:H4)</f>
        <v>552563.125</v>
      </c>
    </row>
    <row r="5" spans="2:9" x14ac:dyDescent="0.2">
      <c r="B5" t="s">
        <v>3</v>
      </c>
      <c r="D5">
        <f>D4/((1+$D$10)^D3)</f>
        <v>93447.820175737259</v>
      </c>
      <c r="E5">
        <f>E4/((1+$D$10)^E3)</f>
        <v>91691.198503767737</v>
      </c>
      <c r="F5">
        <f>F4/((1+$D$10)^F3)</f>
        <v>89967.597609518125</v>
      </c>
      <c r="G5">
        <f>G4/((1+$D$10)^G3)</f>
        <v>88276.39677210206</v>
      </c>
      <c r="H5">
        <f>H4/((1+$D$10)^H3)</f>
        <v>86616.986938874979</v>
      </c>
      <c r="I5">
        <f>SUM(D5:H5)</f>
        <v>450000.00000000012</v>
      </c>
    </row>
    <row r="6" spans="2:9" x14ac:dyDescent="0.2">
      <c r="B6" t="s">
        <v>5</v>
      </c>
      <c r="D6">
        <f>D4*((1+$D$10)^(5-D3))</f>
        <v>131136.4127138732</v>
      </c>
      <c r="E6">
        <f>E4*((1+$D$10)^(5-E3))</f>
        <v>128671.32509466152</v>
      </c>
      <c r="F6">
        <f>F4*((1+$D$10)^(5-F3))</f>
        <v>126252.57591680747</v>
      </c>
      <c r="G6">
        <f>G4*((1+$D$10)^(5-G3))</f>
        <v>123879.29411547314</v>
      </c>
      <c r="H6">
        <f>H4*((1+$D$10)^(5-H3))</f>
        <v>121550.625</v>
      </c>
      <c r="I6">
        <f>SUM(D6:H6)</f>
        <v>631490.23284081533</v>
      </c>
    </row>
    <row r="8" spans="2:9" x14ac:dyDescent="0.2">
      <c r="B8" t="s">
        <v>8</v>
      </c>
      <c r="D8">
        <f>SUM(D5:H5)</f>
        <v>450000.00000000012</v>
      </c>
    </row>
    <row r="9" spans="2:9" x14ac:dyDescent="0.2">
      <c r="B9" t="s">
        <v>6</v>
      </c>
      <c r="D9">
        <v>450000</v>
      </c>
    </row>
    <row r="10" spans="2:9" x14ac:dyDescent="0.2">
      <c r="B10" t="s">
        <v>4</v>
      </c>
      <c r="D10" s="2">
        <v>7.011591936484729E-2</v>
      </c>
    </row>
    <row r="14" spans="2:9" x14ac:dyDescent="0.2">
      <c r="B14" t="s">
        <v>7</v>
      </c>
      <c r="D14" s="3">
        <f>((I6/D9)^(1/5)) -1</f>
        <v>7.011591936484729E-2</v>
      </c>
    </row>
    <row r="16" spans="2:9" x14ac:dyDescent="0.2">
      <c r="B16" t="s">
        <v>10</v>
      </c>
      <c r="D16" s="4">
        <f>IRR(C4:H4)</f>
        <v>7.011591936484729E-2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0FDF-B221-784A-A51A-323DC4B85FF4}">
  <dimension ref="A3:CF24"/>
  <sheetViews>
    <sheetView tabSelected="1" workbookViewId="0">
      <selection activeCell="C12" sqref="C12"/>
    </sheetView>
  </sheetViews>
  <sheetFormatPr baseColWidth="10" defaultRowHeight="16" x14ac:dyDescent="0.2"/>
  <cols>
    <col min="1" max="1" width="16.6640625" bestFit="1" customWidth="1"/>
    <col min="8" max="8" width="12.5" bestFit="1" customWidth="1"/>
    <col min="9" max="9" width="11.6640625" bestFit="1" customWidth="1"/>
  </cols>
  <sheetData>
    <row r="3" spans="1:2" x14ac:dyDescent="0.2">
      <c r="B3" t="s">
        <v>11</v>
      </c>
    </row>
    <row r="4" spans="1:2" x14ac:dyDescent="0.2">
      <c r="A4" t="s">
        <v>12</v>
      </c>
      <c r="B4">
        <v>145.52000000000001</v>
      </c>
    </row>
    <row r="5" spans="1:2" x14ac:dyDescent="0.2">
      <c r="A5" t="s">
        <v>13</v>
      </c>
      <c r="B5" s="5">
        <v>3.28</v>
      </c>
    </row>
    <row r="6" spans="1:2" x14ac:dyDescent="0.2">
      <c r="A6" t="s">
        <v>14</v>
      </c>
    </row>
    <row r="7" spans="1:2" x14ac:dyDescent="0.2">
      <c r="A7" t="s">
        <v>15</v>
      </c>
      <c r="B7" s="1">
        <v>0.12</v>
      </c>
    </row>
    <row r="8" spans="1:2" x14ac:dyDescent="0.2">
      <c r="A8" t="s">
        <v>16</v>
      </c>
      <c r="B8" s="1">
        <v>7.0000000000000007E-2</v>
      </c>
    </row>
    <row r="9" spans="1:2" x14ac:dyDescent="0.2">
      <c r="A9" t="s">
        <v>17</v>
      </c>
      <c r="B9" s="1">
        <v>0.05</v>
      </c>
    </row>
    <row r="10" spans="1:2" x14ac:dyDescent="0.2">
      <c r="A10" t="s">
        <v>18</v>
      </c>
      <c r="B10" s="1">
        <v>-0.02</v>
      </c>
    </row>
    <row r="12" spans="1:2" x14ac:dyDescent="0.2">
      <c r="A12" t="s">
        <v>4</v>
      </c>
      <c r="B12" s="4">
        <v>0.09</v>
      </c>
    </row>
    <row r="17" spans="1:84" x14ac:dyDescent="0.2">
      <c r="A17">
        <v>-8</v>
      </c>
      <c r="B17">
        <v>-7</v>
      </c>
      <c r="C17">
        <v>-6</v>
      </c>
      <c r="D17">
        <v>-5</v>
      </c>
      <c r="E17">
        <v>-4</v>
      </c>
      <c r="F17">
        <v>-3</v>
      </c>
      <c r="G17">
        <v>-2</v>
      </c>
      <c r="H17">
        <v>-1</v>
      </c>
      <c r="I17">
        <v>0</v>
      </c>
      <c r="J17" cm="1">
        <f t="array" ref="J17:CF17">_xlfn.SEQUENCE(1,75,1,1)</f>
        <v>1</v>
      </c>
      <c r="K17">
        <v>2</v>
      </c>
      <c r="L17">
        <v>3</v>
      </c>
      <c r="M17">
        <v>4</v>
      </c>
      <c r="N17">
        <v>5</v>
      </c>
      <c r="O17">
        <v>6</v>
      </c>
      <c r="P17">
        <v>7</v>
      </c>
      <c r="Q17">
        <v>8</v>
      </c>
      <c r="R17">
        <v>9</v>
      </c>
      <c r="S17">
        <v>10</v>
      </c>
      <c r="T17">
        <v>11</v>
      </c>
      <c r="U17">
        <v>12</v>
      </c>
      <c r="V17">
        <v>13</v>
      </c>
      <c r="W17">
        <v>14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20</v>
      </c>
      <c r="AD17">
        <v>21</v>
      </c>
      <c r="AE17">
        <v>22</v>
      </c>
      <c r="AF17">
        <v>23</v>
      </c>
      <c r="AG17">
        <v>24</v>
      </c>
      <c r="AH17">
        <v>25</v>
      </c>
      <c r="AI17">
        <v>26</v>
      </c>
      <c r="AJ17">
        <v>27</v>
      </c>
      <c r="AK17">
        <v>28</v>
      </c>
      <c r="AL17">
        <v>29</v>
      </c>
      <c r="AM17">
        <v>30</v>
      </c>
      <c r="AN17">
        <v>31</v>
      </c>
      <c r="AO17">
        <v>32</v>
      </c>
      <c r="AP17">
        <v>33</v>
      </c>
      <c r="AQ17">
        <v>34</v>
      </c>
      <c r="AR17">
        <v>35</v>
      </c>
      <c r="AS17">
        <v>36</v>
      </c>
      <c r="AT17">
        <v>37</v>
      </c>
      <c r="AU17">
        <v>38</v>
      </c>
      <c r="AV17">
        <v>39</v>
      </c>
      <c r="AW17">
        <v>40</v>
      </c>
      <c r="AX17">
        <v>41</v>
      </c>
      <c r="AY17">
        <v>42</v>
      </c>
      <c r="AZ17">
        <v>43</v>
      </c>
      <c r="BA17">
        <v>44</v>
      </c>
      <c r="BB17">
        <v>45</v>
      </c>
      <c r="BC17">
        <v>46</v>
      </c>
      <c r="BD17">
        <v>47</v>
      </c>
      <c r="BE17">
        <v>48</v>
      </c>
      <c r="BF17">
        <v>49</v>
      </c>
      <c r="BG17">
        <v>50</v>
      </c>
      <c r="BH17">
        <v>51</v>
      </c>
      <c r="BI17">
        <v>52</v>
      </c>
      <c r="BJ17">
        <v>53</v>
      </c>
      <c r="BK17">
        <v>54</v>
      </c>
      <c r="BL17">
        <v>55</v>
      </c>
      <c r="BM17">
        <v>56</v>
      </c>
      <c r="BN17">
        <v>57</v>
      </c>
      <c r="BO17">
        <v>58</v>
      </c>
      <c r="BP17">
        <v>59</v>
      </c>
      <c r="BQ17">
        <v>60</v>
      </c>
      <c r="BR17">
        <v>61</v>
      </c>
      <c r="BS17">
        <v>62</v>
      </c>
      <c r="BT17">
        <v>63</v>
      </c>
      <c r="BU17">
        <v>64</v>
      </c>
      <c r="BV17">
        <v>65</v>
      </c>
      <c r="BW17">
        <v>66</v>
      </c>
      <c r="BX17">
        <v>67</v>
      </c>
      <c r="BY17">
        <v>68</v>
      </c>
      <c r="BZ17">
        <v>69</v>
      </c>
      <c r="CA17">
        <v>70</v>
      </c>
      <c r="CB17">
        <v>71</v>
      </c>
      <c r="CC17">
        <v>72</v>
      </c>
      <c r="CD17">
        <v>73</v>
      </c>
      <c r="CE17">
        <v>74</v>
      </c>
      <c r="CF17">
        <v>75</v>
      </c>
    </row>
    <row r="18" spans="1:84" x14ac:dyDescent="0.2">
      <c r="A18">
        <v>1.58</v>
      </c>
      <c r="B18">
        <v>1.42</v>
      </c>
      <c r="C18">
        <v>1.61</v>
      </c>
      <c r="D18">
        <v>2.31</v>
      </c>
      <c r="E18">
        <v>2.08</v>
      </c>
      <c r="F18">
        <v>2.2999999999999998</v>
      </c>
      <c r="G18">
        <v>2.98</v>
      </c>
      <c r="H18">
        <v>2.97</v>
      </c>
      <c r="I18" s="5">
        <f>-B4</f>
        <v>-145.52000000000001</v>
      </c>
      <c r="J18" s="5">
        <f>IF(J17&lt;=10,B5*($B$7+1),IF(AND(J17&gt;10,J17&lt;=20),I18*($B$8+1), IF(AND(J17&gt;20,J17&lt;=30),I18*($B$9+1),IF(AND(J17&gt;30,J17&lt;=75),I18*($B$10+1)))))</f>
        <v>3.6736</v>
      </c>
      <c r="K18" s="5">
        <f t="shared" ref="K18:BV18" si="0">IF(K17&lt;=10,J18*($B$7+1),IF(AND(K17&gt;10,K17&lt;=20),J18*($B$8+1), IF(AND(K17&gt;20,K17&lt;=30),J18*($B$9+1),IF(AND(K17&gt;30,K17&lt;=75),J18*($B$10+1)))))</f>
        <v>4.1144320000000008</v>
      </c>
      <c r="L18" s="5">
        <f t="shared" si="0"/>
        <v>4.6081638400000013</v>
      </c>
      <c r="M18" s="5">
        <f t="shared" si="0"/>
        <v>5.1611435008000024</v>
      </c>
      <c r="N18" s="5">
        <f t="shared" si="0"/>
        <v>5.7804807208960032</v>
      </c>
      <c r="O18" s="5">
        <f t="shared" si="0"/>
        <v>6.4741384074035242</v>
      </c>
      <c r="P18" s="5">
        <f t="shared" si="0"/>
        <v>7.2510350162919481</v>
      </c>
      <c r="Q18" s="5">
        <f t="shared" si="0"/>
        <v>8.1211592182469818</v>
      </c>
      <c r="R18" s="5">
        <f t="shared" si="0"/>
        <v>9.0956983244366203</v>
      </c>
      <c r="S18" s="5">
        <f t="shared" si="0"/>
        <v>10.187182123369016</v>
      </c>
      <c r="T18" s="5">
        <f t="shared" si="0"/>
        <v>10.900284872004848</v>
      </c>
      <c r="U18" s="5">
        <f t="shared" si="0"/>
        <v>11.663304813045189</v>
      </c>
      <c r="V18" s="5">
        <f t="shared" si="0"/>
        <v>12.479736149958352</v>
      </c>
      <c r="W18" s="5">
        <f t="shared" si="0"/>
        <v>13.353317680455438</v>
      </c>
      <c r="X18" s="5">
        <f t="shared" si="0"/>
        <v>14.288049918087319</v>
      </c>
      <c r="Y18" s="5">
        <f t="shared" si="0"/>
        <v>15.288213412353432</v>
      </c>
      <c r="Z18" s="5">
        <f t="shared" si="0"/>
        <v>16.358388351218174</v>
      </c>
      <c r="AA18" s="5">
        <f t="shared" si="0"/>
        <v>17.503475535803446</v>
      </c>
      <c r="AB18" s="5">
        <f t="shared" si="0"/>
        <v>18.728718823309688</v>
      </c>
      <c r="AC18" s="5">
        <f t="shared" si="0"/>
        <v>20.039729140941368</v>
      </c>
      <c r="AD18" s="5">
        <f t="shared" si="0"/>
        <v>21.041715597988439</v>
      </c>
      <c r="AE18" s="5">
        <f t="shared" si="0"/>
        <v>22.093801377887861</v>
      </c>
      <c r="AF18" s="5">
        <f t="shared" si="0"/>
        <v>23.198491446782256</v>
      </c>
      <c r="AG18" s="5">
        <f t="shared" si="0"/>
        <v>24.358416019121371</v>
      </c>
      <c r="AH18" s="5">
        <f t="shared" si="0"/>
        <v>25.57633682007744</v>
      </c>
      <c r="AI18" s="5">
        <f t="shared" si="0"/>
        <v>26.855153661081314</v>
      </c>
      <c r="AJ18" s="5">
        <f t="shared" si="0"/>
        <v>28.197911344135381</v>
      </c>
      <c r="AK18" s="5">
        <f t="shared" si="0"/>
        <v>29.607806911342152</v>
      </c>
      <c r="AL18" s="5">
        <f t="shared" si="0"/>
        <v>31.088197256909261</v>
      </c>
      <c r="AM18" s="5">
        <f t="shared" si="0"/>
        <v>32.642607119754729</v>
      </c>
      <c r="AN18" s="5">
        <f t="shared" si="0"/>
        <v>31.989754977359635</v>
      </c>
      <c r="AO18" s="5">
        <f t="shared" si="0"/>
        <v>31.349959877812442</v>
      </c>
      <c r="AP18" s="5">
        <f t="shared" si="0"/>
        <v>30.722960680256193</v>
      </c>
      <c r="AQ18" s="5">
        <f t="shared" si="0"/>
        <v>30.10850146665107</v>
      </c>
      <c r="AR18" s="5">
        <f t="shared" si="0"/>
        <v>29.50633143731805</v>
      </c>
      <c r="AS18" s="5">
        <f t="shared" si="0"/>
        <v>28.916204808571688</v>
      </c>
      <c r="AT18" s="5">
        <f t="shared" si="0"/>
        <v>28.337880712400253</v>
      </c>
      <c r="AU18" s="5">
        <f t="shared" si="0"/>
        <v>27.771123098152248</v>
      </c>
      <c r="AV18" s="5">
        <f t="shared" si="0"/>
        <v>27.215700636189204</v>
      </c>
      <c r="AW18" s="5">
        <f t="shared" si="0"/>
        <v>26.67138662346542</v>
      </c>
      <c r="AX18" s="5">
        <f t="shared" si="0"/>
        <v>26.13795889099611</v>
      </c>
      <c r="AY18" s="5">
        <f t="shared" si="0"/>
        <v>25.615199713176189</v>
      </c>
      <c r="AZ18" s="5">
        <f t="shared" si="0"/>
        <v>25.102895718912663</v>
      </c>
      <c r="BA18" s="5">
        <f t="shared" si="0"/>
        <v>24.600837804534411</v>
      </c>
      <c r="BB18" s="5">
        <f t="shared" si="0"/>
        <v>24.108821048443723</v>
      </c>
      <c r="BC18" s="5">
        <f t="shared" si="0"/>
        <v>23.626644627474846</v>
      </c>
      <c r="BD18" s="5">
        <f t="shared" si="0"/>
        <v>23.154111734925348</v>
      </c>
      <c r="BE18" s="5">
        <f t="shared" si="0"/>
        <v>22.69102950022684</v>
      </c>
      <c r="BF18" s="5">
        <f t="shared" si="0"/>
        <v>22.237208910222304</v>
      </c>
      <c r="BG18" s="5">
        <f t="shared" si="0"/>
        <v>21.792464732017859</v>
      </c>
      <c r="BH18" s="5">
        <f t="shared" si="0"/>
        <v>21.356615437377503</v>
      </c>
      <c r="BI18" s="5">
        <f t="shared" si="0"/>
        <v>20.929483128629954</v>
      </c>
      <c r="BJ18" s="5">
        <f t="shared" si="0"/>
        <v>20.510893466057354</v>
      </c>
      <c r="BK18" s="5">
        <f t="shared" si="0"/>
        <v>20.100675596736206</v>
      </c>
      <c r="BL18" s="5">
        <f t="shared" si="0"/>
        <v>19.69866208480148</v>
      </c>
      <c r="BM18" s="5">
        <f t="shared" si="0"/>
        <v>19.304688843105449</v>
      </c>
      <c r="BN18" s="5">
        <f t="shared" si="0"/>
        <v>18.918595066243341</v>
      </c>
      <c r="BO18" s="5">
        <f t="shared" si="0"/>
        <v>18.540223164918473</v>
      </c>
      <c r="BP18" s="5">
        <f t="shared" si="0"/>
        <v>18.169418701620103</v>
      </c>
      <c r="BQ18" s="5">
        <f t="shared" si="0"/>
        <v>17.806030327587699</v>
      </c>
      <c r="BR18" s="5">
        <f t="shared" si="0"/>
        <v>17.449909721035944</v>
      </c>
      <c r="BS18" s="5">
        <f t="shared" si="0"/>
        <v>17.100911526615224</v>
      </c>
      <c r="BT18" s="5">
        <f t="shared" si="0"/>
        <v>16.75889329608292</v>
      </c>
      <c r="BU18" s="5">
        <f t="shared" si="0"/>
        <v>16.423715430161263</v>
      </c>
      <c r="BV18" s="5">
        <f t="shared" si="0"/>
        <v>16.095241121558036</v>
      </c>
      <c r="BW18" s="5">
        <f t="shared" ref="BW18:CF18" si="1">IF(BW17&lt;=10,BV18*($B$7+1),IF(AND(BW17&gt;10,BW17&lt;=20),BV18*($B$8+1), IF(AND(BW17&gt;20,BW17&lt;=30),BV18*($B$9+1),IF(AND(BW17&gt;30,BW17&lt;=75),BV18*($B$10+1)))))</f>
        <v>15.773336299126875</v>
      </c>
      <c r="BX18" s="5">
        <f t="shared" si="1"/>
        <v>15.457869573144338</v>
      </c>
      <c r="BY18" s="5">
        <f t="shared" si="1"/>
        <v>15.14871218168145</v>
      </c>
      <c r="BZ18" s="5">
        <f t="shared" si="1"/>
        <v>14.84573793804782</v>
      </c>
      <c r="CA18" s="5">
        <f t="shared" si="1"/>
        <v>14.548823179286863</v>
      </c>
      <c r="CB18" s="5">
        <f t="shared" si="1"/>
        <v>14.257846715701126</v>
      </c>
      <c r="CC18" s="5">
        <f t="shared" si="1"/>
        <v>13.972689781387103</v>
      </c>
      <c r="CD18" s="5">
        <f t="shared" si="1"/>
        <v>13.693235985759362</v>
      </c>
      <c r="CE18" s="5">
        <f t="shared" si="1"/>
        <v>13.419371266044175</v>
      </c>
      <c r="CF18" s="5">
        <f t="shared" si="1"/>
        <v>13.150983840723292</v>
      </c>
    </row>
    <row r="19" spans="1:84" x14ac:dyDescent="0.2">
      <c r="B19" s="2">
        <f t="shared" ref="B19:I19" si="2">(B18-A18)/A18</f>
        <v>-0.10126582278481021</v>
      </c>
      <c r="C19" s="2">
        <f t="shared" si="2"/>
        <v>0.13380281690140858</v>
      </c>
      <c r="D19" s="2">
        <f t="shared" si="2"/>
        <v>0.43478260869565211</v>
      </c>
      <c r="E19" s="2">
        <f t="shared" si="2"/>
        <v>-9.9567099567099554E-2</v>
      </c>
      <c r="F19" s="2">
        <f t="shared" si="2"/>
        <v>0.10576923076923064</v>
      </c>
      <c r="G19" s="2">
        <f t="shared" si="2"/>
        <v>0.29565217391304355</v>
      </c>
      <c r="H19" s="2">
        <f t="shared" si="2"/>
        <v>-3.3557046979865056E-3</v>
      </c>
      <c r="I19" s="2">
        <f t="shared" si="2"/>
        <v>-49.996632996632997</v>
      </c>
    </row>
    <row r="20" spans="1:84" x14ac:dyDescent="0.2">
      <c r="D20" s="4">
        <f t="shared" ref="D20:I20" si="3">AVERAGE(B19:D19)</f>
        <v>0.15577320093741684</v>
      </c>
      <c r="E20" s="4">
        <f t="shared" si="3"/>
        <v>0.15633944200998706</v>
      </c>
      <c r="F20" s="4">
        <f t="shared" si="3"/>
        <v>0.14699491329926107</v>
      </c>
      <c r="G20" s="4">
        <f t="shared" si="3"/>
        <v>0.10061810170505821</v>
      </c>
      <c r="H20" s="4">
        <f t="shared" si="3"/>
        <v>0.13268856666142922</v>
      </c>
      <c r="I20" s="4">
        <f t="shared" si="3"/>
        <v>-16.568112175805979</v>
      </c>
    </row>
    <row r="22" spans="1:84" x14ac:dyDescent="0.2">
      <c r="H22" t="s">
        <v>3</v>
      </c>
      <c r="I22" s="5">
        <f>SUM(J22:CF22)</f>
        <v>128.13371638692564</v>
      </c>
      <c r="J22" s="5">
        <f>J18/((1+$B$12)^J17)</f>
        <v>3.370275229357798</v>
      </c>
      <c r="K22" s="5">
        <f t="shared" ref="K22:BV22" si="4">K18/((1+$B$12)^K17)</f>
        <v>3.4630350980557192</v>
      </c>
      <c r="L22" s="5">
        <f t="shared" si="4"/>
        <v>3.558347990662758</v>
      </c>
      <c r="M22" s="5">
        <f t="shared" si="4"/>
        <v>3.6562841738920087</v>
      </c>
      <c r="N22" s="5">
        <f t="shared" si="4"/>
        <v>3.7569158484027976</v>
      </c>
      <c r="O22" s="5">
        <f t="shared" si="4"/>
        <v>3.860317202028563</v>
      </c>
      <c r="P22" s="5">
        <f t="shared" si="4"/>
        <v>3.9665644644697169</v>
      </c>
      <c r="Q22" s="5">
        <f t="shared" si="4"/>
        <v>4.0757359634918187</v>
      </c>
      <c r="R22" s="5">
        <f t="shared" si="4"/>
        <v>4.1879121826704928</v>
      </c>
      <c r="S22" s="5">
        <f t="shared" si="4"/>
        <v>4.3031758207256434</v>
      </c>
      <c r="T22" s="5">
        <f t="shared" si="4"/>
        <v>4.2242184662169162</v>
      </c>
      <c r="U22" s="5">
        <f t="shared" si="4"/>
        <v>4.1467098705065153</v>
      </c>
      <c r="V22" s="5">
        <f t="shared" si="4"/>
        <v>4.0706234508641934</v>
      </c>
      <c r="W22" s="5">
        <f t="shared" si="4"/>
        <v>3.9959331123162265</v>
      </c>
      <c r="X22" s="5">
        <f t="shared" si="4"/>
        <v>3.9226132386957455</v>
      </c>
      <c r="Y22" s="5">
        <f t="shared" si="4"/>
        <v>3.8506386838572912</v>
      </c>
      <c r="Z22" s="5">
        <f t="shared" si="4"/>
        <v>3.7799847630525707</v>
      </c>
      <c r="AA22" s="5">
        <f t="shared" si="4"/>
        <v>3.7106272444644497</v>
      </c>
      <c r="AB22" s="5">
        <f t="shared" si="4"/>
        <v>3.6425423408962945</v>
      </c>
      <c r="AC22" s="5">
        <f t="shared" si="4"/>
        <v>3.5757067016137944</v>
      </c>
      <c r="AD22" s="5">
        <f t="shared" si="4"/>
        <v>3.4444881070591591</v>
      </c>
      <c r="AE22" s="5">
        <f t="shared" si="4"/>
        <v>3.3180848737725843</v>
      </c>
      <c r="AF22" s="5">
        <f t="shared" si="4"/>
        <v>3.1963202912488202</v>
      </c>
      <c r="AG22" s="5">
        <f t="shared" si="4"/>
        <v>3.0790241337717994</v>
      </c>
      <c r="AH22" s="5">
        <f t="shared" si="4"/>
        <v>2.966032422440724</v>
      </c>
      <c r="AI22" s="5">
        <f t="shared" si="4"/>
        <v>2.8571871959291375</v>
      </c>
      <c r="AJ22" s="5">
        <f t="shared" si="4"/>
        <v>2.7523362896565091</v>
      </c>
      <c r="AK22" s="5">
        <f t="shared" si="4"/>
        <v>2.6513331230636097</v>
      </c>
      <c r="AL22" s="5">
        <f t="shared" si="4"/>
        <v>2.5540364946943028</v>
      </c>
      <c r="AM22" s="5">
        <f t="shared" si="4"/>
        <v>2.460310384797264</v>
      </c>
      <c r="AN22" s="5">
        <f t="shared" si="4"/>
        <v>2.2120221808268981</v>
      </c>
      <c r="AO22" s="5">
        <f t="shared" si="4"/>
        <v>1.9887905845966607</v>
      </c>
      <c r="AP22" s="5">
        <f t="shared" si="4"/>
        <v>1.788086947619016</v>
      </c>
      <c r="AQ22" s="5">
        <f t="shared" si="4"/>
        <v>1.6076378061161793</v>
      </c>
      <c r="AR22" s="5">
        <f t="shared" si="4"/>
        <v>1.4453991284347301</v>
      </c>
      <c r="AS22" s="5">
        <f t="shared" si="4"/>
        <v>1.2995331613449865</v>
      </c>
      <c r="AT22" s="5">
        <f t="shared" si="4"/>
        <v>1.1683876129523731</v>
      </c>
      <c r="AU22" s="5">
        <f t="shared" si="4"/>
        <v>1.050476936415895</v>
      </c>
      <c r="AV22" s="5">
        <f t="shared" si="4"/>
        <v>0.94446550246566718</v>
      </c>
      <c r="AW22" s="5">
        <f t="shared" si="4"/>
        <v>0.84915247010674655</v>
      </c>
      <c r="AX22" s="5">
        <f t="shared" si="4"/>
        <v>0.76345818413267108</v>
      </c>
      <c r="AY22" s="5">
        <f t="shared" si="4"/>
        <v>0.68641194536698869</v>
      </c>
      <c r="AZ22" s="5">
        <f t="shared" si="4"/>
        <v>0.61714101510059527</v>
      </c>
      <c r="BA22" s="5">
        <f t="shared" si="4"/>
        <v>0.55486072917301232</v>
      </c>
      <c r="BB22" s="5">
        <f t="shared" si="4"/>
        <v>0.49886560971518523</v>
      </c>
      <c r="BC22" s="5">
        <f t="shared" si="4"/>
        <v>0.44852137387236835</v>
      </c>
      <c r="BD22" s="5">
        <f t="shared" si="4"/>
        <v>0.40325774898616601</v>
      </c>
      <c r="BE22" s="5">
        <f t="shared" si="4"/>
        <v>0.36256201284994738</v>
      </c>
      <c r="BF22" s="5">
        <f t="shared" si="4"/>
        <v>0.32597318586509033</v>
      </c>
      <c r="BG22" s="5">
        <f t="shared" si="4"/>
        <v>0.29307680930989766</v>
      </c>
      <c r="BH22" s="5">
        <f t="shared" si="4"/>
        <v>0.26350025057220156</v>
      </c>
      <c r="BI22" s="5">
        <f t="shared" si="4"/>
        <v>0.23690848216583266</v>
      </c>
      <c r="BJ22" s="5">
        <f t="shared" si="4"/>
        <v>0.21300028671790455</v>
      </c>
      <c r="BK22" s="5">
        <f t="shared" si="4"/>
        <v>0.19150484493903341</v>
      </c>
      <c r="BL22" s="5">
        <f t="shared" si="4"/>
        <v>0.17217866792683739</v>
      </c>
      <c r="BM22" s="5">
        <f t="shared" si="4"/>
        <v>0.1548028390534868</v>
      </c>
      <c r="BN22" s="5">
        <f t="shared" si="4"/>
        <v>0.13918053419487803</v>
      </c>
      <c r="BO22" s="5">
        <f t="shared" si="4"/>
        <v>0.12513479221190868</v>
      </c>
      <c r="BP22" s="5">
        <f t="shared" si="4"/>
        <v>0.11250651042905549</v>
      </c>
      <c r="BQ22" s="5">
        <f t="shared" si="4"/>
        <v>0.10115264240410493</v>
      </c>
      <c r="BR22" s="5">
        <f t="shared" si="4"/>
        <v>9.0944577574332858E-2</v>
      </c>
      <c r="BS22" s="5">
        <f t="shared" si="4"/>
        <v>8.1766684424629518E-2</v>
      </c>
      <c r="BT22" s="5">
        <f t="shared" si="4"/>
        <v>7.3515000675354991E-2</v>
      </c>
      <c r="BU22" s="5">
        <f t="shared" si="4"/>
        <v>6.6096055653071459E-2</v>
      </c>
      <c r="BV22" s="5">
        <f t="shared" si="4"/>
        <v>5.9425811504596353E-2</v>
      </c>
      <c r="BW22" s="5">
        <f t="shared" ref="BW22:CF22" si="5">BW18/((1+$B$12)^BW17)</f>
        <v>5.3428711261013229E-2</v>
      </c>
      <c r="BX22" s="5">
        <f t="shared" si="5"/>
        <v>4.8036822968617401E-2</v>
      </c>
      <c r="BY22" s="5">
        <f t="shared" si="5"/>
        <v>4.3189070191967931E-2</v>
      </c>
      <c r="BZ22" s="5">
        <f t="shared" si="5"/>
        <v>3.8830540172595018E-2</v>
      </c>
      <c r="CA22" s="5">
        <f t="shared" si="5"/>
        <v>3.4911861806553313E-2</v>
      </c>
      <c r="CB22" s="5">
        <f t="shared" si="5"/>
        <v>3.1388646394882792E-2</v>
      </c>
      <c r="CC22" s="5">
        <f t="shared" si="5"/>
        <v>2.8220984832096455E-2</v>
      </c>
      <c r="CD22" s="5">
        <f t="shared" si="5"/>
        <v>2.5372995537114244E-2</v>
      </c>
      <c r="CE22" s="5">
        <f t="shared" si="5"/>
        <v>2.2812418005845832E-2</v>
      </c>
      <c r="CF22" s="5">
        <f t="shared" si="5"/>
        <v>2.0510247381402676E-2</v>
      </c>
    </row>
    <row r="23" spans="1:84" x14ac:dyDescent="0.2">
      <c r="H23" t="s">
        <v>21</v>
      </c>
      <c r="I23" s="5">
        <f>I22-B4</f>
        <v>-17.386283613074369</v>
      </c>
    </row>
    <row r="24" spans="1:84" x14ac:dyDescent="0.2">
      <c r="H24" t="s">
        <v>9</v>
      </c>
      <c r="I24" s="4">
        <f>IRR(I18:CF18)</f>
        <v>8.28577708628222E-2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7A1D-A8E9-AC45-87BB-FAC70B9325EC}">
  <dimension ref="A3:CF24"/>
  <sheetViews>
    <sheetView workbookViewId="0">
      <selection activeCell="I42" sqref="I42"/>
    </sheetView>
  </sheetViews>
  <sheetFormatPr baseColWidth="10" defaultRowHeight="16" x14ac:dyDescent="0.2"/>
  <cols>
    <col min="8" max="8" width="12.5" bestFit="1" customWidth="1"/>
    <col min="9" max="9" width="11.6640625" bestFit="1" customWidth="1"/>
  </cols>
  <sheetData>
    <row r="3" spans="1:2" x14ac:dyDescent="0.2">
      <c r="B3" t="s">
        <v>20</v>
      </c>
    </row>
    <row r="4" spans="1:2" x14ac:dyDescent="0.2">
      <c r="A4" t="s">
        <v>12</v>
      </c>
      <c r="B4" s="6">
        <v>2697.09</v>
      </c>
    </row>
    <row r="5" spans="1:2" x14ac:dyDescent="0.2">
      <c r="A5" t="s">
        <v>13</v>
      </c>
      <c r="B5" s="5">
        <v>58.61</v>
      </c>
    </row>
    <row r="6" spans="1:2" x14ac:dyDescent="0.2">
      <c r="A6" t="s">
        <v>14</v>
      </c>
    </row>
    <row r="7" spans="1:2" x14ac:dyDescent="0.2">
      <c r="A7" t="s">
        <v>15</v>
      </c>
      <c r="B7" s="1">
        <v>0.15</v>
      </c>
    </row>
    <row r="8" spans="1:2" x14ac:dyDescent="0.2">
      <c r="A8" t="s">
        <v>16</v>
      </c>
      <c r="B8" s="1">
        <v>0.09</v>
      </c>
    </row>
    <row r="9" spans="1:2" x14ac:dyDescent="0.2">
      <c r="A9" t="s">
        <v>17</v>
      </c>
      <c r="B9" s="1">
        <v>0.03</v>
      </c>
    </row>
    <row r="10" spans="1:2" x14ac:dyDescent="0.2">
      <c r="A10" t="s">
        <v>18</v>
      </c>
      <c r="B10" s="1">
        <v>-0.02</v>
      </c>
    </row>
    <row r="12" spans="1:2" x14ac:dyDescent="0.2">
      <c r="A12" t="s">
        <v>4</v>
      </c>
      <c r="B12" s="4">
        <v>0.09</v>
      </c>
    </row>
    <row r="17" spans="1:84" x14ac:dyDescent="0.2">
      <c r="A17">
        <v>-8</v>
      </c>
      <c r="B17">
        <v>-7</v>
      </c>
      <c r="C17">
        <v>-6</v>
      </c>
      <c r="D17">
        <v>-5</v>
      </c>
      <c r="E17">
        <v>-4</v>
      </c>
      <c r="F17">
        <v>-3</v>
      </c>
      <c r="G17">
        <v>-2</v>
      </c>
      <c r="H17">
        <v>-1</v>
      </c>
      <c r="I17">
        <v>0</v>
      </c>
      <c r="J17" cm="1">
        <f t="array" ref="J17:CF17">_xlfn.SEQUENCE(1,75,1,1)</f>
        <v>1</v>
      </c>
      <c r="K17">
        <v>2</v>
      </c>
      <c r="L17">
        <v>3</v>
      </c>
      <c r="M17">
        <v>4</v>
      </c>
      <c r="N17">
        <v>5</v>
      </c>
      <c r="O17">
        <v>6</v>
      </c>
      <c r="P17">
        <v>7</v>
      </c>
      <c r="Q17">
        <v>8</v>
      </c>
      <c r="R17">
        <v>9</v>
      </c>
      <c r="S17">
        <v>10</v>
      </c>
      <c r="T17">
        <v>11</v>
      </c>
      <c r="U17">
        <v>12</v>
      </c>
      <c r="V17">
        <v>13</v>
      </c>
      <c r="W17">
        <v>14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20</v>
      </c>
      <c r="AD17">
        <v>21</v>
      </c>
      <c r="AE17">
        <v>22</v>
      </c>
      <c r="AF17">
        <v>23</v>
      </c>
      <c r="AG17">
        <v>24</v>
      </c>
      <c r="AH17">
        <v>25</v>
      </c>
      <c r="AI17">
        <v>26</v>
      </c>
      <c r="AJ17">
        <v>27</v>
      </c>
      <c r="AK17">
        <v>28</v>
      </c>
      <c r="AL17">
        <v>29</v>
      </c>
      <c r="AM17">
        <v>30</v>
      </c>
      <c r="AN17">
        <v>31</v>
      </c>
      <c r="AO17">
        <v>32</v>
      </c>
      <c r="AP17">
        <v>33</v>
      </c>
      <c r="AQ17">
        <v>34</v>
      </c>
      <c r="AR17">
        <v>35</v>
      </c>
      <c r="AS17">
        <v>36</v>
      </c>
      <c r="AT17">
        <v>37</v>
      </c>
      <c r="AU17">
        <v>38</v>
      </c>
      <c r="AV17">
        <v>39</v>
      </c>
      <c r="AW17">
        <v>40</v>
      </c>
      <c r="AX17">
        <v>41</v>
      </c>
      <c r="AY17">
        <v>42</v>
      </c>
      <c r="AZ17">
        <v>43</v>
      </c>
      <c r="BA17">
        <v>44</v>
      </c>
      <c r="BB17">
        <v>45</v>
      </c>
      <c r="BC17">
        <v>46</v>
      </c>
      <c r="BD17">
        <v>47</v>
      </c>
      <c r="BE17">
        <v>48</v>
      </c>
      <c r="BF17">
        <v>49</v>
      </c>
      <c r="BG17">
        <v>50</v>
      </c>
      <c r="BH17">
        <v>51</v>
      </c>
      <c r="BI17">
        <v>52</v>
      </c>
      <c r="BJ17">
        <v>53</v>
      </c>
      <c r="BK17">
        <v>54</v>
      </c>
      <c r="BL17">
        <v>55</v>
      </c>
      <c r="BM17">
        <v>56</v>
      </c>
      <c r="BN17">
        <v>57</v>
      </c>
      <c r="BO17">
        <v>58</v>
      </c>
      <c r="BP17">
        <v>59</v>
      </c>
      <c r="BQ17">
        <v>60</v>
      </c>
      <c r="BR17">
        <v>61</v>
      </c>
      <c r="BS17">
        <v>62</v>
      </c>
      <c r="BT17">
        <v>63</v>
      </c>
      <c r="BU17">
        <v>64</v>
      </c>
      <c r="BV17">
        <v>65</v>
      </c>
      <c r="BW17">
        <v>66</v>
      </c>
      <c r="BX17">
        <v>67</v>
      </c>
      <c r="BY17">
        <v>68</v>
      </c>
      <c r="BZ17">
        <v>69</v>
      </c>
      <c r="CA17">
        <v>70</v>
      </c>
      <c r="CB17">
        <v>71</v>
      </c>
      <c r="CC17">
        <v>72</v>
      </c>
      <c r="CD17">
        <v>73</v>
      </c>
      <c r="CE17">
        <v>74</v>
      </c>
      <c r="CF17">
        <v>75</v>
      </c>
    </row>
    <row r="18" spans="1:84" x14ac:dyDescent="0.2">
      <c r="A18">
        <v>16.16</v>
      </c>
      <c r="B18">
        <v>18.79</v>
      </c>
      <c r="C18">
        <v>20.57</v>
      </c>
      <c r="D18">
        <v>22.84</v>
      </c>
      <c r="E18">
        <v>27.85</v>
      </c>
      <c r="F18">
        <v>18</v>
      </c>
      <c r="G18">
        <v>43.7</v>
      </c>
      <c r="H18">
        <v>49.16</v>
      </c>
      <c r="I18" s="6">
        <f>-B4</f>
        <v>-2697.09</v>
      </c>
      <c r="J18" s="5">
        <f>IF(J17&lt;=10,B5*($B$7+1),IF(AND(J17&gt;10,J17&lt;=20),I18*($B$8+1), IF(AND(J17&gt;20,J17&lt;=30),I18*($B$9+1),IF(AND(J17&gt;30,J17&lt;=75),I18*($B$10+1)))))</f>
        <v>67.401499999999999</v>
      </c>
      <c r="K18" s="5">
        <f t="shared" ref="K18:BV18" si="0">IF(K17&lt;=10,J18*($B$7+1),IF(AND(K17&gt;10,K17&lt;=20),J18*($B$8+1), IF(AND(K17&gt;20,K17&lt;=30),J18*($B$9+1),IF(AND(K17&gt;30,K17&lt;=75),J18*($B$10+1)))))</f>
        <v>77.511724999999998</v>
      </c>
      <c r="L18" s="5">
        <f t="shared" si="0"/>
        <v>89.138483749999992</v>
      </c>
      <c r="M18" s="5">
        <f t="shared" si="0"/>
        <v>102.50925631249999</v>
      </c>
      <c r="N18" s="5">
        <f t="shared" si="0"/>
        <v>117.88564475937497</v>
      </c>
      <c r="O18" s="5">
        <f t="shared" si="0"/>
        <v>135.5684914732812</v>
      </c>
      <c r="P18" s="5">
        <f t="shared" si="0"/>
        <v>155.90376519427338</v>
      </c>
      <c r="Q18" s="5">
        <f t="shared" si="0"/>
        <v>179.28932997341437</v>
      </c>
      <c r="R18" s="5">
        <f t="shared" si="0"/>
        <v>206.1827294694265</v>
      </c>
      <c r="S18" s="5">
        <f t="shared" si="0"/>
        <v>237.11013888984047</v>
      </c>
      <c r="T18" s="5">
        <f t="shared" si="0"/>
        <v>258.45005138992616</v>
      </c>
      <c r="U18" s="5">
        <f t="shared" si="0"/>
        <v>281.71055601501951</v>
      </c>
      <c r="V18" s="5">
        <f t="shared" si="0"/>
        <v>307.06450605637127</v>
      </c>
      <c r="W18" s="5">
        <f t="shared" si="0"/>
        <v>334.7003116014447</v>
      </c>
      <c r="X18" s="5">
        <f t="shared" si="0"/>
        <v>364.82333964557472</v>
      </c>
      <c r="Y18" s="5">
        <f t="shared" si="0"/>
        <v>397.65744021367647</v>
      </c>
      <c r="Z18" s="5">
        <f t="shared" si="0"/>
        <v>433.44660983290737</v>
      </c>
      <c r="AA18" s="5">
        <f t="shared" si="0"/>
        <v>472.45680471786909</v>
      </c>
      <c r="AB18" s="5">
        <f t="shared" si="0"/>
        <v>514.97791714247739</v>
      </c>
      <c r="AC18" s="5">
        <f t="shared" si="0"/>
        <v>561.32592968530037</v>
      </c>
      <c r="AD18" s="5">
        <f t="shared" si="0"/>
        <v>578.16570757585941</v>
      </c>
      <c r="AE18" s="5">
        <f t="shared" si="0"/>
        <v>595.51067880313519</v>
      </c>
      <c r="AF18" s="5">
        <f t="shared" si="0"/>
        <v>613.37599916722922</v>
      </c>
      <c r="AG18" s="5">
        <f t="shared" si="0"/>
        <v>631.77727914224613</v>
      </c>
      <c r="AH18" s="5">
        <f t="shared" si="0"/>
        <v>650.73059751651351</v>
      </c>
      <c r="AI18" s="5">
        <f t="shared" si="0"/>
        <v>670.25251544200898</v>
      </c>
      <c r="AJ18" s="5">
        <f t="shared" si="0"/>
        <v>690.36009090526932</v>
      </c>
      <c r="AK18" s="5">
        <f t="shared" si="0"/>
        <v>711.07089363242744</v>
      </c>
      <c r="AL18" s="5">
        <f t="shared" si="0"/>
        <v>732.40302044140026</v>
      </c>
      <c r="AM18" s="5">
        <f t="shared" si="0"/>
        <v>754.37511105464228</v>
      </c>
      <c r="AN18" s="5">
        <f t="shared" si="0"/>
        <v>739.28760883354937</v>
      </c>
      <c r="AO18" s="5">
        <f t="shared" si="0"/>
        <v>724.50185665687832</v>
      </c>
      <c r="AP18" s="5">
        <f t="shared" si="0"/>
        <v>710.01181952374077</v>
      </c>
      <c r="AQ18" s="5">
        <f t="shared" si="0"/>
        <v>695.81158313326591</v>
      </c>
      <c r="AR18" s="5">
        <f t="shared" si="0"/>
        <v>681.89535147060053</v>
      </c>
      <c r="AS18" s="5">
        <f t="shared" si="0"/>
        <v>668.25744444118845</v>
      </c>
      <c r="AT18" s="5">
        <f t="shared" si="0"/>
        <v>654.89229555236466</v>
      </c>
      <c r="AU18" s="5">
        <f t="shared" si="0"/>
        <v>641.79444964131733</v>
      </c>
      <c r="AV18" s="5">
        <f t="shared" si="0"/>
        <v>628.95856064849102</v>
      </c>
      <c r="AW18" s="5">
        <f t="shared" si="0"/>
        <v>616.37938943552115</v>
      </c>
      <c r="AX18" s="5">
        <f t="shared" si="0"/>
        <v>604.05180164681076</v>
      </c>
      <c r="AY18" s="5">
        <f t="shared" si="0"/>
        <v>591.97076561387451</v>
      </c>
      <c r="AZ18" s="5">
        <f t="shared" si="0"/>
        <v>580.13135030159697</v>
      </c>
      <c r="BA18" s="5">
        <f t="shared" si="0"/>
        <v>568.52872329556499</v>
      </c>
      <c r="BB18" s="5">
        <f t="shared" si="0"/>
        <v>557.15814882965367</v>
      </c>
      <c r="BC18" s="5">
        <f t="shared" si="0"/>
        <v>546.01498585306058</v>
      </c>
      <c r="BD18" s="5">
        <f t="shared" si="0"/>
        <v>535.09468613599938</v>
      </c>
      <c r="BE18" s="5">
        <f t="shared" si="0"/>
        <v>524.39279241327938</v>
      </c>
      <c r="BF18" s="5">
        <f t="shared" si="0"/>
        <v>513.90493656501383</v>
      </c>
      <c r="BG18" s="5">
        <f t="shared" si="0"/>
        <v>503.62683783371352</v>
      </c>
      <c r="BH18" s="5">
        <f t="shared" si="0"/>
        <v>493.55430107703927</v>
      </c>
      <c r="BI18" s="5">
        <f t="shared" si="0"/>
        <v>483.68321505549847</v>
      </c>
      <c r="BJ18" s="5">
        <f t="shared" si="0"/>
        <v>474.0095507543885</v>
      </c>
      <c r="BK18" s="5">
        <f t="shared" si="0"/>
        <v>464.52935973930073</v>
      </c>
      <c r="BL18" s="5">
        <f t="shared" si="0"/>
        <v>455.23877254451469</v>
      </c>
      <c r="BM18" s="5">
        <f t="shared" si="0"/>
        <v>446.13399709362437</v>
      </c>
      <c r="BN18" s="5">
        <f t="shared" si="0"/>
        <v>437.21131715175187</v>
      </c>
      <c r="BO18" s="5">
        <f t="shared" si="0"/>
        <v>428.46709080871682</v>
      </c>
      <c r="BP18" s="5">
        <f t="shared" si="0"/>
        <v>419.89774899254246</v>
      </c>
      <c r="BQ18" s="5">
        <f t="shared" si="0"/>
        <v>411.49979401269161</v>
      </c>
      <c r="BR18" s="5">
        <f t="shared" si="0"/>
        <v>403.26979813243776</v>
      </c>
      <c r="BS18" s="5">
        <f t="shared" si="0"/>
        <v>395.20440216978898</v>
      </c>
      <c r="BT18" s="5">
        <f t="shared" si="0"/>
        <v>387.30031412639318</v>
      </c>
      <c r="BU18" s="5">
        <f t="shared" si="0"/>
        <v>379.55430784386533</v>
      </c>
      <c r="BV18" s="5">
        <f t="shared" si="0"/>
        <v>371.96322168698799</v>
      </c>
      <c r="BW18" s="5">
        <f t="shared" ref="BW18:CF18" si="1">IF(BW17&lt;=10,BV18*($B$7+1),IF(AND(BW17&gt;10,BW17&lt;=20),BV18*($B$8+1), IF(AND(BW17&gt;20,BW17&lt;=30),BV18*($B$9+1),IF(AND(BW17&gt;30,BW17&lt;=75),BV18*($B$10+1)))))</f>
        <v>364.52395725324823</v>
      </c>
      <c r="BX18" s="5">
        <f t="shared" si="1"/>
        <v>357.23347810818325</v>
      </c>
      <c r="BY18" s="5">
        <f t="shared" si="1"/>
        <v>350.08880854601955</v>
      </c>
      <c r="BZ18" s="5">
        <f t="shared" si="1"/>
        <v>343.08703237509917</v>
      </c>
      <c r="CA18" s="5">
        <f t="shared" si="1"/>
        <v>336.22529172759715</v>
      </c>
      <c r="CB18" s="5">
        <f t="shared" si="1"/>
        <v>329.50078589304519</v>
      </c>
      <c r="CC18" s="5">
        <f t="shared" si="1"/>
        <v>322.91077017518427</v>
      </c>
      <c r="CD18" s="5">
        <f t="shared" si="1"/>
        <v>316.45255477168058</v>
      </c>
      <c r="CE18" s="5">
        <f t="shared" si="1"/>
        <v>310.12350367624697</v>
      </c>
      <c r="CF18" s="5">
        <f t="shared" si="1"/>
        <v>303.92103360272205</v>
      </c>
    </row>
    <row r="19" spans="1:84" x14ac:dyDescent="0.2">
      <c r="B19" s="2">
        <f t="shared" ref="B19:I19" si="2">(B18-A18)/A18</f>
        <v>0.1627475247524752</v>
      </c>
      <c r="C19" s="2">
        <f t="shared" si="2"/>
        <v>9.473124002128798E-2</v>
      </c>
      <c r="D19" s="2">
        <f t="shared" si="2"/>
        <v>0.11035488575595526</v>
      </c>
      <c r="E19" s="2">
        <f t="shared" si="2"/>
        <v>0.21935201401050794</v>
      </c>
      <c r="F19" s="2">
        <f t="shared" si="2"/>
        <v>-0.35368043087971279</v>
      </c>
      <c r="G19" s="2">
        <f t="shared" si="2"/>
        <v>1.427777777777778</v>
      </c>
      <c r="H19" s="2">
        <f t="shared" si="2"/>
        <v>0.12494279176201357</v>
      </c>
      <c r="I19" s="2">
        <f t="shared" si="2"/>
        <v>-55.86350691619203</v>
      </c>
    </row>
    <row r="20" spans="1:84" x14ac:dyDescent="0.2">
      <c r="D20" s="4">
        <f t="shared" ref="D20:I20" si="3">AVERAGE(B19:D19)</f>
        <v>0.12261121684323949</v>
      </c>
      <c r="E20" s="4">
        <f t="shared" si="3"/>
        <v>0.14147937992925039</v>
      </c>
      <c r="F20" s="4">
        <f t="shared" si="3"/>
        <v>-7.9911770377498748E-3</v>
      </c>
      <c r="G20" s="4">
        <f t="shared" si="3"/>
        <v>0.43114978696952438</v>
      </c>
      <c r="H20" s="4">
        <f t="shared" si="3"/>
        <v>0.39968004622002629</v>
      </c>
      <c r="I20" s="4">
        <f t="shared" si="3"/>
        <v>-18.103595448884079</v>
      </c>
    </row>
    <row r="22" spans="1:84" x14ac:dyDescent="0.2">
      <c r="H22" t="s">
        <v>3</v>
      </c>
      <c r="I22" s="5">
        <f>SUM(J22:CF22)</f>
        <v>3043.5573373774869</v>
      </c>
      <c r="J22" s="5">
        <f>J18/((1+$B$12)^J17)</f>
        <v>61.836238532110087</v>
      </c>
      <c r="K22" s="5">
        <f t="shared" ref="K22:BV22" si="4">K18/((1+$B$12)^K17)</f>
        <v>65.240068176079447</v>
      </c>
      <c r="L22" s="5">
        <f t="shared" si="4"/>
        <v>68.831264589441602</v>
      </c>
      <c r="M22" s="5">
        <f t="shared" si="4"/>
        <v>72.620141539319121</v>
      </c>
      <c r="N22" s="5">
        <f t="shared" si="4"/>
        <v>76.617580523134833</v>
      </c>
      <c r="O22" s="5">
        <f t="shared" si="4"/>
        <v>80.835062019821137</v>
      </c>
      <c r="P22" s="5">
        <f t="shared" si="4"/>
        <v>85.284698461279191</v>
      </c>
      <c r="Q22" s="5">
        <f t="shared" si="4"/>
        <v>89.979269018780784</v>
      </c>
      <c r="R22" s="5">
        <f t="shared" si="4"/>
        <v>94.932256304218242</v>
      </c>
      <c r="S22" s="5">
        <f t="shared" si="4"/>
        <v>100.15788509160639</v>
      </c>
      <c r="T22" s="5">
        <f t="shared" si="4"/>
        <v>100.1578850916064</v>
      </c>
      <c r="U22" s="5">
        <f t="shared" si="4"/>
        <v>100.1578850916064</v>
      </c>
      <c r="V22" s="5">
        <f t="shared" si="4"/>
        <v>100.15788509160639</v>
      </c>
      <c r="W22" s="5">
        <f t="shared" si="4"/>
        <v>100.15788509160639</v>
      </c>
      <c r="X22" s="5">
        <f t="shared" si="4"/>
        <v>100.15788509160639</v>
      </c>
      <c r="Y22" s="5">
        <f t="shared" si="4"/>
        <v>100.15788509160639</v>
      </c>
      <c r="Z22" s="5">
        <f t="shared" si="4"/>
        <v>100.15788509160639</v>
      </c>
      <c r="AA22" s="5">
        <f t="shared" si="4"/>
        <v>100.15788509160639</v>
      </c>
      <c r="AB22" s="5">
        <f t="shared" si="4"/>
        <v>100.1578850916064</v>
      </c>
      <c r="AC22" s="5">
        <f t="shared" si="4"/>
        <v>100.1578850916064</v>
      </c>
      <c r="AD22" s="5">
        <f t="shared" si="4"/>
        <v>94.644607013169349</v>
      </c>
      <c r="AE22" s="5">
        <f t="shared" si="4"/>
        <v>89.434812131710473</v>
      </c>
      <c r="AF22" s="5">
        <f t="shared" si="4"/>
        <v>84.511794950148428</v>
      </c>
      <c r="AG22" s="5">
        <f t="shared" si="4"/>
        <v>79.859769540048518</v>
      </c>
      <c r="AH22" s="5">
        <f t="shared" si="4"/>
        <v>75.463818923165107</v>
      </c>
      <c r="AI22" s="5">
        <f t="shared" si="4"/>
        <v>71.309847239321144</v>
      </c>
      <c r="AJ22" s="5">
        <f t="shared" si="4"/>
        <v>67.384534547248435</v>
      </c>
      <c r="AK22" s="5">
        <f t="shared" si="4"/>
        <v>63.675294113454946</v>
      </c>
      <c r="AL22" s="5">
        <f t="shared" si="4"/>
        <v>60.17023205216384</v>
      </c>
      <c r="AM22" s="5">
        <f t="shared" si="4"/>
        <v>56.858109186907107</v>
      </c>
      <c r="AN22" s="5">
        <f t="shared" si="4"/>
        <v>51.120134865292627</v>
      </c>
      <c r="AO22" s="5">
        <f t="shared" si="4"/>
        <v>45.961222172464929</v>
      </c>
      <c r="AP22" s="5">
        <f t="shared" si="4"/>
        <v>41.322933696344613</v>
      </c>
      <c r="AQ22" s="5">
        <f t="shared" si="4"/>
        <v>37.152729378364874</v>
      </c>
      <c r="AR22" s="5">
        <f t="shared" si="4"/>
        <v>33.403371367704196</v>
      </c>
      <c r="AS22" s="5">
        <f t="shared" si="4"/>
        <v>30.032388936101015</v>
      </c>
      <c r="AT22" s="5">
        <f t="shared" si="4"/>
        <v>27.001597392090819</v>
      </c>
      <c r="AU22" s="5">
        <f t="shared" si="4"/>
        <v>24.276665545182567</v>
      </c>
      <c r="AV22" s="5">
        <f t="shared" si="4"/>
        <v>21.826726820439376</v>
      </c>
      <c r="AW22" s="5">
        <f t="shared" si="4"/>
        <v>19.624029618376682</v>
      </c>
      <c r="AX22" s="5">
        <f t="shared" si="4"/>
        <v>17.643622959641419</v>
      </c>
      <c r="AY22" s="5">
        <f t="shared" si="4"/>
        <v>15.863073853622559</v>
      </c>
      <c r="AZ22" s="5">
        <f t="shared" si="4"/>
        <v>14.26221318949551</v>
      </c>
      <c r="BA22" s="5">
        <f t="shared" si="4"/>
        <v>12.822907271289541</v>
      </c>
      <c r="BB22" s="5">
        <f t="shared" si="4"/>
        <v>11.528852409049309</v>
      </c>
      <c r="BC22" s="5">
        <f t="shared" si="4"/>
        <v>10.365390239328736</v>
      </c>
      <c r="BD22" s="5">
        <f t="shared" si="4"/>
        <v>9.3193416830662041</v>
      </c>
      <c r="BE22" s="5">
        <f t="shared" si="4"/>
        <v>8.378857660004476</v>
      </c>
      <c r="BF22" s="5">
        <f t="shared" si="4"/>
        <v>7.5332848686278782</v>
      </c>
      <c r="BG22" s="5">
        <f t="shared" si="4"/>
        <v>6.7730451112434116</v>
      </c>
      <c r="BH22" s="5">
        <f t="shared" si="4"/>
        <v>6.0895267972647185</v>
      </c>
      <c r="BI22" s="5">
        <f t="shared" si="4"/>
        <v>5.4749873957058934</v>
      </c>
      <c r="BJ22" s="5">
        <f t="shared" si="4"/>
        <v>4.9224657319190603</v>
      </c>
      <c r="BK22" s="5">
        <f t="shared" si="4"/>
        <v>4.4257031351198881</v>
      </c>
      <c r="BL22" s="5">
        <f t="shared" si="4"/>
        <v>3.9790725435022853</v>
      </c>
      <c r="BM22" s="5">
        <f t="shared" si="4"/>
        <v>3.577514763882788</v>
      </c>
      <c r="BN22" s="5">
        <f t="shared" si="4"/>
        <v>3.2164811638579187</v>
      </c>
      <c r="BO22" s="5">
        <f t="shared" si="4"/>
        <v>2.8918821473217986</v>
      </c>
      <c r="BP22" s="5">
        <f t="shared" si="4"/>
        <v>2.6000408297021673</v>
      </c>
      <c r="BQ22" s="5">
        <f t="shared" si="4"/>
        <v>2.3376513881725907</v>
      </c>
      <c r="BR22" s="5">
        <f t="shared" si="4"/>
        <v>2.1017416150542556</v>
      </c>
      <c r="BS22" s="5">
        <f t="shared" si="4"/>
        <v>1.8896392502322659</v>
      </c>
      <c r="BT22" s="5">
        <f t="shared" si="4"/>
        <v>1.6989417112180005</v>
      </c>
      <c r="BU22" s="5">
        <f t="shared" si="4"/>
        <v>1.5274888779758171</v>
      </c>
      <c r="BV22" s="5">
        <f t="shared" si="4"/>
        <v>1.3733386242351382</v>
      </c>
      <c r="BW22" s="5">
        <f t="shared" ref="BW22:CF22" si="5">BW18/((1+$B$12)^BW17)</f>
        <v>1.2347448181196652</v>
      </c>
      <c r="BX22" s="5">
        <f t="shared" si="5"/>
        <v>1.1101375428965798</v>
      </c>
      <c r="BY22" s="5">
        <f t="shared" si="5"/>
        <v>0.99810531379692469</v>
      </c>
      <c r="BZ22" s="5">
        <f t="shared" si="5"/>
        <v>0.89737908946879474</v>
      </c>
      <c r="CA22" s="5">
        <f t="shared" si="5"/>
        <v>0.80681789695359507</v>
      </c>
      <c r="CB22" s="5">
        <f t="shared" si="5"/>
        <v>0.72539590735277359</v>
      </c>
      <c r="CC22" s="5">
        <f t="shared" si="5"/>
        <v>0.65219081578506233</v>
      </c>
      <c r="CD22" s="5">
        <f t="shared" si="5"/>
        <v>0.58637339400858812</v>
      </c>
      <c r="CE22" s="5">
        <f t="shared" si="5"/>
        <v>0.52719809736551959</v>
      </c>
      <c r="CF22" s="5">
        <f t="shared" si="5"/>
        <v>0.47399461964973322</v>
      </c>
    </row>
    <row r="23" spans="1:84" x14ac:dyDescent="0.2">
      <c r="H23" t="s">
        <v>19</v>
      </c>
      <c r="I23" s="5">
        <f>I22-B4</f>
        <v>346.46733737748673</v>
      </c>
    </row>
    <row r="24" spans="1:84" x14ac:dyDescent="0.2">
      <c r="H24" t="s">
        <v>9</v>
      </c>
      <c r="I24" s="4">
        <f>IRR(I18:CF18)</f>
        <v>9.7015662179241957E-2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DCF_Model</vt:lpstr>
      <vt:lpstr>APPL_Intrinsic Value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Murtaza Vahanvaty</cp:lastModifiedBy>
  <dcterms:created xsi:type="dcterms:W3CDTF">2021-08-01T15:45:01Z</dcterms:created>
  <dcterms:modified xsi:type="dcterms:W3CDTF">2021-08-05T20:45:57Z</dcterms:modified>
</cp:coreProperties>
</file>