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ocuments\"/>
    </mc:Choice>
  </mc:AlternateContent>
  <bookViews>
    <workbookView xWindow="0" yWindow="0" windowWidth="15825" windowHeight="7815" firstSheet="5" activeTab="12"/>
  </bookViews>
  <sheets>
    <sheet name="bill" sheetId="2" r:id="rId1"/>
    <sheet name="Autofill" sheetId="1" r:id="rId2"/>
    <sheet name="MARKS" sheetId="5" r:id="rId3"/>
    <sheet name="ledger" sheetId="4" r:id="rId4"/>
    <sheet name="post" sheetId="7" r:id="rId5"/>
    <sheet name="sheet8" sheetId="8" r:id="rId6"/>
    <sheet name="salary sheet" sheetId="6" r:id="rId7"/>
    <sheet name="Sheet1" sheetId="9" r:id="rId8"/>
    <sheet name="sheet" sheetId="3" r:id="rId9"/>
    <sheet name="Sheet10" sheetId="10" r:id="rId10"/>
    <sheet name="Sheet2" sheetId="11" r:id="rId11"/>
    <sheet name="employee(R)" sheetId="12" r:id="rId12"/>
    <sheet name="SEARCH" sheetId="13" r:id="rId13"/>
  </sheets>
  <definedNames>
    <definedName name="_xlnm._FilterDatabase" localSheetId="11" hidden="1">'employee(R)'!$H$3:$H$12</definedName>
    <definedName name="item">bill!$I$3:$I$16</definedName>
    <definedName name="items">bill!$I$3:$J$16</definedName>
    <definedName name="LEDGER">ledger!$A$3:$M$14</definedName>
    <definedName name="MENU">bill!$I$3:$J$16</definedName>
    <definedName name="post">post!$D$6:$D$14</definedName>
    <definedName name="postsal">post!$D$6:$E$14</definedName>
  </definedNames>
  <calcPr calcId="152511"/>
</workbook>
</file>

<file path=xl/calcChain.xml><?xml version="1.0" encoding="utf-8"?>
<calcChain xmlns="http://schemas.openxmlformats.org/spreadsheetml/2006/main">
  <c r="G4" i="12" l="1"/>
  <c r="G5" i="12"/>
  <c r="G6" i="12"/>
  <c r="G7" i="12"/>
  <c r="G8" i="12"/>
  <c r="G9" i="12"/>
  <c r="G10" i="12"/>
  <c r="G11" i="12"/>
  <c r="G12" i="12"/>
  <c r="G3" i="12"/>
  <c r="N15" i="11" l="1"/>
  <c r="N14" i="11"/>
  <c r="N13" i="11"/>
  <c r="U5" i="11"/>
  <c r="W12" i="11"/>
  <c r="W6" i="11"/>
  <c r="W7" i="11"/>
  <c r="W8" i="11"/>
  <c r="W9" i="11"/>
  <c r="W10" i="11"/>
  <c r="W11" i="11"/>
  <c r="W5" i="11"/>
  <c r="M3" i="4"/>
  <c r="G13" i="11"/>
  <c r="G12" i="11"/>
  <c r="G11" i="11"/>
  <c r="G10" i="11"/>
  <c r="I6" i="11"/>
  <c r="I7" i="11"/>
  <c r="I8" i="11"/>
  <c r="I9" i="11"/>
  <c r="I5" i="11"/>
  <c r="S10" i="11" l="1"/>
  <c r="T10" i="11" s="1"/>
  <c r="S9" i="11"/>
  <c r="T9" i="11" s="1"/>
  <c r="S7" i="11"/>
  <c r="T7" i="11" s="1"/>
  <c r="S6" i="11"/>
  <c r="T6" i="11" s="1"/>
  <c r="S12" i="11"/>
  <c r="T12" i="11" s="1"/>
  <c r="S11" i="11"/>
  <c r="T11" i="11" s="1"/>
  <c r="S8" i="11"/>
  <c r="T8" i="11" s="1"/>
  <c r="S5" i="11"/>
  <c r="T5" i="11" s="1"/>
  <c r="H4" i="3"/>
  <c r="G4" i="3"/>
  <c r="F4" i="3"/>
  <c r="I5" i="3"/>
  <c r="I6" i="3"/>
  <c r="I7" i="3"/>
  <c r="I8" i="3"/>
  <c r="I9" i="3"/>
  <c r="I10" i="3"/>
  <c r="E2" i="8"/>
  <c r="H5" i="3"/>
  <c r="H6" i="3"/>
  <c r="H7" i="3"/>
  <c r="H8" i="3"/>
  <c r="H9" i="3"/>
  <c r="H10" i="3"/>
  <c r="G5" i="3"/>
  <c r="G6" i="3"/>
  <c r="G7" i="3"/>
  <c r="G8" i="3"/>
  <c r="G9" i="3"/>
  <c r="G10" i="3"/>
  <c r="F5" i="3"/>
  <c r="F6" i="3"/>
  <c r="F7" i="3"/>
  <c r="F8" i="3"/>
  <c r="F9" i="3"/>
  <c r="F10" i="3"/>
  <c r="D15" i="9"/>
  <c r="I24" i="9"/>
  <c r="I23" i="9"/>
  <c r="J22" i="9"/>
  <c r="K22" i="9"/>
  <c r="I22" i="9"/>
  <c r="J21" i="9"/>
  <c r="K21" i="9"/>
  <c r="I21" i="9"/>
  <c r="J20" i="9"/>
  <c r="K20" i="9"/>
  <c r="I20" i="9"/>
  <c r="J19" i="9"/>
  <c r="K19" i="9"/>
  <c r="I19" i="9"/>
  <c r="J18" i="9"/>
  <c r="K18" i="9"/>
  <c r="I18" i="9"/>
  <c r="D5" i="8"/>
  <c r="V5" i="11" l="1"/>
  <c r="V9" i="11"/>
  <c r="V8" i="11"/>
  <c r="V10" i="11"/>
  <c r="V11" i="11"/>
  <c r="V12" i="11"/>
  <c r="V6" i="11"/>
  <c r="V7" i="11"/>
  <c r="U10" i="11"/>
  <c r="U11" i="11"/>
  <c r="U12" i="11"/>
  <c r="U6" i="11"/>
  <c r="U9" i="11"/>
  <c r="U8" i="11"/>
  <c r="U7" i="11"/>
  <c r="E3" i="8"/>
  <c r="E4" i="8"/>
  <c r="E5" i="8"/>
  <c r="D3" i="8"/>
  <c r="D4" i="8"/>
  <c r="D2" i="8"/>
  <c r="D4" i="6" l="1"/>
  <c r="D5" i="6"/>
  <c r="D6" i="6"/>
  <c r="D7" i="6"/>
  <c r="D8" i="6"/>
  <c r="D9" i="6"/>
  <c r="D10" i="6"/>
  <c r="D11" i="6"/>
  <c r="D12" i="6"/>
  <c r="D3" i="6"/>
  <c r="C4" i="2" l="1"/>
  <c r="B2" i="1"/>
  <c r="B1" i="1"/>
  <c r="E10" i="2" l="1"/>
  <c r="F4" i="5"/>
  <c r="H11" i="5"/>
  <c r="H13" i="5"/>
  <c r="F4" i="6" l="1"/>
  <c r="F5" i="6"/>
  <c r="F6" i="6"/>
  <c r="F7" i="6"/>
  <c r="F8" i="6"/>
  <c r="F9" i="6"/>
  <c r="F10" i="6"/>
  <c r="F11" i="6"/>
  <c r="F12" i="6"/>
  <c r="F3" i="6"/>
  <c r="H3" i="6" l="1"/>
  <c r="G3" i="6"/>
  <c r="J12" i="6"/>
  <c r="G12" i="6"/>
  <c r="G11" i="6"/>
  <c r="K11" i="6" s="1"/>
  <c r="M11" i="6" s="1"/>
  <c r="N11" i="6" s="1"/>
  <c r="G10" i="6"/>
  <c r="I9" i="6"/>
  <c r="G9" i="6"/>
  <c r="K9" i="6" s="1"/>
  <c r="M9" i="6" s="1"/>
  <c r="N9" i="6" s="1"/>
  <c r="J8" i="6"/>
  <c r="G8" i="6"/>
  <c r="J7" i="6"/>
  <c r="G7" i="6"/>
  <c r="H6" i="6"/>
  <c r="G6" i="6"/>
  <c r="G5" i="6"/>
  <c r="G4" i="6"/>
  <c r="H11" i="6"/>
  <c r="H5" i="6"/>
  <c r="I8" i="6"/>
  <c r="J3" i="6"/>
  <c r="J6" i="6"/>
  <c r="H10" i="6"/>
  <c r="H4" i="6"/>
  <c r="I7" i="6"/>
  <c r="J11" i="6"/>
  <c r="J5" i="6"/>
  <c r="H9" i="6"/>
  <c r="I3" i="6"/>
  <c r="I6" i="6"/>
  <c r="J10" i="6"/>
  <c r="J4" i="6"/>
  <c r="H8" i="6"/>
  <c r="I12" i="6"/>
  <c r="I5" i="6"/>
  <c r="J9" i="6"/>
  <c r="H7" i="6"/>
  <c r="I11" i="6"/>
  <c r="I4" i="6"/>
  <c r="I10" i="6"/>
  <c r="H12" i="6"/>
  <c r="H16" i="5"/>
  <c r="H15" i="5"/>
  <c r="H14" i="5"/>
  <c r="H12" i="5"/>
  <c r="H7" i="5"/>
  <c r="H6" i="5"/>
  <c r="H10" i="5"/>
  <c r="H9" i="5"/>
  <c r="H8" i="5"/>
  <c r="K4" i="6" l="1"/>
  <c r="M4" i="6" s="1"/>
  <c r="N4" i="6" s="1"/>
  <c r="K6" i="6"/>
  <c r="M6" i="6" s="1"/>
  <c r="N6" i="6" s="1"/>
  <c r="K12" i="6"/>
  <c r="L11" i="6"/>
  <c r="L10" i="6"/>
  <c r="L9" i="6"/>
  <c r="K10" i="6"/>
  <c r="M10" i="6" s="1"/>
  <c r="N10" i="6" s="1"/>
  <c r="M12" i="6"/>
  <c r="N12" i="6" s="1"/>
  <c r="L12" i="6"/>
  <c r="L3" i="6"/>
  <c r="L4" i="6"/>
  <c r="K8" i="6"/>
  <c r="M8" i="6" s="1"/>
  <c r="N8" i="6" s="1"/>
  <c r="K3" i="6"/>
  <c r="M3" i="6" s="1"/>
  <c r="N3" i="6" s="1"/>
  <c r="K5" i="6"/>
  <c r="M5" i="6" s="1"/>
  <c r="N5" i="6" s="1"/>
  <c r="K7" i="6"/>
  <c r="M7" i="6" s="1"/>
  <c r="N7" i="6" s="1"/>
  <c r="O16" i="4"/>
  <c r="C15" i="4"/>
  <c r="D15" i="4"/>
  <c r="E15" i="4"/>
  <c r="F15" i="4"/>
  <c r="G15" i="4"/>
  <c r="C16" i="4"/>
  <c r="D16" i="4"/>
  <c r="E16" i="4"/>
  <c r="F16" i="4"/>
  <c r="G16" i="4"/>
  <c r="C17" i="4"/>
  <c r="D17" i="4"/>
  <c r="E17" i="4"/>
  <c r="F17" i="4"/>
  <c r="G17" i="4"/>
  <c r="O17" i="4"/>
  <c r="M13" i="4"/>
  <c r="M4" i="4"/>
  <c r="M5" i="4"/>
  <c r="M6" i="4"/>
  <c r="M7" i="4"/>
  <c r="M8" i="4"/>
  <c r="M9" i="4"/>
  <c r="M10" i="4"/>
  <c r="M11" i="4"/>
  <c r="M12" i="4"/>
  <c r="M14" i="4"/>
  <c r="H9" i="4"/>
  <c r="H6" i="4"/>
  <c r="L5" i="6" l="1"/>
  <c r="L6" i="6"/>
  <c r="L8" i="6"/>
  <c r="L7" i="6"/>
  <c r="J4" i="4"/>
  <c r="J5" i="4"/>
  <c r="J6" i="4"/>
  <c r="J7" i="4"/>
  <c r="J8" i="4"/>
  <c r="J9" i="4"/>
  <c r="J10" i="4"/>
  <c r="J11" i="4"/>
  <c r="J12" i="4"/>
  <c r="J13" i="4"/>
  <c r="J14" i="4"/>
  <c r="J3" i="4"/>
  <c r="K4" i="4"/>
  <c r="K5" i="4"/>
  <c r="K6" i="4"/>
  <c r="K7" i="4"/>
  <c r="K8" i="4"/>
  <c r="K9" i="4"/>
  <c r="K10" i="4"/>
  <c r="K11" i="4"/>
  <c r="K12" i="4"/>
  <c r="K13" i="4"/>
  <c r="K14" i="4"/>
  <c r="K3" i="4"/>
  <c r="I7" i="4"/>
  <c r="I4" i="4"/>
  <c r="I5" i="4"/>
  <c r="I6" i="4"/>
  <c r="I8" i="4"/>
  <c r="I9" i="4"/>
  <c r="I10" i="4"/>
  <c r="I11" i="4"/>
  <c r="I12" i="4"/>
  <c r="I13" i="4"/>
  <c r="I14" i="4"/>
  <c r="I3" i="4"/>
  <c r="H4" i="4"/>
  <c r="H5" i="4"/>
  <c r="H7" i="4"/>
  <c r="H8" i="4"/>
  <c r="H10" i="4"/>
  <c r="H11" i="4"/>
  <c r="H12" i="4"/>
  <c r="H13" i="4"/>
  <c r="H14" i="4"/>
  <c r="H3" i="4"/>
  <c r="C13" i="2"/>
  <c r="C12" i="2"/>
  <c r="C11" i="2"/>
  <c r="C10" i="2"/>
  <c r="C9" i="2"/>
  <c r="E9" i="2" s="1"/>
  <c r="C8" i="2"/>
  <c r="E8" i="2" s="1"/>
  <c r="C7" i="2"/>
  <c r="E7" i="2" s="1"/>
  <c r="C6" i="2"/>
  <c r="E6" i="2" s="1"/>
  <c r="C5" i="2"/>
  <c r="E5" i="2" s="1"/>
  <c r="E4" i="2"/>
  <c r="E2" i="2"/>
  <c r="E16" i="2" l="1"/>
  <c r="E17" i="2" l="1"/>
  <c r="E18" i="2" s="1"/>
  <c r="E19" i="2" l="1"/>
</calcChain>
</file>

<file path=xl/comments1.xml><?xml version="1.0" encoding="utf-8"?>
<comments xmlns="http://schemas.openxmlformats.org/spreadsheetml/2006/main">
  <authors>
    <author>MSI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<sst xmlns="http://schemas.openxmlformats.org/spreadsheetml/2006/main" count="280" uniqueCount="191">
  <si>
    <t>CeLL</t>
  </si>
  <si>
    <t>Active Cell/insertion cell/cell pointer</t>
  </si>
  <si>
    <t>Name box</t>
  </si>
  <si>
    <t>Cell address/cell name</t>
  </si>
  <si>
    <t xml:space="preserve"> Cell range/cell reference</t>
  </si>
  <si>
    <t>Fill handel</t>
  </si>
  <si>
    <t>Function=readymade formula</t>
  </si>
  <si>
    <t>Formula</t>
  </si>
  <si>
    <t>JOY SHOP</t>
  </si>
  <si>
    <t>S.N</t>
  </si>
  <si>
    <t>ITEMS</t>
  </si>
  <si>
    <t>PRICE</t>
  </si>
  <si>
    <t>QUANTITY</t>
  </si>
  <si>
    <t>COST</t>
  </si>
  <si>
    <t>BLACK COFFEE</t>
  </si>
  <si>
    <t>MILK COFFEE</t>
  </si>
  <si>
    <t>MILK TEA</t>
  </si>
  <si>
    <t xml:space="preserve">BLACK TEA </t>
  </si>
  <si>
    <t>COCO COLA</t>
  </si>
  <si>
    <t>HOT LEMON</t>
  </si>
  <si>
    <t>PIZZA</t>
  </si>
  <si>
    <t>HOT CHOCOLATE</t>
  </si>
  <si>
    <t>CHICKEN BURGER</t>
  </si>
  <si>
    <t>HOT LEMON WITH HONEY</t>
  </si>
  <si>
    <t>LEMON TEA</t>
  </si>
  <si>
    <t>DEW</t>
  </si>
  <si>
    <t>FANTA</t>
  </si>
  <si>
    <t>CHOCO DONUTS</t>
  </si>
  <si>
    <t>TOTAL</t>
  </si>
  <si>
    <t>DISCOUNT</t>
  </si>
  <si>
    <t>VAT</t>
  </si>
  <si>
    <t>PAYABLE AMOUNT</t>
  </si>
  <si>
    <t>ROLL</t>
  </si>
  <si>
    <t>NAME</t>
  </si>
  <si>
    <t>CF</t>
  </si>
  <si>
    <t>DL</t>
  </si>
  <si>
    <t>ST</t>
  </si>
  <si>
    <t>ENG</t>
  </si>
  <si>
    <t>RESULT</t>
  </si>
  <si>
    <t>GPA</t>
  </si>
  <si>
    <t>GRADE</t>
  </si>
  <si>
    <t>RANK</t>
  </si>
  <si>
    <t>MATH</t>
  </si>
  <si>
    <t>MARKS LEDGER</t>
  </si>
  <si>
    <t>PER</t>
  </si>
  <si>
    <t>SUN</t>
  </si>
  <si>
    <t>MOON</t>
  </si>
  <si>
    <t>STAR</t>
  </si>
  <si>
    <t>ROSE</t>
  </si>
  <si>
    <t>LILLY</t>
  </si>
  <si>
    <t>LOTUS</t>
  </si>
  <si>
    <t>PINK</t>
  </si>
  <si>
    <t>OLI</t>
  </si>
  <si>
    <t>SHREE</t>
  </si>
  <si>
    <t>SWOS</t>
  </si>
  <si>
    <t>RIKA</t>
  </si>
  <si>
    <t>JOY</t>
  </si>
  <si>
    <t>PASS</t>
  </si>
  <si>
    <t>FAIL</t>
  </si>
  <si>
    <t>SUBJECT</t>
  </si>
  <si>
    <t>FM</t>
  </si>
  <si>
    <t>PM</t>
  </si>
  <si>
    <t>OM</t>
  </si>
  <si>
    <t>Post</t>
  </si>
  <si>
    <t>Basic Salary</t>
  </si>
  <si>
    <t>CEO</t>
  </si>
  <si>
    <t>MD</t>
  </si>
  <si>
    <t>DMD</t>
  </si>
  <si>
    <t>HOD</t>
  </si>
  <si>
    <t>Line Manager</t>
  </si>
  <si>
    <t>S.Programmer</t>
  </si>
  <si>
    <t>Ass.Programmer</t>
  </si>
  <si>
    <t>Staff</t>
  </si>
  <si>
    <t>Peon</t>
  </si>
  <si>
    <t>EMP_ID</t>
  </si>
  <si>
    <t>POST</t>
  </si>
  <si>
    <t>BasSal</t>
  </si>
  <si>
    <t>G.Sal</t>
  </si>
  <si>
    <t>N.Sal</t>
  </si>
  <si>
    <t>SALARY SHEET</t>
  </si>
  <si>
    <t>HRA 10%</t>
  </si>
  <si>
    <t>MA 5%</t>
  </si>
  <si>
    <t>TA 2%</t>
  </si>
  <si>
    <t>SSF 10%</t>
  </si>
  <si>
    <t>Annual Salary</t>
  </si>
  <si>
    <t>Tax amount</t>
  </si>
  <si>
    <t>join date</t>
  </si>
  <si>
    <t>duration</t>
  </si>
  <si>
    <t>NANE</t>
  </si>
  <si>
    <t>DOB</t>
  </si>
  <si>
    <t>AGE</t>
  </si>
  <si>
    <t>GENDER</t>
  </si>
  <si>
    <t>PROFIT</t>
  </si>
  <si>
    <t>SELLING PRICE</t>
  </si>
  <si>
    <t>COST PRICE</t>
  </si>
  <si>
    <t>COMPUTER 1ST Sem</t>
  </si>
  <si>
    <t>COMPUTER 2ST Sem</t>
  </si>
  <si>
    <t>COMPUTER 3ST Sem</t>
  </si>
  <si>
    <t>COMPUTER 4ST Sem</t>
  </si>
  <si>
    <t>tax calculation</t>
  </si>
  <si>
    <t>cf</t>
  </si>
  <si>
    <t>dl</t>
  </si>
  <si>
    <t>eng</t>
  </si>
  <si>
    <t xml:space="preserve"> total</t>
  </si>
  <si>
    <t>sum</t>
  </si>
  <si>
    <t>max</t>
  </si>
  <si>
    <t xml:space="preserve"> min</t>
  </si>
  <si>
    <t>count</t>
  </si>
  <si>
    <t>counta</t>
  </si>
  <si>
    <t>y</t>
  </si>
  <si>
    <t>average</t>
  </si>
  <si>
    <t>frequency</t>
  </si>
  <si>
    <t>first name</t>
  </si>
  <si>
    <t>last name</t>
  </si>
  <si>
    <t>miya</t>
  </si>
  <si>
    <t>dahal</t>
  </si>
  <si>
    <t>lama</t>
  </si>
  <si>
    <t>tamang</t>
  </si>
  <si>
    <t>sherpa</t>
  </si>
  <si>
    <t>shreya</t>
  </si>
  <si>
    <t>sony</t>
  </si>
  <si>
    <t>sonu</t>
  </si>
  <si>
    <t>Earning</t>
  </si>
  <si>
    <t>tax10%</t>
  </si>
  <si>
    <t>vat13%</t>
  </si>
  <si>
    <t>profit</t>
  </si>
  <si>
    <t xml:space="preserve">dell </t>
  </si>
  <si>
    <t>hp</t>
  </si>
  <si>
    <t>asus</t>
  </si>
  <si>
    <t>acer</t>
  </si>
  <si>
    <t>ryzen</t>
  </si>
  <si>
    <t>lg</t>
  </si>
  <si>
    <t>toshiba</t>
  </si>
  <si>
    <t xml:space="preserve"> items</t>
  </si>
  <si>
    <t>cp</t>
  </si>
  <si>
    <t>sp</t>
  </si>
  <si>
    <t>s</t>
  </si>
  <si>
    <t xml:space="preserve"> </t>
  </si>
  <si>
    <t>RED</t>
  </si>
  <si>
    <t>BLUE</t>
  </si>
  <si>
    <t>LEVENDER</t>
  </si>
  <si>
    <t>WHITE</t>
  </si>
  <si>
    <t>BLACK</t>
  </si>
  <si>
    <t>PARTICULAR</t>
  </si>
  <si>
    <t>ENGLISH BOOK</t>
  </si>
  <si>
    <t>NEPALI BOOK</t>
  </si>
  <si>
    <t>SOCIAL</t>
  </si>
  <si>
    <t>ACCOUNT</t>
  </si>
  <si>
    <t>VAT 13%</t>
  </si>
  <si>
    <t>NET PAYABLE</t>
  </si>
  <si>
    <t>SOC</t>
  </si>
  <si>
    <t>FUN</t>
  </si>
  <si>
    <t>AD</t>
  </si>
  <si>
    <t>GFJH</t>
  </si>
  <si>
    <t>FFHG</t>
  </si>
  <si>
    <t>BFG</t>
  </si>
  <si>
    <t>DGH</t>
  </si>
  <si>
    <t>GDFG</t>
  </si>
  <si>
    <t>DH</t>
  </si>
  <si>
    <t>MIN</t>
  </si>
  <si>
    <t>MAX</t>
  </si>
  <si>
    <t>COUNT</t>
  </si>
  <si>
    <t>FILTER OPTION AND FILTER FUNCTION</t>
  </si>
  <si>
    <t>ID</t>
  </si>
  <si>
    <t>DEPT</t>
  </si>
  <si>
    <t>SALARY</t>
  </si>
  <si>
    <t>JOIN DATE</t>
  </si>
  <si>
    <t>DURATION</t>
  </si>
  <si>
    <t>ZONE</t>
  </si>
  <si>
    <t>SEARCH</t>
  </si>
  <si>
    <t>HENA</t>
  </si>
  <si>
    <t>HANNA</t>
  </si>
  <si>
    <t>ARCHU</t>
  </si>
  <si>
    <t>JOHN</t>
  </si>
  <si>
    <t>MARK</t>
  </si>
  <si>
    <t>PETER</t>
  </si>
  <si>
    <t>OLIVA</t>
  </si>
  <si>
    <t>OSHRA</t>
  </si>
  <si>
    <t>OCEAN</t>
  </si>
  <si>
    <t xml:space="preserve"> SHREE</t>
  </si>
  <si>
    <t>ACCOUNTANT</t>
  </si>
  <si>
    <t>OFFICER</t>
  </si>
  <si>
    <t>CENTRAL</t>
  </si>
  <si>
    <t>MARKETING</t>
  </si>
  <si>
    <t>INVENTORY</t>
  </si>
  <si>
    <t>SALES</t>
  </si>
  <si>
    <t>KARNALI</t>
  </si>
  <si>
    <t>BAGMATI</t>
  </si>
  <si>
    <t>LUMBINI</t>
  </si>
  <si>
    <t>DEP</t>
  </si>
  <si>
    <t>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</si>
</sst>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4" formatCode="0.0"/>
    <numFmt numFmtId="165" formatCode="0.0%"/>
    <numFmt numFmtId="166" formatCode="_(* #,##0_);_(* \(#,##0\);_(* &quot;-&quot;??_);_(@_)"/>
    <numFmt numFmtId="167" formatCode="[$-F400]h:mm:ss\ AM/PM"/>
    <numFmt numFmtId="168" formatCode="d/m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rgb="FF00B0F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1"/>
      <color rgb="FFFFCCFF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9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/>
  </cellStyleXfs>
  <cellXfs count="66">
    <xf numFmtId="0" fontId="0" fillId="0" borderId="0" xfId="0"/>
    <xf numFmtId="0" fontId="11" fillId="2" borderId="4" xfId="0" applyFont="1" applyFill="1" applyBorder="1"/>
    <xf numFmtId="14" fontId="11" fillId="2" borderId="4" xfId="0" applyNumberFormat="1" applyFont="1" applyFill="1" applyBorder="1"/>
    <xf numFmtId="0" fontId="11" fillId="2" borderId="4" xfId="0" applyFont="1" applyFill="1" applyBorder="1" applyProtection="1">
      <protection locked="0"/>
    </xf>
    <xf numFmtId="0" fontId="0" fillId="2" borderId="4" xfId="0" applyFill="1" applyBorder="1"/>
    <xf numFmtId="0" fontId="0" fillId="0" borderId="4" xfId="0" applyBorder="1"/>
    <xf numFmtId="0" fontId="0" fillId="3" borderId="4" xfId="0" applyFill="1" applyBorder="1"/>
    <xf numFmtId="9" fontId="0" fillId="3" borderId="4" xfId="0" applyNumberFormat="1" applyFill="1" applyBorder="1"/>
    <xf numFmtId="0" fontId="12" fillId="0" borderId="0" xfId="0" applyFont="1"/>
    <xf numFmtId="0" fontId="13" fillId="0" borderId="0" xfId="0" applyFont="1"/>
    <xf numFmtId="14" fontId="0" fillId="0" borderId="0" xfId="0" applyNumberFormat="1"/>
    <xf numFmtId="22" fontId="0" fillId="0" borderId="0" xfId="0" applyNumberFormat="1"/>
    <xf numFmtId="0" fontId="0" fillId="0" borderId="4" xfId="0" applyNumberFormat="1" applyBorder="1"/>
    <xf numFmtId="164" fontId="0" fillId="0" borderId="4" xfId="0" applyNumberFormat="1" applyBorder="1"/>
    <xf numFmtId="165" fontId="0" fillId="0" borderId="4" xfId="1" applyNumberFormat="1" applyFont="1" applyBorder="1" applyAlignment="1"/>
    <xf numFmtId="0" fontId="9" fillId="0" borderId="0" xfId="0" applyFont="1"/>
    <xf numFmtId="2" fontId="0" fillId="0" borderId="4" xfId="0" applyNumberFormat="1" applyBorder="1"/>
    <xf numFmtId="0" fontId="9" fillId="0" borderId="4" xfId="0" applyFont="1" applyBorder="1"/>
    <xf numFmtId="0" fontId="0" fillId="0" borderId="0" xfId="0" applyBorder="1"/>
    <xf numFmtId="0" fontId="9" fillId="0" borderId="0" xfId="0" applyFont="1" applyBorder="1"/>
    <xf numFmtId="0" fontId="17" fillId="0" borderId="0" xfId="0" applyFont="1"/>
    <xf numFmtId="0" fontId="8" fillId="5" borderId="4" xfId="0" applyFont="1" applyFill="1" applyBorder="1"/>
    <xf numFmtId="0" fontId="0" fillId="5" borderId="4" xfId="0" applyFill="1" applyBorder="1"/>
    <xf numFmtId="0" fontId="0" fillId="5" borderId="11" xfId="0" applyFill="1" applyBorder="1"/>
    <xf numFmtId="0" fontId="8" fillId="5" borderId="11" xfId="0" applyFont="1" applyFill="1" applyBorder="1"/>
    <xf numFmtId="4" fontId="0" fillId="5" borderId="4" xfId="0" applyNumberFormat="1" applyFill="1" applyBorder="1"/>
    <xf numFmtId="166" fontId="0" fillId="5" borderId="4" xfId="2" applyNumberFormat="1" applyFont="1" applyFill="1" applyBorder="1"/>
    <xf numFmtId="0" fontId="6" fillId="0" borderId="0" xfId="0" applyFont="1"/>
    <xf numFmtId="14" fontId="0" fillId="5" borderId="4" xfId="0" applyNumberFormat="1" applyFill="1" applyBorder="1"/>
    <xf numFmtId="0" fontId="8" fillId="7" borderId="4" xfId="0" applyFont="1" applyFill="1" applyBorder="1"/>
    <xf numFmtId="0" fontId="0" fillId="7" borderId="4" xfId="0" applyFill="1" applyBorder="1"/>
    <xf numFmtId="0" fontId="7" fillId="7" borderId="4" xfId="0" applyFont="1" applyFill="1" applyBorder="1"/>
    <xf numFmtId="0" fontId="5" fillId="0" borderId="0" xfId="0" applyFont="1"/>
    <xf numFmtId="0" fontId="18" fillId="0" borderId="0" xfId="0" applyFont="1"/>
    <xf numFmtId="0" fontId="0" fillId="0" borderId="0" xfId="0" applyNumberFormat="1"/>
    <xf numFmtId="9" fontId="5" fillId="0" borderId="0" xfId="0" applyNumberFormat="1" applyFont="1"/>
    <xf numFmtId="0" fontId="19" fillId="0" borderId="0" xfId="0" applyFont="1"/>
    <xf numFmtId="0" fontId="4" fillId="0" borderId="0" xfId="0" applyFont="1"/>
    <xf numFmtId="0" fontId="20" fillId="0" borderId="4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167" fontId="0" fillId="0" borderId="0" xfId="0" applyNumberFormat="1"/>
    <xf numFmtId="168" fontId="3" fillId="0" borderId="0" xfId="0" applyNumberFormat="1" applyFont="1"/>
    <xf numFmtId="0" fontId="17" fillId="0" borderId="0" xfId="0" applyFont="1" applyAlignment="1">
      <alignment horizontal="center"/>
    </xf>
    <xf numFmtId="0" fontId="22" fillId="0" borderId="0" xfId="0" applyFont="1"/>
    <xf numFmtId="0" fontId="17" fillId="0" borderId="4" xfId="0" applyFont="1" applyBorder="1"/>
    <xf numFmtId="0" fontId="2" fillId="0" borderId="4" xfId="0" applyFont="1" applyBorder="1"/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6" xfId="0" applyBorder="1" applyAlignment="1"/>
    <xf numFmtId="0" fontId="0" fillId="0" borderId="7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4" xfId="0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1" fillId="0" borderId="0" xfId="0" applyFont="1"/>
    <xf numFmtId="0" fontId="17" fillId="0" borderId="4" xfId="0" applyFont="1" applyBorder="1" applyAlignment="1">
      <alignment horizontal="center"/>
    </xf>
    <xf numFmtId="0" fontId="1" fillId="0" borderId="4" xfId="0" applyFont="1" applyBorder="1"/>
    <xf numFmtId="14" fontId="0" fillId="0" borderId="4" xfId="0" applyNumberFormat="1" applyBorder="1"/>
    <xf numFmtId="14" fontId="1" fillId="0" borderId="4" xfId="0" applyNumberFormat="1" applyFont="1" applyBorder="1"/>
  </cellXfs>
  <cellStyles count="3">
    <cellStyle name="Currency" xfId="2" builtinId="4"/>
    <cellStyle name="Normal" xfId="0" builtinId="0"/>
    <cellStyle name="Percent" xfId="1" builtinId="5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>
        <vertical/>
        <horizontal/>
      </border>
    </dxf>
    <dxf>
      <fill>
        <patternFill>
          <bgColor rgb="FF0070C0"/>
        </patternFill>
      </fill>
    </dxf>
    <dxf>
      <fill>
        <patternFill patternType="solid">
          <fgColor auto="1"/>
          <bgColor rgb="FFFFCCFF"/>
        </patternFill>
      </fill>
      <border>
        <vertical/>
        <horizontal/>
      </border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6649441207908712"/>
          <c:y val="0.33493458769742063"/>
          <c:w val="0.33524145302732683"/>
          <c:h val="0.564553935745757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Sheet10!$B$4</c:f>
              <c:strCache>
                <c:ptCount val="1"/>
                <c:pt idx="0">
                  <c:v>CF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cene3d>
              <a:camera prst="orthographicFront"/>
              <a:lightRig rig="brightRoom" dir="t"/>
            </a:scene3d>
            <a:sp3d prstMaterial="flat">
              <a:bevelT w="50800" h="101600" prst="angle"/>
              <a:contourClr>
                <a:srgbClr val="0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Sheet10!$B$5</c:f>
              <c:numCache>
                <c:formatCode>General</c:formatCode>
                <c:ptCount val="1"/>
                <c:pt idx="0">
                  <c:v>95</c:v>
                </c:pt>
              </c:numCache>
            </c:numRef>
          </c:val>
        </c:ser>
        <c:ser>
          <c:idx val="1"/>
          <c:order val="1"/>
          <c:tx>
            <c:strRef>
              <c:f>Sheet10!$C$4</c:f>
              <c:strCache>
                <c:ptCount val="1"/>
                <c:pt idx="0">
                  <c:v>DL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cene3d>
              <a:camera prst="orthographicFront"/>
              <a:lightRig rig="brightRoom" dir="t"/>
            </a:scene3d>
            <a:sp3d prstMaterial="flat">
              <a:bevelT w="50800" h="101600" prst="angle"/>
              <a:contourClr>
                <a:srgbClr val="000000"/>
              </a:contourClr>
            </a:sp3d>
          </c:spPr>
          <c:invertIfNegative val="0"/>
          <c:val>
            <c:numRef>
              <c:f>Sheet10!$C$5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</c:ser>
        <c:ser>
          <c:idx val="2"/>
          <c:order val="2"/>
          <c:tx>
            <c:strRef>
              <c:f>Sheet10!$D$4</c:f>
              <c:strCache>
                <c:ptCount val="1"/>
                <c:pt idx="0">
                  <c:v>ENG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cene3d>
              <a:camera prst="orthographicFront"/>
              <a:lightRig rig="brightRoom" dir="t"/>
            </a:scene3d>
            <a:sp3d prstMaterial="flat">
              <a:bevelT w="50800" h="101600" prst="angle"/>
              <a:contourClr>
                <a:srgbClr val="000000"/>
              </a:contourClr>
            </a:sp3d>
          </c:spPr>
          <c:invertIfNegative val="0"/>
          <c:val>
            <c:numRef>
              <c:f>Sheet10!$D$5</c:f>
              <c:numCache>
                <c:formatCode>General</c:formatCode>
                <c:ptCount val="1"/>
                <c:pt idx="0">
                  <c:v>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8764656"/>
        <c:axId val="408754320"/>
      </c:barChart>
      <c:catAx>
        <c:axId val="4087646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54320"/>
        <c:crosses val="autoZero"/>
        <c:auto val="1"/>
        <c:lblAlgn val="ctr"/>
        <c:lblOffset val="100"/>
        <c:noMultiLvlLbl val="0"/>
      </c:catAx>
      <c:valAx>
        <c:axId val="40875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6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bg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rgbClr val="FFCCFF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tx1"/>
              </a:soli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Sheet10!$A$23:$E$23</c:f>
              <c:strCache>
                <c:ptCount val="5"/>
                <c:pt idx="0">
                  <c:v>WHITE</c:v>
                </c:pt>
                <c:pt idx="1">
                  <c:v>RED</c:v>
                </c:pt>
                <c:pt idx="2">
                  <c:v>BLUE</c:v>
                </c:pt>
                <c:pt idx="3">
                  <c:v>LEVENDER</c:v>
                </c:pt>
                <c:pt idx="4">
                  <c:v>BLACK</c:v>
                </c:pt>
              </c:strCache>
            </c:strRef>
          </c:cat>
          <c:val>
            <c:numRef>
              <c:f>Sheet10!$A$24:$E$24</c:f>
              <c:numCache>
                <c:formatCode>General</c:formatCode>
                <c:ptCount val="5"/>
                <c:pt idx="0">
                  <c:v>90</c:v>
                </c:pt>
                <c:pt idx="1">
                  <c:v>25</c:v>
                </c:pt>
                <c:pt idx="2">
                  <c:v>45</c:v>
                </c:pt>
                <c:pt idx="3">
                  <c:v>60</c:v>
                </c:pt>
                <c:pt idx="4">
                  <c:v>30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</xdr:row>
      <xdr:rowOff>0</xdr:rowOff>
    </xdr:from>
    <xdr:to>
      <xdr:col>12</xdr:col>
      <xdr:colOff>228600</xdr:colOff>
      <xdr:row>16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295275</xdr:colOff>
      <xdr:row>20</xdr:row>
      <xdr:rowOff>90487</xdr:rowOff>
    </xdr:from>
    <xdr:to>
      <xdr:col>13</xdr:col>
      <xdr:colOff>600075</xdr:colOff>
      <xdr:row>34</xdr:row>
      <xdr:rowOff>166687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A1:J21"/>
  <sheetViews>
    <sheetView workbookViewId="0">
      <selection activeCell="A17" sqref="A17"/>
    </sheetView>
  </sheetViews>
  <sheetFormatPr defaultColWidth="9" defaultRowHeight="15"/>
  <cols>
    <col min="1" max="1" width="4" customWidth="1"/>
    <col min="2" max="2" width="24.85546875" customWidth="1"/>
    <col min="3" max="3" width="13.28515625" customWidth="1"/>
    <col min="4" max="4" width="22.85546875" customWidth="1"/>
    <col min="5" max="5" width="18.42578125" customWidth="1"/>
    <col min="6" max="6" width="7.5703125" customWidth="1"/>
    <col min="7" max="7" width="6" customWidth="1"/>
    <col min="9" max="9" width="24.85546875" customWidth="1"/>
  </cols>
  <sheetData>
    <row r="1" spans="1:10" ht="30.75" customHeight="1">
      <c r="A1" s="46" t="s">
        <v>8</v>
      </c>
      <c r="B1" s="47"/>
      <c r="C1" s="47"/>
      <c r="D1" s="47"/>
      <c r="E1" s="48"/>
    </row>
    <row r="2" spans="1:10" ht="20.25" customHeight="1">
      <c r="A2" s="1"/>
      <c r="B2" s="1"/>
      <c r="C2" s="1"/>
      <c r="D2" s="1"/>
      <c r="E2" s="2">
        <f ca="1">TODAY()</f>
        <v>45001</v>
      </c>
    </row>
    <row r="3" spans="1:10" ht="20.25" customHeigh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I3" s="8" t="s">
        <v>14</v>
      </c>
      <c r="J3" s="8">
        <v>50</v>
      </c>
    </row>
    <row r="4" spans="1:10" ht="20.25" customHeight="1">
      <c r="A4" s="1"/>
      <c r="B4" s="3" t="s">
        <v>15</v>
      </c>
      <c r="C4" s="1">
        <f t="shared" ref="C4:C13" si="0">IFERROR(VLOOKUP(B4,MENU,2,0)," ")</f>
        <v>80</v>
      </c>
      <c r="D4" s="3">
        <v>7</v>
      </c>
      <c r="E4" s="1">
        <f>IFERROR(C4*D4,"")</f>
        <v>560</v>
      </c>
      <c r="I4" s="8" t="s">
        <v>15</v>
      </c>
      <c r="J4" s="8">
        <v>80</v>
      </c>
    </row>
    <row r="5" spans="1:10" ht="20.25" customHeight="1">
      <c r="A5" s="1"/>
      <c r="B5" s="3" t="s">
        <v>16</v>
      </c>
      <c r="C5" s="1">
        <f t="shared" si="0"/>
        <v>40</v>
      </c>
      <c r="D5" s="3">
        <v>10</v>
      </c>
      <c r="E5" s="1">
        <f t="shared" ref="E5:E10" si="1">IFERROR(C5*D5," ")</f>
        <v>400</v>
      </c>
      <c r="I5" s="8" t="s">
        <v>17</v>
      </c>
      <c r="J5" s="8">
        <v>20</v>
      </c>
    </row>
    <row r="6" spans="1:10" ht="22.5" customHeight="1">
      <c r="A6" s="1"/>
      <c r="B6" s="3" t="s">
        <v>15</v>
      </c>
      <c r="C6" s="1">
        <f t="shared" si="0"/>
        <v>80</v>
      </c>
      <c r="D6" s="3">
        <v>10</v>
      </c>
      <c r="E6" s="1">
        <f t="shared" si="1"/>
        <v>800</v>
      </c>
      <c r="I6" s="8" t="s">
        <v>16</v>
      </c>
      <c r="J6" s="8">
        <v>40</v>
      </c>
    </row>
    <row r="7" spans="1:10" ht="19.5" customHeight="1">
      <c r="A7" s="1"/>
      <c r="B7" s="3" t="s">
        <v>18</v>
      </c>
      <c r="C7" s="1">
        <f t="shared" si="0"/>
        <v>70</v>
      </c>
      <c r="D7" s="3">
        <v>9</v>
      </c>
      <c r="E7" s="1">
        <f t="shared" si="1"/>
        <v>630</v>
      </c>
      <c r="I7" s="8" t="s">
        <v>19</v>
      </c>
      <c r="J7" s="8">
        <v>50</v>
      </c>
    </row>
    <row r="8" spans="1:10" ht="12.75" customHeight="1">
      <c r="A8" s="1"/>
      <c r="B8" s="3" t="s">
        <v>20</v>
      </c>
      <c r="C8" s="1">
        <f t="shared" si="0"/>
        <v>350</v>
      </c>
      <c r="D8" s="3">
        <v>4</v>
      </c>
      <c r="E8" s="1">
        <f t="shared" si="1"/>
        <v>1400</v>
      </c>
      <c r="I8" s="8" t="s">
        <v>21</v>
      </c>
      <c r="J8" s="8">
        <v>100</v>
      </c>
    </row>
    <row r="9" spans="1:10" ht="13.5" customHeight="1">
      <c r="A9" s="1"/>
      <c r="B9" s="3" t="s">
        <v>22</v>
      </c>
      <c r="C9" s="1">
        <f t="shared" si="0"/>
        <v>200</v>
      </c>
      <c r="D9" s="3">
        <v>7</v>
      </c>
      <c r="E9" s="1">
        <f t="shared" si="1"/>
        <v>1400</v>
      </c>
      <c r="I9" s="8" t="s">
        <v>23</v>
      </c>
      <c r="J9" s="8">
        <v>120</v>
      </c>
    </row>
    <row r="10" spans="1:10">
      <c r="A10" s="1"/>
      <c r="B10" s="3" t="s">
        <v>17</v>
      </c>
      <c r="C10" s="1">
        <f t="shared" si="0"/>
        <v>20</v>
      </c>
      <c r="D10" s="1">
        <v>5</v>
      </c>
      <c r="E10" s="1">
        <f t="shared" si="1"/>
        <v>100</v>
      </c>
      <c r="I10" s="8" t="s">
        <v>24</v>
      </c>
      <c r="J10" s="8">
        <v>70</v>
      </c>
    </row>
    <row r="11" spans="1:10">
      <c r="A11" s="1"/>
      <c r="B11" s="1"/>
      <c r="C11" s="1" t="str">
        <f t="shared" si="0"/>
        <v xml:space="preserve"> </v>
      </c>
      <c r="D11" s="1"/>
      <c r="E11" s="1"/>
      <c r="I11" s="8" t="s">
        <v>18</v>
      </c>
      <c r="J11" s="8">
        <v>70</v>
      </c>
    </row>
    <row r="12" spans="1:10">
      <c r="A12" s="1"/>
      <c r="B12" s="1"/>
      <c r="C12" s="1" t="str">
        <f t="shared" si="0"/>
        <v xml:space="preserve"> </v>
      </c>
      <c r="D12" s="1"/>
      <c r="E12" s="1"/>
      <c r="I12" s="8" t="s">
        <v>25</v>
      </c>
      <c r="J12" s="8">
        <v>80</v>
      </c>
    </row>
    <row r="13" spans="1:10">
      <c r="A13" s="1"/>
      <c r="B13" s="1"/>
      <c r="C13" s="1" t="str">
        <f t="shared" si="0"/>
        <v xml:space="preserve"> </v>
      </c>
      <c r="D13" s="1"/>
      <c r="E13" s="1"/>
      <c r="I13" s="8" t="s">
        <v>26</v>
      </c>
      <c r="J13" s="8">
        <v>40</v>
      </c>
    </row>
    <row r="14" spans="1:10">
      <c r="A14" s="1"/>
      <c r="B14" s="1"/>
      <c r="C14" s="1"/>
      <c r="D14" s="1"/>
      <c r="E14" s="1"/>
      <c r="I14" s="8" t="s">
        <v>27</v>
      </c>
      <c r="J14" s="8">
        <v>50</v>
      </c>
    </row>
    <row r="15" spans="1:10">
      <c r="A15" s="1"/>
      <c r="B15" s="1"/>
      <c r="C15" s="4"/>
      <c r="D15" s="1"/>
      <c r="E15" s="1"/>
      <c r="I15" s="8" t="s">
        <v>22</v>
      </c>
      <c r="J15" s="8">
        <v>200</v>
      </c>
    </row>
    <row r="16" spans="1:10">
      <c r="A16" s="5"/>
      <c r="B16" s="6" t="s">
        <v>28</v>
      </c>
      <c r="C16" s="6"/>
      <c r="D16" s="6"/>
      <c r="E16" s="6">
        <f>SUM(E4:E15)</f>
        <v>5290</v>
      </c>
      <c r="I16" s="8" t="s">
        <v>20</v>
      </c>
      <c r="J16" s="8">
        <v>350</v>
      </c>
    </row>
    <row r="17" spans="1:5">
      <c r="A17" s="5"/>
      <c r="B17" s="6" t="s">
        <v>29</v>
      </c>
      <c r="C17" s="6"/>
      <c r="D17" s="7">
        <v>0.1</v>
      </c>
      <c r="E17" s="6">
        <f>E16*D17</f>
        <v>529</v>
      </c>
    </row>
    <row r="18" spans="1:5">
      <c r="A18" s="5"/>
      <c r="B18" s="6" t="s">
        <v>30</v>
      </c>
      <c r="C18" s="6"/>
      <c r="D18" s="7">
        <v>0.13</v>
      </c>
      <c r="E18" s="6">
        <f>(E16-E17)*D18</f>
        <v>618.93000000000006</v>
      </c>
    </row>
    <row r="19" spans="1:5">
      <c r="A19" s="5"/>
      <c r="B19" s="6" t="s">
        <v>31</v>
      </c>
      <c r="C19" s="6"/>
      <c r="D19" s="6"/>
      <c r="E19" s="6">
        <f>E16-E17+E18</f>
        <v>5379.93</v>
      </c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</sheetData>
  <mergeCells count="1">
    <mergeCell ref="A1:E1"/>
  </mergeCells>
  <dataValidations count="3">
    <dataValidation type="list" allowBlank="1" showInputMessage="1" showErrorMessage="1" sqref="H2">
      <formula1>$I$3:$I$16</formula1>
    </dataValidation>
    <dataValidation type="list" allowBlank="1" showInputMessage="1" showErrorMessage="1" sqref="B14:B15">
      <formula1>"MENU"</formula1>
    </dataValidation>
    <dataValidation type="list" allowBlank="1" showInputMessage="1" showErrorMessage="1" sqref="B4:B13">
      <formula1>item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</sheetPr>
  <dimension ref="A1:B8"/>
  <sheetViews>
    <sheetView workbookViewId="0">
      <selection activeCell="B2" sqref="B2"/>
    </sheetView>
  </sheetViews>
  <sheetFormatPr defaultColWidth="9" defaultRowHeight="15"/>
  <cols>
    <col min="1" max="1" width="44.140625" customWidth="1"/>
    <col min="2" max="2" width="17.140625" customWidth="1"/>
    <col min="3" max="3" width="13.5703125" customWidth="1"/>
    <col min="4" max="4" width="14.42578125" customWidth="1"/>
    <col min="5" max="5" width="17.85546875" customWidth="1"/>
    <col min="6" max="6" width="13.7109375" customWidth="1"/>
    <col min="7" max="7" width="12.28515625" customWidth="1"/>
  </cols>
  <sheetData>
    <row r="1" spans="1:2">
      <c r="A1" s="9" t="s">
        <v>0</v>
      </c>
      <c r="B1" s="10">
        <f ca="1">TODAY()</f>
        <v>45001</v>
      </c>
    </row>
    <row r="2" spans="1:2">
      <c r="A2" t="s">
        <v>1</v>
      </c>
      <c r="B2" s="11">
        <f ca="1">NOW()</f>
        <v>45001.393632754633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H16"/>
  <sheetViews>
    <sheetView zoomScale="120" zoomScaleNormal="120" workbookViewId="0">
      <selection activeCell="J9" sqref="J9"/>
    </sheetView>
  </sheetViews>
  <sheetFormatPr defaultRowHeight="15"/>
  <sheetData>
    <row r="1" spans="1:8">
      <c r="A1" s="18"/>
    </row>
    <row r="2" spans="1:8">
      <c r="A2" s="18"/>
    </row>
    <row r="3" spans="1:8">
      <c r="A3" s="19"/>
      <c r="B3" s="15"/>
      <c r="C3" s="15"/>
      <c r="D3" s="15"/>
      <c r="E3" s="5" t="s">
        <v>32</v>
      </c>
      <c r="F3" s="50">
        <v>4</v>
      </c>
      <c r="G3" s="51"/>
      <c r="H3" s="52"/>
    </row>
    <row r="4" spans="1:8">
      <c r="A4" s="18"/>
      <c r="E4" s="5" t="s">
        <v>33</v>
      </c>
      <c r="F4" s="49" t="str">
        <f>IFERROR(VLOOKUP(F3,ledger!A3:M14,2,0),"")</f>
        <v>ROSE</v>
      </c>
      <c r="G4" s="49"/>
      <c r="H4" s="49"/>
    </row>
    <row r="5" spans="1:8">
      <c r="A5" s="18"/>
      <c r="E5" s="17" t="s">
        <v>59</v>
      </c>
      <c r="F5" s="17" t="s">
        <v>60</v>
      </c>
      <c r="G5" s="17" t="s">
        <v>61</v>
      </c>
      <c r="H5" s="17" t="s">
        <v>62</v>
      </c>
    </row>
    <row r="6" spans="1:8">
      <c r="A6" s="18"/>
      <c r="E6" s="5" t="s">
        <v>34</v>
      </c>
      <c r="F6" s="5">
        <v>100</v>
      </c>
      <c r="G6" s="5">
        <v>40</v>
      </c>
      <c r="H6" s="5">
        <f>IFERROR(VLOOKUP($F$3,LEDGER,3,0),"")</f>
        <v>24</v>
      </c>
    </row>
    <row r="7" spans="1:8">
      <c r="A7" s="18"/>
      <c r="E7" s="5" t="s">
        <v>35</v>
      </c>
      <c r="F7" s="5">
        <v>100</v>
      </c>
      <c r="G7" s="5">
        <v>40</v>
      </c>
      <c r="H7" s="5">
        <f>IFERROR(VLOOKUP($F$3,LEDGER,4,0),"")</f>
        <v>58</v>
      </c>
    </row>
    <row r="8" spans="1:8">
      <c r="A8" s="18"/>
      <c r="E8" s="5" t="s">
        <v>36</v>
      </c>
      <c r="F8" s="5">
        <v>100</v>
      </c>
      <c r="G8" s="5">
        <v>40</v>
      </c>
      <c r="H8" s="5">
        <f>IFERROR(VLOOKUP($F$3,LEDGER,5,0),"")</f>
        <v>68</v>
      </c>
    </row>
    <row r="9" spans="1:8">
      <c r="A9" s="18"/>
      <c r="E9" s="5" t="s">
        <v>37</v>
      </c>
      <c r="F9" s="5">
        <v>100</v>
      </c>
      <c r="G9" s="5">
        <v>40</v>
      </c>
      <c r="H9" s="5">
        <f>IFERROR(VLOOKUP($F$3,LEDGER,6,0),"")</f>
        <v>95</v>
      </c>
    </row>
    <row r="10" spans="1:8">
      <c r="A10" s="18"/>
      <c r="E10" s="5" t="s">
        <v>42</v>
      </c>
      <c r="F10" s="5">
        <v>100</v>
      </c>
      <c r="G10" s="5">
        <v>40</v>
      </c>
      <c r="H10" s="5">
        <f>IFERROR(VLOOKUP($F$3,LEDGER,7,0),"")</f>
        <v>25</v>
      </c>
    </row>
    <row r="11" spans="1:8">
      <c r="A11" s="18"/>
      <c r="E11" s="5" t="s">
        <v>38</v>
      </c>
      <c r="F11" s="53"/>
      <c r="G11" s="54"/>
      <c r="H11" s="5" t="str">
        <f>IFERROR(VLOOKUP($F$3,LEDGER,8,0),"")</f>
        <v>FAIL</v>
      </c>
    </row>
    <row r="12" spans="1:8">
      <c r="A12" s="18"/>
      <c r="E12" s="5" t="s">
        <v>28</v>
      </c>
      <c r="F12" s="55"/>
      <c r="G12" s="56"/>
      <c r="H12" s="5">
        <f>IFERROR(VLOOKUP($F$3,LEDGER,9,0),"")</f>
        <v>270</v>
      </c>
    </row>
    <row r="13" spans="1:8">
      <c r="A13" s="18"/>
      <c r="E13" s="5" t="s">
        <v>44</v>
      </c>
      <c r="F13" s="55"/>
      <c r="G13" s="56"/>
      <c r="H13" s="5">
        <f>IFERROR(VLOOKUP($F$3,LEDGER,10,0),"")</f>
        <v>0.54</v>
      </c>
    </row>
    <row r="14" spans="1:8">
      <c r="A14" s="18"/>
      <c r="E14" s="5" t="s">
        <v>39</v>
      </c>
      <c r="F14" s="55"/>
      <c r="G14" s="56"/>
      <c r="H14" s="5">
        <f>IFERROR(VLOOKUP($F$3,LEDGER,11,0),"")</f>
        <v>2.16</v>
      </c>
    </row>
    <row r="15" spans="1:8">
      <c r="E15" s="5" t="s">
        <v>40</v>
      </c>
      <c r="F15" s="55"/>
      <c r="G15" s="56"/>
      <c r="H15" s="5">
        <f>IFERROR(VLOOKUP($F$3,LEDGER,12,0),"")</f>
        <v>0</v>
      </c>
    </row>
    <row r="16" spans="1:8">
      <c r="E16" s="5" t="s">
        <v>41</v>
      </c>
      <c r="F16" s="57"/>
      <c r="G16" s="58"/>
      <c r="H16" s="5" t="str">
        <f>IFERROR(VLOOKUP($F$3,LEDGER,13,0),"")</f>
        <v>fail</v>
      </c>
    </row>
  </sheetData>
  <mergeCells count="3">
    <mergeCell ref="F4:H4"/>
    <mergeCell ref="F3:H3"/>
    <mergeCell ref="F11:G16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2"/>
  <sheetViews>
    <sheetView zoomScale="130" zoomScaleNormal="130" workbookViewId="0">
      <selection activeCell="M4" sqref="M4"/>
    </sheetView>
  </sheetViews>
  <sheetFormatPr defaultColWidth="9.140625" defaultRowHeight="15"/>
  <cols>
    <col min="1" max="1" width="6.28515625" customWidth="1"/>
    <col min="2" max="2" width="9" customWidth="1"/>
    <col min="3" max="3" width="13" customWidth="1"/>
    <col min="6" max="6" width="8" customWidth="1"/>
    <col min="7" max="7" width="8.7109375" customWidth="1"/>
  </cols>
  <sheetData>
    <row r="1" spans="1:15">
      <c r="A1" s="59" t="s">
        <v>43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5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42</v>
      </c>
      <c r="H2" s="5" t="s">
        <v>38</v>
      </c>
      <c r="I2" s="5" t="s">
        <v>28</v>
      </c>
      <c r="J2" s="5" t="s">
        <v>44</v>
      </c>
      <c r="K2" s="5" t="s">
        <v>39</v>
      </c>
      <c r="L2" s="5" t="s">
        <v>40</v>
      </c>
      <c r="M2" s="5" t="s">
        <v>41</v>
      </c>
    </row>
    <row r="3" spans="1:15">
      <c r="A3" s="5">
        <v>1</v>
      </c>
      <c r="B3" s="5" t="s">
        <v>45</v>
      </c>
      <c r="C3" s="5">
        <v>65</v>
      </c>
      <c r="D3" s="5">
        <v>94</v>
      </c>
      <c r="E3" s="5">
        <v>70</v>
      </c>
      <c r="F3" s="5">
        <v>95</v>
      </c>
      <c r="G3" s="5">
        <v>54</v>
      </c>
      <c r="H3" s="5" t="str">
        <f>IF(AND(C3&gt;=40,D3&gt;=40,E3&gt;=40,F3&gt;=40,G3&gt;=40),"PASS","FAIL")</f>
        <v>PASS</v>
      </c>
      <c r="I3" s="12">
        <f>SUM(C3:G3)</f>
        <v>378</v>
      </c>
      <c r="J3" s="14">
        <f>I3/500</f>
        <v>0.75600000000000001</v>
      </c>
      <c r="K3" s="13">
        <f>(I3/5)/25</f>
        <v>3.0239999999999996</v>
      </c>
      <c r="L3" s="5"/>
      <c r="M3" s="5">
        <f>IF(H3="fail","fail",RANK(I3,$I$3:$I$14))</f>
        <v>2</v>
      </c>
    </row>
    <row r="4" spans="1:15">
      <c r="A4" s="5">
        <v>2</v>
      </c>
      <c r="B4" s="5" t="s">
        <v>46</v>
      </c>
      <c r="C4" s="5">
        <v>51</v>
      </c>
      <c r="D4" s="5">
        <v>79</v>
      </c>
      <c r="E4" s="5">
        <v>49</v>
      </c>
      <c r="F4" s="5">
        <v>45</v>
      </c>
      <c r="G4" s="5">
        <v>26</v>
      </c>
      <c r="H4" s="5" t="str">
        <f t="shared" ref="H4:H14" si="0">IF(AND(C4&gt;=40,D4&gt;=40,E4&gt;=40,F4&gt;=40,G4&gt;=40),"PASS","FAIL")</f>
        <v>FAIL</v>
      </c>
      <c r="I4" s="12">
        <f>SUM(C4:G4)</f>
        <v>250</v>
      </c>
      <c r="J4" s="14">
        <f t="shared" ref="J4:J14" si="1">I4/500</f>
        <v>0.5</v>
      </c>
      <c r="K4" s="13">
        <f t="shared" ref="K4:K14" si="2">(I4/5)/25</f>
        <v>2</v>
      </c>
      <c r="L4" s="5"/>
      <c r="M4" s="5" t="str">
        <f t="shared" ref="M4:M14" si="3">IF(H4="fail","fail",RANK(I4,$I$3:$I$14))</f>
        <v>fail</v>
      </c>
    </row>
    <row r="5" spans="1:15">
      <c r="A5" s="5">
        <v>3</v>
      </c>
      <c r="B5" s="5" t="s">
        <v>47</v>
      </c>
      <c r="C5" s="5">
        <v>55</v>
      </c>
      <c r="D5" s="5">
        <v>41</v>
      </c>
      <c r="E5" s="5">
        <v>45</v>
      </c>
      <c r="F5" s="5">
        <v>94</v>
      </c>
      <c r="G5" s="5">
        <v>66</v>
      </c>
      <c r="H5" s="5" t="str">
        <f t="shared" si="0"/>
        <v>PASS</v>
      </c>
      <c r="I5" s="12">
        <f t="shared" ref="I5:I14" si="4">SUM(C5:G5)</f>
        <v>301</v>
      </c>
      <c r="J5" s="14">
        <f t="shared" si="1"/>
        <v>0.60199999999999998</v>
      </c>
      <c r="K5" s="13">
        <f t="shared" si="2"/>
        <v>2.4079999999999999</v>
      </c>
      <c r="L5" s="5"/>
      <c r="M5" s="5">
        <f t="shared" si="3"/>
        <v>6</v>
      </c>
    </row>
    <row r="6" spans="1:15">
      <c r="A6" s="5">
        <v>4</v>
      </c>
      <c r="B6" s="5" t="s">
        <v>48</v>
      </c>
      <c r="C6" s="5">
        <v>24</v>
      </c>
      <c r="D6" s="5">
        <v>58</v>
      </c>
      <c r="E6" s="5">
        <v>68</v>
      </c>
      <c r="F6" s="5">
        <v>95</v>
      </c>
      <c r="G6" s="5">
        <v>25</v>
      </c>
      <c r="H6" s="5" t="str">
        <f>IF(AND(C6&gt;=40,D6&gt;=40,E6&gt;=40,F6&gt;=40,G6&gt;=40),"PASS","FAIL")</f>
        <v>FAIL</v>
      </c>
      <c r="I6" s="12">
        <f t="shared" si="4"/>
        <v>270</v>
      </c>
      <c r="J6" s="14">
        <f t="shared" si="1"/>
        <v>0.54</v>
      </c>
      <c r="K6" s="13">
        <f t="shared" si="2"/>
        <v>2.16</v>
      </c>
      <c r="L6" s="5"/>
      <c r="M6" s="5" t="str">
        <f t="shared" si="3"/>
        <v>fail</v>
      </c>
    </row>
    <row r="7" spans="1:15">
      <c r="A7" s="5">
        <v>5</v>
      </c>
      <c r="B7" s="5" t="s">
        <v>49</v>
      </c>
      <c r="C7" s="5">
        <v>40</v>
      </c>
      <c r="D7" s="5">
        <v>45</v>
      </c>
      <c r="E7" s="5">
        <v>50</v>
      </c>
      <c r="F7" s="5">
        <v>41</v>
      </c>
      <c r="G7" s="5">
        <v>51</v>
      </c>
      <c r="H7" s="5" t="str">
        <f t="shared" si="0"/>
        <v>PASS</v>
      </c>
      <c r="I7" s="12">
        <f>SUM(C7:G7)</f>
        <v>227</v>
      </c>
      <c r="J7" s="14">
        <f t="shared" si="1"/>
        <v>0.45400000000000001</v>
      </c>
      <c r="K7" s="13">
        <f t="shared" si="2"/>
        <v>1.8159999999999998</v>
      </c>
      <c r="L7" s="5"/>
      <c r="M7" s="5">
        <f t="shared" si="3"/>
        <v>12</v>
      </c>
    </row>
    <row r="8" spans="1:15">
      <c r="A8" s="5">
        <v>6</v>
      </c>
      <c r="B8" s="5" t="s">
        <v>50</v>
      </c>
      <c r="C8" s="5">
        <v>30</v>
      </c>
      <c r="D8" s="5">
        <v>22</v>
      </c>
      <c r="E8" s="5">
        <v>27</v>
      </c>
      <c r="F8" s="5">
        <v>72</v>
      </c>
      <c r="G8" s="5">
        <v>92</v>
      </c>
      <c r="H8" s="5" t="str">
        <f t="shared" si="0"/>
        <v>FAIL</v>
      </c>
      <c r="I8" s="12">
        <f t="shared" si="4"/>
        <v>243</v>
      </c>
      <c r="J8" s="14">
        <f t="shared" si="1"/>
        <v>0.48599999999999999</v>
      </c>
      <c r="K8" s="13">
        <f t="shared" si="2"/>
        <v>1.944</v>
      </c>
      <c r="L8" s="5"/>
      <c r="M8" s="5" t="str">
        <f t="shared" si="3"/>
        <v>fail</v>
      </c>
    </row>
    <row r="9" spans="1:15">
      <c r="A9" s="5">
        <v>7</v>
      </c>
      <c r="B9" s="5" t="s">
        <v>51</v>
      </c>
      <c r="C9" s="5">
        <v>37</v>
      </c>
      <c r="D9" s="5">
        <v>71</v>
      </c>
      <c r="E9" s="5">
        <v>58</v>
      </c>
      <c r="F9" s="5">
        <v>62</v>
      </c>
      <c r="G9" s="5">
        <v>74</v>
      </c>
      <c r="H9" s="5" t="str">
        <f>IF(AND(C9&gt;=40,D9&gt;=40,E9&gt;=40,F9&gt;=40,G9&gt;=40),"PASS","FAIL")</f>
        <v>FAIL</v>
      </c>
      <c r="I9" s="12">
        <f t="shared" si="4"/>
        <v>302</v>
      </c>
      <c r="J9" s="14">
        <f t="shared" si="1"/>
        <v>0.60399999999999998</v>
      </c>
      <c r="K9" s="13">
        <f t="shared" si="2"/>
        <v>2.4159999999999999</v>
      </c>
      <c r="L9" s="5"/>
      <c r="M9" s="5" t="str">
        <f t="shared" si="3"/>
        <v>fail</v>
      </c>
    </row>
    <row r="10" spans="1:15">
      <c r="A10" s="5">
        <v>8</v>
      </c>
      <c r="B10" s="5" t="s">
        <v>52</v>
      </c>
      <c r="C10" s="5">
        <v>41</v>
      </c>
      <c r="D10" s="5">
        <v>88</v>
      </c>
      <c r="E10" s="5">
        <v>43</v>
      </c>
      <c r="F10" s="5">
        <v>36</v>
      </c>
      <c r="G10" s="5">
        <v>92</v>
      </c>
      <c r="H10" s="5" t="str">
        <f t="shared" si="0"/>
        <v>FAIL</v>
      </c>
      <c r="I10" s="12">
        <f t="shared" si="4"/>
        <v>300</v>
      </c>
      <c r="J10" s="14">
        <f t="shared" si="1"/>
        <v>0.6</v>
      </c>
      <c r="K10" s="13">
        <f t="shared" si="2"/>
        <v>2.4</v>
      </c>
      <c r="L10" s="5"/>
      <c r="M10" s="5" t="str">
        <f t="shared" si="3"/>
        <v>fail</v>
      </c>
    </row>
    <row r="11" spans="1:15">
      <c r="A11" s="5">
        <v>9</v>
      </c>
      <c r="B11" s="5" t="s">
        <v>56</v>
      </c>
      <c r="C11" s="5">
        <v>70</v>
      </c>
      <c r="D11" s="5">
        <v>96</v>
      </c>
      <c r="E11" s="5">
        <v>97</v>
      </c>
      <c r="F11" s="5">
        <v>72</v>
      </c>
      <c r="G11" s="5">
        <v>78</v>
      </c>
      <c r="H11" s="5" t="str">
        <f t="shared" si="0"/>
        <v>PASS</v>
      </c>
      <c r="I11" s="12">
        <f t="shared" si="4"/>
        <v>413</v>
      </c>
      <c r="J11" s="14">
        <f t="shared" si="1"/>
        <v>0.82599999999999996</v>
      </c>
      <c r="K11" s="13">
        <f t="shared" si="2"/>
        <v>3.3039999999999998</v>
      </c>
      <c r="L11" s="5"/>
      <c r="M11" s="5">
        <f t="shared" si="3"/>
        <v>1</v>
      </c>
    </row>
    <row r="12" spans="1:15">
      <c r="A12" s="5">
        <v>10</v>
      </c>
      <c r="B12" s="5" t="s">
        <v>53</v>
      </c>
      <c r="C12" s="5">
        <v>44</v>
      </c>
      <c r="D12" s="5">
        <v>45</v>
      </c>
      <c r="E12" s="5">
        <v>84</v>
      </c>
      <c r="F12" s="5">
        <v>62</v>
      </c>
      <c r="G12" s="5">
        <v>94</v>
      </c>
      <c r="H12" s="5" t="str">
        <f t="shared" si="0"/>
        <v>PASS</v>
      </c>
      <c r="I12" s="12">
        <f t="shared" si="4"/>
        <v>329</v>
      </c>
      <c r="J12" s="14">
        <f t="shared" si="1"/>
        <v>0.65800000000000003</v>
      </c>
      <c r="K12" s="13">
        <f t="shared" si="2"/>
        <v>2.6319999999999997</v>
      </c>
      <c r="L12" s="5"/>
      <c r="M12" s="5">
        <f t="shared" si="3"/>
        <v>3</v>
      </c>
    </row>
    <row r="13" spans="1:15">
      <c r="A13" s="5">
        <v>11</v>
      </c>
      <c r="B13" s="5" t="s">
        <v>54</v>
      </c>
      <c r="C13" s="5">
        <v>88</v>
      </c>
      <c r="D13" s="5">
        <v>40</v>
      </c>
      <c r="E13" s="5">
        <v>90</v>
      </c>
      <c r="F13" s="5">
        <v>74</v>
      </c>
      <c r="G13" s="5">
        <v>36</v>
      </c>
      <c r="H13" s="5" t="str">
        <f t="shared" si="0"/>
        <v>FAIL</v>
      </c>
      <c r="I13" s="12">
        <f t="shared" si="4"/>
        <v>328</v>
      </c>
      <c r="J13" s="14">
        <f t="shared" si="1"/>
        <v>0.65600000000000003</v>
      </c>
      <c r="K13" s="13">
        <f t="shared" si="2"/>
        <v>2.6239999999999997</v>
      </c>
      <c r="L13" s="5"/>
      <c r="M13" s="5" t="str">
        <f>IF(H13="fail","fail",RANK(I13,$I$3:$I$14))</f>
        <v>fail</v>
      </c>
    </row>
    <row r="14" spans="1:15">
      <c r="A14" s="5">
        <v>12</v>
      </c>
      <c r="B14" s="5" t="s">
        <v>55</v>
      </c>
      <c r="C14" s="5">
        <v>98</v>
      </c>
      <c r="D14" s="5">
        <v>87</v>
      </c>
      <c r="E14" s="5">
        <v>53</v>
      </c>
      <c r="F14" s="5">
        <v>20</v>
      </c>
      <c r="G14" s="5">
        <v>21</v>
      </c>
      <c r="H14" s="5" t="str">
        <f t="shared" si="0"/>
        <v>FAIL</v>
      </c>
      <c r="I14" s="12">
        <f t="shared" si="4"/>
        <v>279</v>
      </c>
      <c r="J14" s="14">
        <f t="shared" si="1"/>
        <v>0.55800000000000005</v>
      </c>
      <c r="K14" s="13">
        <f t="shared" si="2"/>
        <v>2.2319999999999998</v>
      </c>
      <c r="L14" s="5"/>
      <c r="M14" s="5" t="str">
        <f t="shared" si="3"/>
        <v>fail</v>
      </c>
    </row>
    <row r="15" spans="1:15">
      <c r="A15" s="5"/>
      <c r="B15" s="5"/>
      <c r="C15" s="5">
        <f>MAX(C3:C14)</f>
        <v>98</v>
      </c>
      <c r="D15" s="5">
        <f t="shared" ref="D15:G15" si="5">MAX(D3:D14)</f>
        <v>96</v>
      </c>
      <c r="E15" s="5">
        <f t="shared" si="5"/>
        <v>97</v>
      </c>
      <c r="F15" s="5">
        <f t="shared" si="5"/>
        <v>95</v>
      </c>
      <c r="G15" s="5">
        <f t="shared" si="5"/>
        <v>94</v>
      </c>
      <c r="H15" s="5"/>
      <c r="I15" s="5"/>
      <c r="J15" s="5"/>
      <c r="K15" s="5"/>
      <c r="L15" s="5"/>
      <c r="M15" s="5"/>
    </row>
    <row r="16" spans="1:15">
      <c r="A16" s="5"/>
      <c r="B16" s="5"/>
      <c r="C16" s="5">
        <f>MIN(C3:C14)</f>
        <v>24</v>
      </c>
      <c r="D16" s="5">
        <f t="shared" ref="D16:G16" si="6">MIN(D3:D14)</f>
        <v>22</v>
      </c>
      <c r="E16" s="5">
        <f t="shared" si="6"/>
        <v>27</v>
      </c>
      <c r="F16" s="5">
        <f t="shared" si="6"/>
        <v>20</v>
      </c>
      <c r="G16" s="5">
        <f t="shared" si="6"/>
        <v>21</v>
      </c>
      <c r="H16" s="5"/>
      <c r="I16" s="5"/>
      <c r="J16" s="5"/>
      <c r="K16" s="5"/>
      <c r="L16" s="5"/>
      <c r="M16" s="5"/>
      <c r="N16" s="15" t="s">
        <v>57</v>
      </c>
      <c r="O16">
        <f>COUNTIF(H3:H14,"pass")</f>
        <v>5</v>
      </c>
    </row>
    <row r="17" spans="1:15">
      <c r="A17" s="5"/>
      <c r="B17" s="5"/>
      <c r="C17" s="16">
        <f>AVERAGE(C3:C14)</f>
        <v>53.583333333333336</v>
      </c>
      <c r="D17" s="16">
        <f t="shared" ref="D17:G17" si="7">AVERAGE(D3:D14)</f>
        <v>63.833333333333336</v>
      </c>
      <c r="E17" s="16">
        <f t="shared" si="7"/>
        <v>61.166666666666664</v>
      </c>
      <c r="F17" s="16">
        <f t="shared" si="7"/>
        <v>64</v>
      </c>
      <c r="G17" s="16">
        <f t="shared" si="7"/>
        <v>59.083333333333336</v>
      </c>
      <c r="H17" s="5"/>
      <c r="I17" s="5"/>
      <c r="J17" s="5"/>
      <c r="K17" s="5"/>
      <c r="L17" s="5"/>
      <c r="M17" s="5"/>
      <c r="N17" s="15" t="s">
        <v>58</v>
      </c>
      <c r="O17">
        <f>COUNTIF(H3:H14,"fail")</f>
        <v>7</v>
      </c>
    </row>
    <row r="20" spans="1:15">
      <c r="H20" s="15"/>
    </row>
    <row r="21" spans="1:15">
      <c r="H21" s="15"/>
    </row>
    <row r="22" spans="1:15">
      <c r="H22" s="15"/>
    </row>
  </sheetData>
  <mergeCells count="1">
    <mergeCell ref="A1:M1"/>
  </mergeCells>
  <conditionalFormatting sqref="C3:G14">
    <cfRule type="cellIs" dxfId="20" priority="8" operator="greaterThan">
      <formula>81</formula>
    </cfRule>
    <cfRule type="cellIs" dxfId="19" priority="9" operator="between">
      <formula>40</formula>
      <formula>80</formula>
    </cfRule>
    <cfRule type="cellIs" dxfId="18" priority="10" operator="lessThan">
      <formula>40</formula>
    </cfRule>
    <cfRule type="cellIs" dxfId="17" priority="11" operator="lessThan">
      <formula>40</formula>
    </cfRule>
  </conditionalFormatting>
  <conditionalFormatting sqref="M3:M14">
    <cfRule type="containsText" dxfId="16" priority="1" operator="containsText" text="FAIL">
      <formula>NOT(ISERROR(SEARCH("FAIL",M3)))</formula>
    </cfRule>
    <cfRule type="cellIs" dxfId="15" priority="2" operator="between">
      <formula>1</formula>
      <formula>12</formula>
    </cfRule>
    <cfRule type="cellIs" dxfId="14" priority="3" operator="between">
      <formula>4</formula>
      <formula>9</formula>
    </cfRule>
    <cfRule type="containsText" dxfId="13" priority="4" operator="containsText" text="FAIL">
      <formula>NOT(ISERROR(SEARCH("FAIL",M3)))</formula>
    </cfRule>
    <cfRule type="cellIs" dxfId="12" priority="5" operator="between">
      <formula>4</formula>
      <formula>9</formula>
    </cfRule>
    <cfRule type="cellIs" dxfId="11" priority="6" operator="between">
      <formula>1</formula>
      <formula>12</formula>
    </cfRule>
  </conditionalFormatting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E536259-9C27-4DDF-8085-7EF4A7050E22}">
            <xm:f>NOT(ISERROR(SEARCH("pass",H3)))</xm:f>
            <xm:f>"pass"</xm:f>
            <x14:dxf>
              <font>
                <color rgb="FF9C0006"/>
              </font>
            </x14:dxf>
          </x14:cfRule>
          <xm:sqref>H3:H14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D5:E14"/>
  <sheetViews>
    <sheetView zoomScale="112" zoomScaleNormal="112" workbookViewId="0">
      <selection activeCell="E11" sqref="E11"/>
    </sheetView>
  </sheetViews>
  <sheetFormatPr defaultRowHeight="15"/>
  <cols>
    <col min="4" max="4" width="12.140625" customWidth="1"/>
    <col min="5" max="5" width="11" customWidth="1"/>
  </cols>
  <sheetData>
    <row r="5" spans="4:5">
      <c r="D5" s="20" t="s">
        <v>63</v>
      </c>
      <c r="E5" s="20" t="s">
        <v>64</v>
      </c>
    </row>
    <row r="6" spans="4:5">
      <c r="D6" t="s">
        <v>65</v>
      </c>
      <c r="E6">
        <v>125000</v>
      </c>
    </row>
    <row r="7" spans="4:5">
      <c r="D7" t="s">
        <v>66</v>
      </c>
      <c r="E7">
        <v>100000</v>
      </c>
    </row>
    <row r="8" spans="4:5">
      <c r="D8" t="s">
        <v>67</v>
      </c>
      <c r="E8">
        <v>80000</v>
      </c>
    </row>
    <row r="9" spans="4:5">
      <c r="D9" t="s">
        <v>68</v>
      </c>
      <c r="E9">
        <v>70000</v>
      </c>
    </row>
    <row r="10" spans="4:5">
      <c r="D10" t="s">
        <v>69</v>
      </c>
      <c r="E10">
        <v>60000</v>
      </c>
    </row>
    <row r="11" spans="4:5">
      <c r="D11" t="s">
        <v>70</v>
      </c>
      <c r="E11">
        <v>100000</v>
      </c>
    </row>
    <row r="12" spans="4:5">
      <c r="D12" t="s">
        <v>71</v>
      </c>
      <c r="E12">
        <v>80000</v>
      </c>
    </row>
    <row r="13" spans="4:5">
      <c r="D13" t="s">
        <v>72</v>
      </c>
      <c r="E13">
        <v>50000</v>
      </c>
    </row>
    <row r="14" spans="4:5">
      <c r="D14" t="s">
        <v>73</v>
      </c>
      <c r="E14">
        <v>30000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7030A0"/>
  </sheetPr>
  <dimension ref="A1:F15"/>
  <sheetViews>
    <sheetView workbookViewId="0">
      <selection activeCell="E2" sqref="E2"/>
    </sheetView>
  </sheetViews>
  <sheetFormatPr defaultRowHeight="15"/>
  <cols>
    <col min="1" max="1" width="18.85546875" bestFit="1" customWidth="1"/>
    <col min="2" max="2" width="13.5703125" bestFit="1" customWidth="1"/>
    <col min="3" max="3" width="11" bestFit="1" customWidth="1"/>
    <col min="4" max="4" width="7.28515625" bestFit="1" customWidth="1"/>
    <col min="5" max="5" width="5" bestFit="1" customWidth="1"/>
  </cols>
  <sheetData>
    <row r="1" spans="1:6">
      <c r="A1" s="32" t="s">
        <v>10</v>
      </c>
      <c r="B1" s="32" t="s">
        <v>93</v>
      </c>
      <c r="C1" s="32" t="s">
        <v>94</v>
      </c>
      <c r="D1" s="32" t="s">
        <v>92</v>
      </c>
      <c r="E1" s="35">
        <v>0.13</v>
      </c>
    </row>
    <row r="2" spans="1:6">
      <c r="A2" s="32" t="s">
        <v>95</v>
      </c>
      <c r="B2">
        <v>60000</v>
      </c>
      <c r="C2">
        <v>45000</v>
      </c>
      <c r="D2">
        <f>B2-C2</f>
        <v>15000</v>
      </c>
      <c r="E2" s="34">
        <f>D2*$E$1</f>
        <v>1950</v>
      </c>
      <c r="F2" s="34"/>
    </row>
    <row r="3" spans="1:6">
      <c r="A3" s="32" t="s">
        <v>96</v>
      </c>
      <c r="B3">
        <v>60000</v>
      </c>
      <c r="C3">
        <v>3500</v>
      </c>
      <c r="D3">
        <f t="shared" ref="D3:D5" si="0">B3-C3</f>
        <v>56500</v>
      </c>
      <c r="E3" s="34">
        <f t="shared" ref="E3:E5" si="1">D3*$E$1</f>
        <v>7345</v>
      </c>
    </row>
    <row r="4" spans="1:6">
      <c r="A4" s="32" t="s">
        <v>97</v>
      </c>
      <c r="B4">
        <v>30000</v>
      </c>
      <c r="C4">
        <v>25000</v>
      </c>
      <c r="D4">
        <f t="shared" si="0"/>
        <v>5000</v>
      </c>
      <c r="E4" s="34">
        <f t="shared" si="1"/>
        <v>650</v>
      </c>
    </row>
    <row r="5" spans="1:6">
      <c r="A5" s="32" t="s">
        <v>98</v>
      </c>
      <c r="B5">
        <v>20000</v>
      </c>
      <c r="C5">
        <v>15000</v>
      </c>
      <c r="D5">
        <f t="shared" si="0"/>
        <v>5000</v>
      </c>
      <c r="E5" s="34">
        <f t="shared" si="1"/>
        <v>650</v>
      </c>
    </row>
    <row r="6" spans="1:6">
      <c r="A6" s="20" t="s">
        <v>99</v>
      </c>
      <c r="B6" s="32"/>
      <c r="E6" s="34"/>
    </row>
    <row r="7" spans="1:6">
      <c r="E7" s="34"/>
    </row>
    <row r="15" spans="1:6">
      <c r="A15" s="33"/>
      <c r="D15" s="33"/>
    </row>
  </sheetData>
  <conditionalFormatting sqref="D14 A16:H31 A14:C15 E14:H15">
    <cfRule type="expression" dxfId="9" priority="2">
      <formula>$A$14:$H$31&lt;&gt;""</formula>
    </cfRule>
    <cfRule type="expression" dxfId="8" priority="3">
      <formula>$A$14:$H$31&lt;&gt;""</formula>
    </cfRule>
    <cfRule type="expression" dxfId="7" priority="4">
      <formula>$A$14:$H$31&lt;&gt;""</formula>
    </cfRule>
    <cfRule type="expression" dxfId="6" priority="5">
      <formula>$A$14:$F$28&lt;&gt;""</formula>
    </cfRule>
  </conditionalFormatting>
  <conditionalFormatting sqref="D15">
    <cfRule type="expression" dxfId="5" priority="1">
      <formula>$D$15&lt;&gt;""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7030A0"/>
  </sheetPr>
  <dimension ref="A1:O14"/>
  <sheetViews>
    <sheetView zoomScale="130" zoomScaleNormal="130" workbookViewId="0">
      <selection activeCell="A15" sqref="A15"/>
    </sheetView>
  </sheetViews>
  <sheetFormatPr defaultRowHeight="15"/>
  <cols>
    <col min="3" max="3" width="11.28515625" bestFit="1" customWidth="1"/>
    <col min="5" max="5" width="15.5703125" customWidth="1"/>
    <col min="11" max="11" width="15.5703125" bestFit="1" customWidth="1"/>
    <col min="13" max="13" width="12.85546875" customWidth="1"/>
    <col min="14" max="14" width="16.140625" bestFit="1" customWidth="1"/>
  </cols>
  <sheetData>
    <row r="1" spans="1:15">
      <c r="A1" s="60" t="s">
        <v>79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5">
      <c r="A2" s="29" t="s">
        <v>74</v>
      </c>
      <c r="B2" s="29" t="s">
        <v>33</v>
      </c>
      <c r="C2" s="30" t="s">
        <v>86</v>
      </c>
      <c r="D2" s="30" t="s">
        <v>87</v>
      </c>
      <c r="E2" s="29" t="s">
        <v>75</v>
      </c>
      <c r="F2" s="29" t="s">
        <v>76</v>
      </c>
      <c r="G2" s="29" t="s">
        <v>80</v>
      </c>
      <c r="H2" s="29" t="s">
        <v>81</v>
      </c>
      <c r="I2" s="29" t="s">
        <v>82</v>
      </c>
      <c r="J2" s="29" t="s">
        <v>83</v>
      </c>
      <c r="K2" s="29" t="s">
        <v>77</v>
      </c>
      <c r="L2" s="29" t="s">
        <v>78</v>
      </c>
      <c r="M2" s="31" t="s">
        <v>84</v>
      </c>
      <c r="N2" s="31" t="s">
        <v>85</v>
      </c>
    </row>
    <row r="3" spans="1:15">
      <c r="A3" s="22">
        <v>1001</v>
      </c>
      <c r="B3" s="22"/>
      <c r="C3" s="28">
        <v>41255</v>
      </c>
      <c r="D3" s="22" t="str">
        <f ca="1">DATEDIF(C3,TODAY(),"m")&amp;"/"&amp;DATEDIF(C3,TODAY(),"Y")</f>
        <v>123/10</v>
      </c>
      <c r="E3" s="22" t="s">
        <v>65</v>
      </c>
      <c r="F3" s="22">
        <f t="shared" ref="F3:F12" si="0">IFERROR(VLOOKUP(E3,postsal,2,0),"")</f>
        <v>125000</v>
      </c>
      <c r="G3" s="21">
        <f>IFERROR(F3*10%,"")</f>
        <v>12500</v>
      </c>
      <c r="H3" s="22">
        <f>IFERROR(F3*5%,"")</f>
        <v>6250</v>
      </c>
      <c r="I3" s="22">
        <f>IFERROR(F3*2%,"")</f>
        <v>2500</v>
      </c>
      <c r="J3" s="22">
        <f>IFERROR(F3*10%,"")</f>
        <v>12500</v>
      </c>
      <c r="K3" s="25">
        <f>SUM(F3:J3)</f>
        <v>158750</v>
      </c>
      <c r="L3" s="22">
        <f>IF(F3="","",SUM(F3:K3))</f>
        <v>317500</v>
      </c>
      <c r="M3" s="22">
        <f>K3*12</f>
        <v>1905000</v>
      </c>
      <c r="N3" s="26">
        <f>IF(M3&lt;600000,M3*1%,IF(M3&lt;=800000,6000+(M3-600000)*10%,IF(M3&lt;=110000,6000+20000+(M3-800000)*20%,6000+20000+60000+(M3-1100000)*30%)))</f>
        <v>327500</v>
      </c>
      <c r="O3" s="27"/>
    </row>
    <row r="4" spans="1:15">
      <c r="A4" s="22">
        <v>1002</v>
      </c>
      <c r="B4" s="22"/>
      <c r="C4" s="28">
        <v>43082</v>
      </c>
      <c r="D4" s="22" t="str">
        <f t="shared" ref="D4:D12" ca="1" si="1">DATEDIF(C4,TODAY(),"m")&amp;"/"&amp;DATEDIF(C4,TODAY(),"Y")</f>
        <v>63/5</v>
      </c>
      <c r="E4" s="22" t="s">
        <v>66</v>
      </c>
      <c r="F4" s="22">
        <f t="shared" si="0"/>
        <v>100000</v>
      </c>
      <c r="G4" s="21">
        <f t="shared" ref="G4:G12" si="2">IFERROR(F4*10%,"")</f>
        <v>10000</v>
      </c>
      <c r="H4" s="22">
        <f t="shared" ref="H4:H12" si="3">IFERROR(F4*5%,"")</f>
        <v>5000</v>
      </c>
      <c r="I4" s="22">
        <f t="shared" ref="I4:I12" si="4">IFERROR(F4*2%,"")</f>
        <v>2000</v>
      </c>
      <c r="J4" s="22">
        <f t="shared" ref="J4:J11" si="5">IFERROR(F4*10%,"")</f>
        <v>10000</v>
      </c>
      <c r="K4" s="25">
        <f t="shared" ref="K4:K12" si="6">SUM(F4:J4)</f>
        <v>127000</v>
      </c>
      <c r="L4" s="22">
        <f t="shared" ref="L4:L11" si="7">IF(F4="","",SUM(F4:K4))</f>
        <v>254000</v>
      </c>
      <c r="M4" s="22">
        <f t="shared" ref="M4:M12" si="8">K4*12</f>
        <v>1524000</v>
      </c>
      <c r="N4" s="26">
        <f t="shared" ref="N4:N12" si="9">IF(M4&lt;600000,M4*1%,IF(M4&lt;=800000,6000+(M4-600000)*10%,IF(M4&lt;=110000,6000+20000+(M4-800000)*20%,6000+20000+60000+(M4-1100000)*30%)))</f>
        <v>213200</v>
      </c>
    </row>
    <row r="5" spans="1:15">
      <c r="A5" s="22">
        <v>1003</v>
      </c>
      <c r="B5" s="22"/>
      <c r="C5" s="28">
        <v>38335</v>
      </c>
      <c r="D5" s="22" t="str">
        <f t="shared" ca="1" si="1"/>
        <v>219/18</v>
      </c>
      <c r="E5" s="22" t="s">
        <v>67</v>
      </c>
      <c r="F5" s="22">
        <f t="shared" si="0"/>
        <v>80000</v>
      </c>
      <c r="G5" s="21">
        <f t="shared" si="2"/>
        <v>8000</v>
      </c>
      <c r="H5" s="22">
        <f t="shared" si="3"/>
        <v>4000</v>
      </c>
      <c r="I5" s="22">
        <f t="shared" si="4"/>
        <v>1600</v>
      </c>
      <c r="J5" s="22">
        <f t="shared" si="5"/>
        <v>8000</v>
      </c>
      <c r="K5" s="25">
        <f t="shared" si="6"/>
        <v>101600</v>
      </c>
      <c r="L5" s="22">
        <f t="shared" si="7"/>
        <v>203200</v>
      </c>
      <c r="M5" s="22">
        <f t="shared" si="8"/>
        <v>1219200</v>
      </c>
      <c r="N5" s="26">
        <f t="shared" si="9"/>
        <v>121760</v>
      </c>
    </row>
    <row r="6" spans="1:15">
      <c r="A6" s="22">
        <v>1004</v>
      </c>
      <c r="B6" s="22"/>
      <c r="C6" s="28">
        <v>39787</v>
      </c>
      <c r="D6" s="22" t="str">
        <f t="shared" ca="1" si="1"/>
        <v>171/14</v>
      </c>
      <c r="E6" s="22" t="s">
        <v>68</v>
      </c>
      <c r="F6" s="22">
        <f t="shared" si="0"/>
        <v>70000</v>
      </c>
      <c r="G6" s="21">
        <f t="shared" si="2"/>
        <v>7000</v>
      </c>
      <c r="H6" s="22">
        <f t="shared" si="3"/>
        <v>3500</v>
      </c>
      <c r="I6" s="22">
        <f t="shared" si="4"/>
        <v>1400</v>
      </c>
      <c r="J6" s="22">
        <f t="shared" si="5"/>
        <v>7000</v>
      </c>
      <c r="K6" s="25">
        <f t="shared" si="6"/>
        <v>88900</v>
      </c>
      <c r="L6" s="22">
        <f t="shared" si="7"/>
        <v>177800</v>
      </c>
      <c r="M6" s="22">
        <f t="shared" si="8"/>
        <v>1066800</v>
      </c>
      <c r="N6" s="26">
        <f>IF(M6&lt;600000,M6*1%,IF(M6&lt;=800000,6000+(M6-600000)*10%,IF(M6&lt;=110000,6000+20000+(M6-800000)*20%,6000+20000+60000+(M6-1100000)*30%)))</f>
        <v>76040</v>
      </c>
    </row>
    <row r="7" spans="1:15">
      <c r="A7" s="22">
        <v>1005</v>
      </c>
      <c r="B7" s="22"/>
      <c r="C7" s="28">
        <v>36876</v>
      </c>
      <c r="D7" s="22" t="str">
        <f t="shared" ca="1" si="1"/>
        <v>267/22</v>
      </c>
      <c r="E7" s="22" t="s">
        <v>69</v>
      </c>
      <c r="F7" s="22">
        <f t="shared" si="0"/>
        <v>60000</v>
      </c>
      <c r="G7" s="21">
        <f t="shared" si="2"/>
        <v>6000</v>
      </c>
      <c r="H7" s="22">
        <f t="shared" si="3"/>
        <v>3000</v>
      </c>
      <c r="I7" s="22">
        <f t="shared" si="4"/>
        <v>1200</v>
      </c>
      <c r="J7" s="22">
        <f t="shared" si="5"/>
        <v>6000</v>
      </c>
      <c r="K7" s="25">
        <f t="shared" si="6"/>
        <v>76200</v>
      </c>
      <c r="L7" s="22">
        <f t="shared" si="7"/>
        <v>152400</v>
      </c>
      <c r="M7" s="22">
        <f t="shared" si="8"/>
        <v>914400</v>
      </c>
      <c r="N7" s="26">
        <f>IF(M7&lt;600000,M7*1%,IF(M7&lt;=800000,6000+(M7-600000)*10%,IF(M7&lt;=110000,6000+20000+(M7-800000)*20%,6000+20000+60000+(M7-1100000)*30%)))</f>
        <v>30320</v>
      </c>
    </row>
    <row r="8" spans="1:15">
      <c r="A8" s="22">
        <v>1006</v>
      </c>
      <c r="B8" s="22"/>
      <c r="C8" s="28">
        <v>41625</v>
      </c>
      <c r="D8" s="22" t="str">
        <f t="shared" ca="1" si="1"/>
        <v>110/9</v>
      </c>
      <c r="E8" s="22" t="s">
        <v>70</v>
      </c>
      <c r="F8" s="22">
        <f t="shared" si="0"/>
        <v>100000</v>
      </c>
      <c r="G8" s="21">
        <f t="shared" si="2"/>
        <v>10000</v>
      </c>
      <c r="H8" s="22">
        <f t="shared" si="3"/>
        <v>5000</v>
      </c>
      <c r="I8" s="22">
        <f t="shared" si="4"/>
        <v>2000</v>
      </c>
      <c r="J8" s="22">
        <f t="shared" si="5"/>
        <v>10000</v>
      </c>
      <c r="K8" s="25">
        <f t="shared" si="6"/>
        <v>127000</v>
      </c>
      <c r="L8" s="22">
        <f t="shared" si="7"/>
        <v>254000</v>
      </c>
      <c r="M8" s="22">
        <f t="shared" si="8"/>
        <v>1524000</v>
      </c>
      <c r="N8" s="26">
        <f>IF(M8&lt;600000,M8*1%,IF(M8&lt;=800000,6000+(M8-600000)*10%,IF(M8&lt;=110000,6000+20000+(M8-800000)*20%,6000+20000+60000+(M8-1100000)*30%)))</f>
        <v>213200</v>
      </c>
    </row>
    <row r="9" spans="1:15">
      <c r="A9" s="22">
        <v>1007</v>
      </c>
      <c r="B9" s="22"/>
      <c r="C9" s="28">
        <v>38704</v>
      </c>
      <c r="D9" s="22" t="str">
        <f t="shared" ca="1" si="1"/>
        <v>206/17</v>
      </c>
      <c r="E9" s="22" t="s">
        <v>70</v>
      </c>
      <c r="F9" s="22">
        <f t="shared" si="0"/>
        <v>100000</v>
      </c>
      <c r="G9" s="21">
        <f t="shared" si="2"/>
        <v>10000</v>
      </c>
      <c r="H9" s="22">
        <f t="shared" si="3"/>
        <v>5000</v>
      </c>
      <c r="I9" s="22">
        <f>IFERROR(F9*2%,"")</f>
        <v>2000</v>
      </c>
      <c r="J9" s="22">
        <f t="shared" si="5"/>
        <v>10000</v>
      </c>
      <c r="K9" s="25">
        <f t="shared" si="6"/>
        <v>127000</v>
      </c>
      <c r="L9" s="22">
        <f t="shared" si="7"/>
        <v>254000</v>
      </c>
      <c r="M9" s="22">
        <f t="shared" si="8"/>
        <v>1524000</v>
      </c>
      <c r="N9" s="26">
        <f t="shared" si="9"/>
        <v>213200</v>
      </c>
    </row>
    <row r="10" spans="1:15">
      <c r="A10" s="22">
        <v>1008</v>
      </c>
      <c r="B10" s="22"/>
      <c r="C10" s="28">
        <v>43453</v>
      </c>
      <c r="D10" s="22" t="str">
        <f t="shared" ca="1" si="1"/>
        <v>50/4</v>
      </c>
      <c r="E10" s="22" t="s">
        <v>71</v>
      </c>
      <c r="F10" s="22">
        <f t="shared" si="0"/>
        <v>80000</v>
      </c>
      <c r="G10" s="21">
        <f t="shared" si="2"/>
        <v>8000</v>
      </c>
      <c r="H10" s="22">
        <f t="shared" si="3"/>
        <v>4000</v>
      </c>
      <c r="I10" s="22">
        <f t="shared" si="4"/>
        <v>1600</v>
      </c>
      <c r="J10" s="22">
        <f t="shared" si="5"/>
        <v>8000</v>
      </c>
      <c r="K10" s="25">
        <f t="shared" si="6"/>
        <v>101600</v>
      </c>
      <c r="L10" s="22">
        <f t="shared" si="7"/>
        <v>203200</v>
      </c>
      <c r="M10" s="22">
        <f t="shared" si="8"/>
        <v>1219200</v>
      </c>
      <c r="N10" s="26">
        <f t="shared" si="9"/>
        <v>121760</v>
      </c>
    </row>
    <row r="11" spans="1:15">
      <c r="A11" s="22">
        <v>1009</v>
      </c>
      <c r="B11" s="22"/>
      <c r="C11" s="28">
        <v>43819</v>
      </c>
      <c r="D11" s="22" t="str">
        <f t="shared" ca="1" si="1"/>
        <v>38/3</v>
      </c>
      <c r="E11" s="22" t="s">
        <v>72</v>
      </c>
      <c r="F11" s="22">
        <f t="shared" si="0"/>
        <v>50000</v>
      </c>
      <c r="G11" s="21">
        <f t="shared" si="2"/>
        <v>5000</v>
      </c>
      <c r="H11" s="22">
        <f t="shared" si="3"/>
        <v>2500</v>
      </c>
      <c r="I11" s="22">
        <f t="shared" si="4"/>
        <v>1000</v>
      </c>
      <c r="J11" s="22">
        <f t="shared" si="5"/>
        <v>5000</v>
      </c>
      <c r="K11" s="25">
        <f t="shared" si="6"/>
        <v>63500</v>
      </c>
      <c r="L11" s="22">
        <f t="shared" si="7"/>
        <v>127000</v>
      </c>
      <c r="M11" s="22">
        <f t="shared" si="8"/>
        <v>762000</v>
      </c>
      <c r="N11" s="26">
        <f t="shared" si="9"/>
        <v>22200</v>
      </c>
    </row>
    <row r="12" spans="1:15">
      <c r="A12" s="22">
        <v>1010</v>
      </c>
      <c r="B12" s="22"/>
      <c r="C12" s="28">
        <v>42359</v>
      </c>
      <c r="D12" s="22" t="str">
        <f t="shared" ca="1" si="1"/>
        <v>86/7</v>
      </c>
      <c r="E12" s="22" t="s">
        <v>73</v>
      </c>
      <c r="F12" s="22">
        <f t="shared" si="0"/>
        <v>30000</v>
      </c>
      <c r="G12" s="24">
        <f t="shared" si="2"/>
        <v>3000</v>
      </c>
      <c r="H12" s="23">
        <f t="shared" si="3"/>
        <v>1500</v>
      </c>
      <c r="I12" s="23">
        <f t="shared" si="4"/>
        <v>600</v>
      </c>
      <c r="J12" s="23">
        <f>IFERROR(F12*10%,"")</f>
        <v>3000</v>
      </c>
      <c r="K12" s="25">
        <f t="shared" si="6"/>
        <v>38100</v>
      </c>
      <c r="L12" s="22">
        <f t="shared" ref="L12" si="10">IF(F12="","",SUM(F12:K12))</f>
        <v>76200</v>
      </c>
      <c r="M12" s="22">
        <f t="shared" si="8"/>
        <v>457200</v>
      </c>
      <c r="N12" s="26">
        <f t="shared" si="9"/>
        <v>4572</v>
      </c>
    </row>
    <row r="14" spans="1:15">
      <c r="I14" s="27"/>
    </row>
  </sheetData>
  <mergeCells count="1">
    <mergeCell ref="A1:N1"/>
  </mergeCells>
  <dataValidations count="1">
    <dataValidation type="list" allowBlank="1" showInputMessage="1" showErrorMessage="1" sqref="E3:E15">
      <formula1>post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4"/>
  <sheetViews>
    <sheetView topLeftCell="A10" zoomScale="136" zoomScaleNormal="136" workbookViewId="0">
      <selection activeCell="E18" sqref="E18"/>
    </sheetView>
  </sheetViews>
  <sheetFormatPr defaultRowHeight="15"/>
  <cols>
    <col min="1" max="1" width="4" bestFit="1" customWidth="1"/>
    <col min="2" max="2" width="15.85546875" customWidth="1"/>
    <col min="3" max="3" width="14.7109375" customWidth="1"/>
    <col min="4" max="4" width="7.28515625" customWidth="1"/>
    <col min="5" max="5" width="9.85546875" customWidth="1"/>
  </cols>
  <sheetData>
    <row r="1" spans="1:12">
      <c r="A1" t="s">
        <v>9</v>
      </c>
      <c r="B1" t="s">
        <v>88</v>
      </c>
      <c r="C1" t="s">
        <v>89</v>
      </c>
      <c r="D1" t="s">
        <v>90</v>
      </c>
      <c r="E1" t="s">
        <v>91</v>
      </c>
    </row>
    <row r="7" spans="1:12">
      <c r="I7" t="s">
        <v>100</v>
      </c>
      <c r="J7" t="s">
        <v>101</v>
      </c>
      <c r="K7" t="s">
        <v>102</v>
      </c>
      <c r="L7" t="s">
        <v>103</v>
      </c>
    </row>
    <row r="8" spans="1:12">
      <c r="I8" s="36">
        <v>35</v>
      </c>
      <c r="J8" s="36">
        <v>56</v>
      </c>
      <c r="K8" s="36">
        <v>51</v>
      </c>
    </row>
    <row r="9" spans="1:12">
      <c r="I9" s="36">
        <v>32</v>
      </c>
      <c r="J9" s="36">
        <v>32</v>
      </c>
      <c r="K9" s="36">
        <v>23</v>
      </c>
    </row>
    <row r="10" spans="1:12">
      <c r="I10">
        <v>25</v>
      </c>
      <c r="J10">
        <v>45</v>
      </c>
      <c r="K10">
        <v>62</v>
      </c>
    </row>
    <row r="11" spans="1:12">
      <c r="I11">
        <v>48</v>
      </c>
      <c r="J11">
        <v>81</v>
      </c>
      <c r="K11">
        <v>48</v>
      </c>
    </row>
    <row r="12" spans="1:12">
      <c r="I12">
        <v>53</v>
      </c>
      <c r="J12">
        <v>26</v>
      </c>
      <c r="K12">
        <v>29</v>
      </c>
    </row>
    <row r="13" spans="1:12">
      <c r="I13" s="37" t="s">
        <v>109</v>
      </c>
    </row>
    <row r="14" spans="1:12">
      <c r="B14" s="37" t="s">
        <v>112</v>
      </c>
      <c r="C14" s="37" t="s">
        <v>113</v>
      </c>
      <c r="I14">
        <v>24</v>
      </c>
      <c r="J14">
        <v>34</v>
      </c>
      <c r="K14">
        <v>37</v>
      </c>
    </row>
    <row r="15" spans="1:12">
      <c r="B15" s="37" t="s">
        <v>114</v>
      </c>
      <c r="C15" s="37" t="s">
        <v>115</v>
      </c>
      <c r="D15" t="str">
        <f>B15&amp;" "&amp;C15</f>
        <v>miya dahal</v>
      </c>
      <c r="I15">
        <v>20</v>
      </c>
      <c r="J15">
        <v>52</v>
      </c>
      <c r="K15">
        <v>48</v>
      </c>
    </row>
    <row r="16" spans="1:12">
      <c r="B16" s="37" t="s">
        <v>119</v>
      </c>
      <c r="C16" s="37" t="s">
        <v>116</v>
      </c>
      <c r="I16">
        <v>38</v>
      </c>
      <c r="J16">
        <v>26</v>
      </c>
      <c r="K16">
        <v>29</v>
      </c>
    </row>
    <row r="17" spans="2:11">
      <c r="B17" s="37" t="s">
        <v>120</v>
      </c>
      <c r="C17" s="37" t="s">
        <v>117</v>
      </c>
      <c r="I17">
        <v>46</v>
      </c>
      <c r="J17">
        <v>32</v>
      </c>
      <c r="K17">
        <v>38</v>
      </c>
    </row>
    <row r="18" spans="2:11">
      <c r="B18" s="37" t="s">
        <v>121</v>
      </c>
      <c r="C18" s="37" t="s">
        <v>118</v>
      </c>
      <c r="H18" s="37" t="s">
        <v>104</v>
      </c>
      <c r="I18">
        <f>SUM(I8:I17)</f>
        <v>321</v>
      </c>
      <c r="J18">
        <f t="shared" ref="J18:K18" si="0">SUM(J8:J17)</f>
        <v>384</v>
      </c>
      <c r="K18">
        <f t="shared" si="0"/>
        <v>365</v>
      </c>
    </row>
    <row r="19" spans="2:11">
      <c r="H19" s="37" t="s">
        <v>105</v>
      </c>
      <c r="I19">
        <f>MAX(I8:I17)</f>
        <v>53</v>
      </c>
      <c r="J19">
        <f t="shared" ref="J19:K19" si="1">MAX(J8:J17)</f>
        <v>81</v>
      </c>
      <c r="K19">
        <f t="shared" si="1"/>
        <v>62</v>
      </c>
    </row>
    <row r="20" spans="2:11">
      <c r="H20" s="37" t="s">
        <v>106</v>
      </c>
      <c r="I20">
        <f>MIN(I8:I17)</f>
        <v>20</v>
      </c>
      <c r="J20">
        <f t="shared" ref="J20:K20" si="2">MIN(J8:J17)</f>
        <v>26</v>
      </c>
      <c r="K20">
        <f t="shared" si="2"/>
        <v>23</v>
      </c>
    </row>
    <row r="21" spans="2:11">
      <c r="H21" s="37" t="s">
        <v>107</v>
      </c>
      <c r="I21">
        <f>COUNT(I8:I17)</f>
        <v>9</v>
      </c>
      <c r="J21">
        <f t="shared" ref="J21:K21" si="3">COUNT(J8:J17)</f>
        <v>9</v>
      </c>
      <c r="K21">
        <f t="shared" si="3"/>
        <v>9</v>
      </c>
    </row>
    <row r="22" spans="2:11">
      <c r="H22" s="37" t="s">
        <v>108</v>
      </c>
      <c r="I22">
        <f>COUNTA(I8:I17)</f>
        <v>10</v>
      </c>
      <c r="J22">
        <f t="shared" ref="J22:K22" si="4">COUNTA(J8:J17)</f>
        <v>9</v>
      </c>
      <c r="K22">
        <f t="shared" si="4"/>
        <v>9</v>
      </c>
    </row>
    <row r="23" spans="2:11">
      <c r="H23" s="37" t="s">
        <v>110</v>
      </c>
      <c r="I23" s="37">
        <f>AVERAGE(I8:I17)</f>
        <v>35.666666666666664</v>
      </c>
    </row>
    <row r="24" spans="2:11">
      <c r="H24" s="37" t="s">
        <v>111</v>
      </c>
      <c r="I24">
        <f>FREQUENCY(I8:I17,I11)</f>
        <v>8</v>
      </c>
    </row>
  </sheetData>
  <conditionalFormatting sqref="I8:K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-0.249977111117893"/>
  </sheetPr>
  <dimension ref="A2:P13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P1" sqref="P1"/>
    </sheetView>
  </sheetViews>
  <sheetFormatPr defaultColWidth="9" defaultRowHeight="15"/>
  <cols>
    <col min="1" max="1" width="18.28515625" customWidth="1"/>
    <col min="2" max="2" width="9.140625" bestFit="1" customWidth="1"/>
    <col min="4" max="5" width="9.85546875" bestFit="1" customWidth="1"/>
    <col min="6" max="9" width="9.140625" bestFit="1" customWidth="1"/>
    <col min="16" max="16" width="11.5703125" bestFit="1" customWidth="1"/>
  </cols>
  <sheetData>
    <row r="2" spans="1:16">
      <c r="A2" s="37"/>
    </row>
    <row r="3" spans="1:16" ht="18.75">
      <c r="B3" s="39" t="s">
        <v>9</v>
      </c>
      <c r="C3" s="39" t="s">
        <v>133</v>
      </c>
      <c r="D3" s="39" t="s">
        <v>134</v>
      </c>
      <c r="E3" s="39" t="s">
        <v>135</v>
      </c>
      <c r="F3" s="39" t="s">
        <v>122</v>
      </c>
      <c r="G3" s="39" t="s">
        <v>123</v>
      </c>
      <c r="H3" s="39" t="s">
        <v>124</v>
      </c>
      <c r="I3" s="39" t="s">
        <v>125</v>
      </c>
    </row>
    <row r="4" spans="1:16" ht="18.75">
      <c r="B4" s="38">
        <v>1</v>
      </c>
      <c r="C4" s="38" t="s">
        <v>126</v>
      </c>
      <c r="D4" s="38">
        <v>90000</v>
      </c>
      <c r="E4" s="38">
        <v>95000</v>
      </c>
      <c r="F4" s="38">
        <f>E4-D4</f>
        <v>5000</v>
      </c>
      <c r="G4" s="38">
        <f>F4*10%</f>
        <v>500</v>
      </c>
      <c r="H4" s="38">
        <f>F4*13%</f>
        <v>650</v>
      </c>
      <c r="I4" s="38" t="s">
        <v>136</v>
      </c>
    </row>
    <row r="5" spans="1:16" ht="18.75">
      <c r="B5" s="38">
        <v>2</v>
      </c>
      <c r="C5" s="38" t="s">
        <v>127</v>
      </c>
      <c r="D5" s="38">
        <v>70000</v>
      </c>
      <c r="E5" s="38">
        <v>80000</v>
      </c>
      <c r="F5" s="38">
        <f t="shared" ref="F5:F10" si="0">E5-D5</f>
        <v>10000</v>
      </c>
      <c r="G5" s="38">
        <f t="shared" ref="G5:G10" si="1">F5*10%</f>
        <v>1000</v>
      </c>
      <c r="H5" s="38">
        <f t="shared" ref="H5:H10" si="2">F5*13%</f>
        <v>1300</v>
      </c>
      <c r="I5" s="38">
        <f t="shared" ref="I5:I10" si="3">F5-G5+H5</f>
        <v>10300</v>
      </c>
    </row>
    <row r="6" spans="1:16" ht="18.75">
      <c r="B6" s="38">
        <v>3</v>
      </c>
      <c r="C6" s="38" t="s">
        <v>128</v>
      </c>
      <c r="D6" s="38">
        <v>120000</v>
      </c>
      <c r="E6" s="38">
        <v>125000</v>
      </c>
      <c r="F6" s="38">
        <f t="shared" si="0"/>
        <v>5000</v>
      </c>
      <c r="G6" s="38">
        <f t="shared" si="1"/>
        <v>500</v>
      </c>
      <c r="H6" s="38">
        <f t="shared" si="2"/>
        <v>650</v>
      </c>
      <c r="I6" s="38">
        <f t="shared" si="3"/>
        <v>5150</v>
      </c>
    </row>
    <row r="7" spans="1:16" ht="18.75">
      <c r="B7" s="38">
        <v>4</v>
      </c>
      <c r="C7" s="38" t="s">
        <v>129</v>
      </c>
      <c r="D7" s="38">
        <v>85000</v>
      </c>
      <c r="E7" s="38">
        <v>93000</v>
      </c>
      <c r="F7" s="38">
        <f t="shared" si="0"/>
        <v>8000</v>
      </c>
      <c r="G7" s="38">
        <f t="shared" si="1"/>
        <v>800</v>
      </c>
      <c r="H7" s="38">
        <f t="shared" si="2"/>
        <v>1040</v>
      </c>
      <c r="I7" s="38">
        <f t="shared" si="3"/>
        <v>8240</v>
      </c>
    </row>
    <row r="8" spans="1:16" ht="18.75">
      <c r="B8" s="38">
        <v>5</v>
      </c>
      <c r="C8" s="38" t="s">
        <v>130</v>
      </c>
      <c r="D8" s="38">
        <v>10000</v>
      </c>
      <c r="E8" s="38">
        <v>15000</v>
      </c>
      <c r="F8" s="38">
        <f t="shared" si="0"/>
        <v>5000</v>
      </c>
      <c r="G8" s="38">
        <f t="shared" si="1"/>
        <v>500</v>
      </c>
      <c r="H8" s="38">
        <f t="shared" si="2"/>
        <v>650</v>
      </c>
      <c r="I8" s="38">
        <f t="shared" si="3"/>
        <v>5150</v>
      </c>
    </row>
    <row r="9" spans="1:16" ht="18.75">
      <c r="B9" s="38">
        <v>6</v>
      </c>
      <c r="C9" s="38" t="s">
        <v>131</v>
      </c>
      <c r="D9" s="38">
        <v>70000</v>
      </c>
      <c r="E9" s="38">
        <v>75000</v>
      </c>
      <c r="F9" s="38">
        <f t="shared" si="0"/>
        <v>5000</v>
      </c>
      <c r="G9" s="38">
        <f t="shared" si="1"/>
        <v>500</v>
      </c>
      <c r="H9" s="38">
        <f t="shared" si="2"/>
        <v>650</v>
      </c>
      <c r="I9" s="38">
        <f t="shared" si="3"/>
        <v>5150</v>
      </c>
    </row>
    <row r="10" spans="1:16" ht="18.75">
      <c r="B10" s="38">
        <v>7</v>
      </c>
      <c r="C10" s="38" t="s">
        <v>132</v>
      </c>
      <c r="D10" s="38">
        <v>65000</v>
      </c>
      <c r="E10" s="38">
        <v>80000</v>
      </c>
      <c r="F10" s="38">
        <f t="shared" si="0"/>
        <v>15000</v>
      </c>
      <c r="G10" s="38">
        <f t="shared" si="1"/>
        <v>1500</v>
      </c>
      <c r="H10" s="38">
        <f t="shared" si="2"/>
        <v>1950</v>
      </c>
      <c r="I10" s="38">
        <f t="shared" si="3"/>
        <v>15450</v>
      </c>
    </row>
    <row r="12" spans="1:16">
      <c r="J12" t="s">
        <v>137</v>
      </c>
      <c r="P12" s="41"/>
    </row>
    <row r="13" spans="1:16">
      <c r="P13" s="4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4"/>
  <sheetViews>
    <sheetView workbookViewId="0">
      <selection activeCell="F30" sqref="F30"/>
    </sheetView>
  </sheetViews>
  <sheetFormatPr defaultRowHeight="15"/>
  <cols>
    <col min="4" max="4" width="10.28515625" customWidth="1"/>
  </cols>
  <sheetData>
    <row r="4" spans="2:4">
      <c r="B4" s="42" t="s">
        <v>34</v>
      </c>
      <c r="C4" s="42" t="s">
        <v>35</v>
      </c>
      <c r="D4" s="42" t="s">
        <v>37</v>
      </c>
    </row>
    <row r="5" spans="2:4">
      <c r="B5" s="42">
        <v>95</v>
      </c>
      <c r="C5" s="42">
        <v>90</v>
      </c>
      <c r="D5" s="42">
        <v>85</v>
      </c>
    </row>
    <row r="23" spans="1:5">
      <c r="A23" s="43" t="s">
        <v>141</v>
      </c>
      <c r="B23" s="43" t="s">
        <v>138</v>
      </c>
      <c r="C23" s="43" t="s">
        <v>139</v>
      </c>
      <c r="D23" s="43" t="s">
        <v>140</v>
      </c>
      <c r="E23" s="43" t="s">
        <v>142</v>
      </c>
    </row>
    <row r="24" spans="1:5">
      <c r="A24" s="43">
        <v>90</v>
      </c>
      <c r="B24" s="43">
        <v>25</v>
      </c>
      <c r="C24" s="43">
        <v>45</v>
      </c>
      <c r="D24" s="43">
        <v>60</v>
      </c>
      <c r="E24" s="43">
        <v>30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W16"/>
  <sheetViews>
    <sheetView topLeftCell="F1" workbookViewId="0">
      <selection activeCell="O19" sqref="O19"/>
    </sheetView>
  </sheetViews>
  <sheetFormatPr defaultRowHeight="15"/>
  <cols>
    <col min="6" max="6" width="14.140625" bestFit="1" customWidth="1"/>
    <col min="8" max="8" width="10" bestFit="1" customWidth="1"/>
  </cols>
  <sheetData>
    <row r="4" spans="5:23">
      <c r="E4" s="44" t="s">
        <v>9</v>
      </c>
      <c r="F4" s="44" t="s">
        <v>143</v>
      </c>
      <c r="G4" s="44" t="s">
        <v>11</v>
      </c>
      <c r="H4" s="44" t="s">
        <v>12</v>
      </c>
      <c r="I4" s="44" t="s">
        <v>13</v>
      </c>
      <c r="L4" s="45" t="s">
        <v>9</v>
      </c>
      <c r="M4" s="45" t="s">
        <v>33</v>
      </c>
      <c r="N4" s="45" t="s">
        <v>37</v>
      </c>
      <c r="O4" s="45" t="s">
        <v>150</v>
      </c>
      <c r="P4" s="45" t="s">
        <v>151</v>
      </c>
      <c r="Q4" s="45" t="s">
        <v>42</v>
      </c>
      <c r="R4" s="45" t="s">
        <v>35</v>
      </c>
      <c r="S4" s="45" t="s">
        <v>28</v>
      </c>
      <c r="T4" s="45" t="s">
        <v>44</v>
      </c>
      <c r="U4" s="45" t="s">
        <v>40</v>
      </c>
      <c r="V4" s="45" t="s">
        <v>41</v>
      </c>
      <c r="W4" s="45" t="s">
        <v>38</v>
      </c>
    </row>
    <row r="5" spans="5:23">
      <c r="E5" s="5">
        <v>1</v>
      </c>
      <c r="F5" s="5" t="s">
        <v>144</v>
      </c>
      <c r="G5" s="5">
        <v>400</v>
      </c>
      <c r="H5" s="5">
        <v>5</v>
      </c>
      <c r="I5" s="5">
        <f>G5*H5</f>
        <v>2000</v>
      </c>
      <c r="L5" s="5">
        <v>1</v>
      </c>
      <c r="M5" s="45" t="s">
        <v>152</v>
      </c>
      <c r="N5" s="5">
        <v>42</v>
      </c>
      <c r="O5" s="5">
        <v>89</v>
      </c>
      <c r="P5" s="5">
        <v>79</v>
      </c>
      <c r="Q5" s="5">
        <v>79</v>
      </c>
      <c r="R5" s="5">
        <v>65</v>
      </c>
      <c r="S5" s="5">
        <f>SUM(N5:R5)</f>
        <v>354</v>
      </c>
      <c r="T5" s="16">
        <f>SUM(S5/5)</f>
        <v>70.8</v>
      </c>
      <c r="U5" s="5" t="str">
        <f>IF(T5&gt;=90,"A+",IF(T5&gt;=80,"A",IF(T5&gt;=70,"B+",IF(T5&gt;=60,"B",IF(T5&gt;=50,"C+",IF(T5&gt;=40,"D","E"))))))</f>
        <v>B+</v>
      </c>
      <c r="V5" s="5">
        <f>RANK(T5,$T$5:$T$12)</f>
        <v>4</v>
      </c>
      <c r="W5" s="5" t="str">
        <f>IF(AND(N5&gt;=40,O5&gt;=40,P5&gt;=40,Q5&gt;=40,R5&gt;=40),"PASSED","FAILED")</f>
        <v>PASSED</v>
      </c>
    </row>
    <row r="6" spans="5:23">
      <c r="E6" s="5">
        <v>2</v>
      </c>
      <c r="F6" s="5" t="s">
        <v>145</v>
      </c>
      <c r="G6" s="5">
        <v>230</v>
      </c>
      <c r="H6" s="5">
        <v>6</v>
      </c>
      <c r="I6" s="5">
        <f t="shared" ref="I6:I9" si="0">G6*H6</f>
        <v>1380</v>
      </c>
      <c r="L6" s="5">
        <v>2</v>
      </c>
      <c r="M6" s="45" t="s">
        <v>152</v>
      </c>
      <c r="N6" s="5">
        <v>48</v>
      </c>
      <c r="O6" s="5">
        <v>50</v>
      </c>
      <c r="P6" s="5">
        <v>71</v>
      </c>
      <c r="Q6" s="5">
        <v>97</v>
      </c>
      <c r="R6" s="5">
        <v>100</v>
      </c>
      <c r="S6" s="5">
        <f t="shared" ref="S6:S12" si="1">SUM(N6:R6)</f>
        <v>366</v>
      </c>
      <c r="T6" s="16">
        <f t="shared" ref="T6:T12" si="2">SUM(S6/5)</f>
        <v>73.2</v>
      </c>
      <c r="U6" s="5" t="str">
        <f t="shared" ref="U6:U12" si="3">IF(T6&gt;=90,"A+",IF(T6&gt;=80,"A",IF(T6&gt;=70,"B+",IF(T6&gt;=60,"B",IF(T6&gt;=50,"C+",IF(T6&gt;=40,"D","E"))))))</f>
        <v>B+</v>
      </c>
      <c r="V6" s="5">
        <f t="shared" ref="V6:V12" si="4">RANK(T6,$T$5:$T$12)</f>
        <v>3</v>
      </c>
      <c r="W6" s="5" t="str">
        <f t="shared" ref="W6:W11" si="5">IF(AND(N6&gt;=40,O6&gt;=40,P6&gt;=40,Q6&gt;=40,R6&gt;=40),"PASSED","FAILED")</f>
        <v>PASSED</v>
      </c>
    </row>
    <row r="7" spans="5:23">
      <c r="E7" s="5">
        <v>3</v>
      </c>
      <c r="F7" s="5" t="s">
        <v>146</v>
      </c>
      <c r="G7" s="5">
        <v>300</v>
      </c>
      <c r="H7" s="5">
        <v>9</v>
      </c>
      <c r="I7" s="5">
        <f t="shared" si="0"/>
        <v>2700</v>
      </c>
      <c r="L7" s="5">
        <v>3</v>
      </c>
      <c r="M7" s="45" t="s">
        <v>153</v>
      </c>
      <c r="N7" s="5">
        <v>98</v>
      </c>
      <c r="O7" s="5">
        <v>79</v>
      </c>
      <c r="P7" s="5">
        <v>90</v>
      </c>
      <c r="Q7" s="5">
        <v>64</v>
      </c>
      <c r="R7" s="5">
        <v>85</v>
      </c>
      <c r="S7" s="5">
        <f t="shared" si="1"/>
        <v>416</v>
      </c>
      <c r="T7" s="16">
        <f t="shared" si="2"/>
        <v>83.2</v>
      </c>
      <c r="U7" s="5" t="str">
        <f t="shared" si="3"/>
        <v>A</v>
      </c>
      <c r="V7" s="5">
        <f t="shared" si="4"/>
        <v>1</v>
      </c>
      <c r="W7" s="5" t="str">
        <f t="shared" si="5"/>
        <v>PASSED</v>
      </c>
    </row>
    <row r="8" spans="5:23">
      <c r="E8" s="5">
        <v>4</v>
      </c>
      <c r="F8" s="5" t="s">
        <v>147</v>
      </c>
      <c r="G8" s="5">
        <v>480</v>
      </c>
      <c r="H8" s="5">
        <v>12</v>
      </c>
      <c r="I8" s="5">
        <f t="shared" si="0"/>
        <v>5760</v>
      </c>
      <c r="L8" s="5">
        <v>4</v>
      </c>
      <c r="M8" s="45" t="s">
        <v>154</v>
      </c>
      <c r="N8" s="5">
        <v>41</v>
      </c>
      <c r="O8" s="5">
        <v>68</v>
      </c>
      <c r="P8" s="5">
        <v>51</v>
      </c>
      <c r="Q8" s="5">
        <v>54</v>
      </c>
      <c r="R8" s="5">
        <v>95</v>
      </c>
      <c r="S8" s="5">
        <f t="shared" si="1"/>
        <v>309</v>
      </c>
      <c r="T8" s="16">
        <f t="shared" si="2"/>
        <v>61.8</v>
      </c>
      <c r="U8" s="5" t="str">
        <f t="shared" si="3"/>
        <v>B</v>
      </c>
      <c r="V8" s="5">
        <f t="shared" si="4"/>
        <v>6</v>
      </c>
      <c r="W8" s="5" t="str">
        <f t="shared" si="5"/>
        <v>PASSED</v>
      </c>
    </row>
    <row r="9" spans="5:23">
      <c r="E9" s="5">
        <v>5</v>
      </c>
      <c r="F9" s="5" t="s">
        <v>42</v>
      </c>
      <c r="G9" s="5">
        <v>430</v>
      </c>
      <c r="H9" s="5">
        <v>6</v>
      </c>
      <c r="I9" s="5">
        <f t="shared" si="0"/>
        <v>2580</v>
      </c>
      <c r="L9" s="5">
        <v>5</v>
      </c>
      <c r="M9" s="45" t="s">
        <v>155</v>
      </c>
      <c r="N9" s="5">
        <v>47</v>
      </c>
      <c r="O9" s="5">
        <v>42</v>
      </c>
      <c r="P9" s="5">
        <v>79</v>
      </c>
      <c r="Q9" s="5">
        <v>53</v>
      </c>
      <c r="R9" s="5">
        <v>84</v>
      </c>
      <c r="S9" s="5">
        <f t="shared" si="1"/>
        <v>305</v>
      </c>
      <c r="T9" s="16">
        <f t="shared" si="2"/>
        <v>61</v>
      </c>
      <c r="U9" s="5" t="str">
        <f t="shared" si="3"/>
        <v>B</v>
      </c>
      <c r="V9" s="5">
        <f t="shared" si="4"/>
        <v>7</v>
      </c>
      <c r="W9" s="5" t="str">
        <f t="shared" si="5"/>
        <v>PASSED</v>
      </c>
    </row>
    <row r="10" spans="5:23">
      <c r="E10" s="5"/>
      <c r="F10" s="5" t="s">
        <v>28</v>
      </c>
      <c r="G10" s="5">
        <f>SUM(I5:I9)</f>
        <v>14420</v>
      </c>
      <c r="H10" s="5"/>
      <c r="I10" s="5"/>
      <c r="L10" s="5">
        <v>6</v>
      </c>
      <c r="M10" s="45" t="s">
        <v>156</v>
      </c>
      <c r="N10" s="5">
        <v>72</v>
      </c>
      <c r="O10" s="5">
        <v>59</v>
      </c>
      <c r="P10" s="5">
        <v>30</v>
      </c>
      <c r="Q10" s="5">
        <v>47</v>
      </c>
      <c r="R10" s="5">
        <v>70</v>
      </c>
      <c r="S10" s="5">
        <f t="shared" si="1"/>
        <v>278</v>
      </c>
      <c r="T10" s="16">
        <f t="shared" si="2"/>
        <v>55.6</v>
      </c>
      <c r="U10" s="5" t="str">
        <f t="shared" si="3"/>
        <v>C+</v>
      </c>
      <c r="V10" s="5">
        <f t="shared" si="4"/>
        <v>8</v>
      </c>
      <c r="W10" s="5" t="str">
        <f t="shared" si="5"/>
        <v>FAILED</v>
      </c>
    </row>
    <row r="11" spans="5:23">
      <c r="E11" s="5"/>
      <c r="F11" s="5" t="s">
        <v>29</v>
      </c>
      <c r="G11" s="5">
        <f>10%*G10</f>
        <v>1442</v>
      </c>
      <c r="H11" s="5"/>
      <c r="I11" s="5"/>
      <c r="L11" s="5">
        <v>7</v>
      </c>
      <c r="M11" s="45" t="s">
        <v>157</v>
      </c>
      <c r="N11" s="5">
        <v>54</v>
      </c>
      <c r="O11" s="5">
        <v>65</v>
      </c>
      <c r="P11" s="5">
        <v>51</v>
      </c>
      <c r="Q11" s="5">
        <v>65</v>
      </c>
      <c r="R11" s="5">
        <v>99</v>
      </c>
      <c r="S11" s="5">
        <f t="shared" si="1"/>
        <v>334</v>
      </c>
      <c r="T11" s="16">
        <f t="shared" si="2"/>
        <v>66.8</v>
      </c>
      <c r="U11" s="5" t="str">
        <f t="shared" si="3"/>
        <v>B</v>
      </c>
      <c r="V11" s="5">
        <f t="shared" si="4"/>
        <v>5</v>
      </c>
      <c r="W11" s="5" t="str">
        <f t="shared" si="5"/>
        <v>PASSED</v>
      </c>
    </row>
    <row r="12" spans="5:23">
      <c r="E12" s="5"/>
      <c r="F12" s="5" t="s">
        <v>148</v>
      </c>
      <c r="G12" s="5">
        <f>13%*G10</f>
        <v>1874.6000000000001</v>
      </c>
      <c r="H12" s="5"/>
      <c r="I12" s="5"/>
      <c r="L12" s="5">
        <v>8</v>
      </c>
      <c r="M12" s="45" t="s">
        <v>158</v>
      </c>
      <c r="N12" s="5">
        <v>95</v>
      </c>
      <c r="O12" s="5">
        <v>75</v>
      </c>
      <c r="P12" s="5">
        <v>58</v>
      </c>
      <c r="Q12" s="5">
        <v>87</v>
      </c>
      <c r="R12" s="5">
        <v>68</v>
      </c>
      <c r="S12" s="5">
        <f t="shared" si="1"/>
        <v>383</v>
      </c>
      <c r="T12" s="16">
        <f t="shared" si="2"/>
        <v>76.599999999999994</v>
      </c>
      <c r="U12" s="5" t="str">
        <f t="shared" si="3"/>
        <v>B+</v>
      </c>
      <c r="V12" s="5">
        <f t="shared" si="4"/>
        <v>2</v>
      </c>
      <c r="W12" s="5" t="str">
        <f>IF(AND(N12&gt;=40,O12&gt;=40,P12&gt;=40,Q12&gt;=40,R12&gt;=40),"PASSED","FAILED")</f>
        <v>PASSED</v>
      </c>
    </row>
    <row r="13" spans="5:23">
      <c r="E13" s="5"/>
      <c r="F13" s="5" t="s">
        <v>149</v>
      </c>
      <c r="G13" s="5">
        <f>G10-G11+G12</f>
        <v>14852.6</v>
      </c>
      <c r="H13" s="5"/>
      <c r="I13" s="5"/>
      <c r="L13" s="5"/>
      <c r="M13" s="45" t="s">
        <v>159</v>
      </c>
      <c r="N13" s="5">
        <f>MIN(N5:R12)</f>
        <v>30</v>
      </c>
      <c r="O13" s="5"/>
      <c r="P13" s="5"/>
      <c r="S13" s="5"/>
      <c r="T13" s="5"/>
      <c r="U13" s="5"/>
      <c r="V13" s="5"/>
      <c r="W13" s="5"/>
    </row>
    <row r="14" spans="5:23">
      <c r="E14" s="5"/>
      <c r="F14" s="5"/>
      <c r="G14" s="5"/>
      <c r="H14" s="5"/>
      <c r="I14" s="5"/>
      <c r="L14" s="5"/>
      <c r="M14" s="45" t="s">
        <v>160</v>
      </c>
      <c r="N14" s="5">
        <f>MAX(N5:R12)</f>
        <v>100</v>
      </c>
      <c r="O14" s="5"/>
      <c r="P14" s="5"/>
      <c r="Q14" s="5"/>
      <c r="R14" s="5"/>
      <c r="S14" s="5"/>
      <c r="T14" s="5"/>
      <c r="U14" s="5"/>
      <c r="V14" s="5"/>
      <c r="W14" s="5"/>
    </row>
    <row r="15" spans="5:23">
      <c r="L15" s="5"/>
      <c r="M15" s="45" t="s">
        <v>161</v>
      </c>
      <c r="N15" s="5">
        <f>COUNTIF(N5:R12,"&gt;=60")</f>
        <v>25</v>
      </c>
      <c r="O15" s="5"/>
      <c r="P15" s="5"/>
      <c r="Q15" s="5"/>
      <c r="R15" s="5"/>
      <c r="S15" s="5"/>
      <c r="T15" s="5"/>
      <c r="U15" s="5"/>
      <c r="V15" s="5"/>
      <c r="W15" s="5"/>
    </row>
    <row r="16" spans="5:23"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</sheetData>
  <conditionalFormatting sqref="N5:R12">
    <cfRule type="cellIs" dxfId="4" priority="4" operator="lessThan">
      <formula>40</formula>
    </cfRule>
    <cfRule type="cellIs" dxfId="3" priority="5" operator="greaterThan">
      <formula>90</formula>
    </cfRule>
  </conditionalFormatting>
  <conditionalFormatting sqref="W5:W12">
    <cfRule type="cellIs" dxfId="2" priority="1" operator="equal">
      <formula>"FAILED"</formula>
    </cfRule>
    <cfRule type="cellIs" dxfId="1" priority="2" operator="equal">
      <formula>"PASSED"</formula>
    </cfRule>
    <cfRule type="cellIs" dxfId="0" priority="3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30" zoomScaleNormal="130" workbookViewId="0">
      <selection sqref="A1:H2"/>
    </sheetView>
  </sheetViews>
  <sheetFormatPr defaultRowHeight="15"/>
  <cols>
    <col min="3" max="3" width="13.5703125" bestFit="1" customWidth="1"/>
    <col min="4" max="4" width="11.5703125" customWidth="1"/>
    <col min="6" max="6" width="10.5703125" customWidth="1"/>
    <col min="7" max="7" width="15.42578125" bestFit="1" customWidth="1"/>
  </cols>
  <sheetData>
    <row r="1" spans="1:10">
      <c r="A1" s="62" t="s">
        <v>162</v>
      </c>
      <c r="B1" s="62"/>
      <c r="C1" s="62"/>
      <c r="D1" s="62"/>
      <c r="E1" s="62"/>
      <c r="F1" s="62"/>
      <c r="G1" s="62"/>
      <c r="H1" s="62"/>
      <c r="J1" t="s">
        <v>169</v>
      </c>
    </row>
    <row r="2" spans="1:10">
      <c r="A2" s="44" t="s">
        <v>163</v>
      </c>
      <c r="B2" s="44" t="s">
        <v>33</v>
      </c>
      <c r="C2" s="44" t="s">
        <v>75</v>
      </c>
      <c r="D2" s="44" t="s">
        <v>164</v>
      </c>
      <c r="E2" s="44" t="s">
        <v>165</v>
      </c>
      <c r="F2" s="44" t="s">
        <v>166</v>
      </c>
      <c r="G2" s="44" t="s">
        <v>167</v>
      </c>
      <c r="H2" s="44" t="s">
        <v>168</v>
      </c>
    </row>
    <row r="3" spans="1:10">
      <c r="A3" s="5">
        <v>1</v>
      </c>
      <c r="B3" s="63" t="s">
        <v>179</v>
      </c>
      <c r="C3" s="63" t="s">
        <v>65</v>
      </c>
      <c r="D3" s="63" t="s">
        <v>182</v>
      </c>
      <c r="E3" s="5">
        <v>100000</v>
      </c>
      <c r="F3" s="64">
        <v>36540</v>
      </c>
      <c r="G3" s="5">
        <f ca="1">DATEDIF(F3,TODAY(),"y")</f>
        <v>23</v>
      </c>
      <c r="H3" s="63" t="s">
        <v>186</v>
      </c>
    </row>
    <row r="4" spans="1:10">
      <c r="A4" s="5">
        <v>2</v>
      </c>
      <c r="B4" s="63" t="s">
        <v>170</v>
      </c>
      <c r="C4" s="63" t="s">
        <v>66</v>
      </c>
      <c r="D4" s="63" t="s">
        <v>184</v>
      </c>
      <c r="E4" s="5">
        <v>100000</v>
      </c>
      <c r="F4" s="65">
        <v>38113</v>
      </c>
      <c r="G4" s="5">
        <f ca="1">DATEDIF(F4,TODAY(),"y")</f>
        <v>18</v>
      </c>
      <c r="H4" s="63" t="s">
        <v>187</v>
      </c>
    </row>
    <row r="5" spans="1:10">
      <c r="A5" s="5">
        <v>3</v>
      </c>
      <c r="B5" s="63" t="s">
        <v>171</v>
      </c>
      <c r="C5" s="63" t="s">
        <v>66</v>
      </c>
      <c r="D5" s="63" t="s">
        <v>183</v>
      </c>
      <c r="E5" s="5">
        <v>80000</v>
      </c>
      <c r="F5" s="65">
        <v>42161</v>
      </c>
      <c r="G5" s="5">
        <f ca="1">DATEDIF(F5,TODAY(),"y")</f>
        <v>7</v>
      </c>
      <c r="H5" s="63" t="s">
        <v>186</v>
      </c>
    </row>
    <row r="6" spans="1:10">
      <c r="A6" s="5">
        <v>4</v>
      </c>
      <c r="B6" s="63" t="s">
        <v>172</v>
      </c>
      <c r="C6" s="63" t="s">
        <v>180</v>
      </c>
      <c r="D6" s="63" t="s">
        <v>183</v>
      </c>
      <c r="E6" s="5">
        <v>80000</v>
      </c>
      <c r="F6" s="64">
        <v>41902</v>
      </c>
      <c r="G6" s="5">
        <f ca="1">DATEDIF(F6,TODAY(),"y")</f>
        <v>8</v>
      </c>
      <c r="H6" s="63" t="s">
        <v>188</v>
      </c>
    </row>
    <row r="7" spans="1:10">
      <c r="A7" s="5">
        <v>5</v>
      </c>
      <c r="B7" s="63" t="s">
        <v>173</v>
      </c>
      <c r="C7" s="63" t="s">
        <v>181</v>
      </c>
      <c r="D7" s="63" t="s">
        <v>183</v>
      </c>
      <c r="E7" s="5">
        <v>80000</v>
      </c>
      <c r="F7" s="65">
        <v>36669</v>
      </c>
      <c r="G7" s="5">
        <f ca="1">DATEDIF(F7,TODAY(),"y")</f>
        <v>22</v>
      </c>
      <c r="H7" s="63" t="s">
        <v>186</v>
      </c>
    </row>
    <row r="8" spans="1:10">
      <c r="A8" s="5">
        <v>6</v>
      </c>
      <c r="B8" s="63" t="s">
        <v>174</v>
      </c>
      <c r="C8" s="63" t="s">
        <v>181</v>
      </c>
      <c r="D8" s="63" t="s">
        <v>184</v>
      </c>
      <c r="E8" s="5">
        <v>100000</v>
      </c>
      <c r="F8" s="64">
        <v>37795</v>
      </c>
      <c r="G8" s="5">
        <f ca="1">DATEDIF(F8,TODAY(),"y")</f>
        <v>19</v>
      </c>
      <c r="H8" s="63" t="s">
        <v>187</v>
      </c>
    </row>
    <row r="9" spans="1:10">
      <c r="A9" s="5">
        <v>7</v>
      </c>
      <c r="B9" s="63" t="s">
        <v>175</v>
      </c>
      <c r="C9" s="63" t="s">
        <v>181</v>
      </c>
      <c r="D9" s="63" t="s">
        <v>185</v>
      </c>
      <c r="E9" s="5">
        <v>70000</v>
      </c>
      <c r="F9" s="64">
        <v>39323</v>
      </c>
      <c r="G9" s="5">
        <f ca="1">DATEDIF(F9,TODAY(),"y")</f>
        <v>15</v>
      </c>
      <c r="H9" s="63" t="s">
        <v>186</v>
      </c>
    </row>
    <row r="10" spans="1:10">
      <c r="A10" s="5">
        <v>8</v>
      </c>
      <c r="B10" s="63" t="s">
        <v>176</v>
      </c>
      <c r="C10" s="63" t="s">
        <v>66</v>
      </c>
      <c r="D10" s="63" t="s">
        <v>185</v>
      </c>
      <c r="E10" s="5">
        <v>70000</v>
      </c>
      <c r="F10" s="64">
        <v>37062</v>
      </c>
      <c r="G10" s="5">
        <f ca="1">DATEDIF(F10,TODAY(),"y")</f>
        <v>21</v>
      </c>
      <c r="H10" s="63" t="s">
        <v>188</v>
      </c>
    </row>
    <row r="11" spans="1:10">
      <c r="A11" s="5">
        <v>9</v>
      </c>
      <c r="B11" s="63" t="s">
        <v>177</v>
      </c>
      <c r="C11" s="63" t="s">
        <v>180</v>
      </c>
      <c r="D11" s="63" t="s">
        <v>185</v>
      </c>
      <c r="E11" s="5">
        <v>70000</v>
      </c>
      <c r="F11" s="64">
        <v>38250</v>
      </c>
      <c r="G11" s="5">
        <f ca="1">DATEDIF(F11,TODAY(),"y")</f>
        <v>18</v>
      </c>
      <c r="H11" s="63" t="s">
        <v>186</v>
      </c>
    </row>
    <row r="12" spans="1:10">
      <c r="A12" s="5">
        <v>10</v>
      </c>
      <c r="B12" s="63" t="s">
        <v>178</v>
      </c>
      <c r="C12" s="63" t="s">
        <v>66</v>
      </c>
      <c r="D12" s="63" t="s">
        <v>182</v>
      </c>
      <c r="E12" s="5">
        <v>100000</v>
      </c>
      <c r="F12" s="64">
        <v>38888</v>
      </c>
      <c r="G12" s="5">
        <f ca="1">DATEDIF(F12,TODAY(),"y")</f>
        <v>16</v>
      </c>
      <c r="H12" s="63" t="s">
        <v>187</v>
      </c>
    </row>
    <row r="13" spans="1:10">
      <c r="H13" s="61"/>
    </row>
    <row r="14" spans="1:10">
      <c r="H14" s="61"/>
    </row>
  </sheetData>
  <autoFilter ref="H3:H12"/>
  <mergeCells count="1">
    <mergeCell ref="A1:H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/>
  <cols>
    <col min="6" max="6" width="10.140625" bestFit="1" customWidth="1"/>
    <col min="7" max="7" width="10.5703125" customWidth="1"/>
  </cols>
  <sheetData>
    <row r="1" spans="1:12">
      <c r="A1" s="62" t="s">
        <v>162</v>
      </c>
      <c r="B1" s="62"/>
      <c r="C1" s="62"/>
      <c r="D1" s="62"/>
      <c r="E1" s="62"/>
      <c r="F1" s="62"/>
      <c r="G1" s="62"/>
      <c r="H1" s="62"/>
    </row>
    <row r="2" spans="1:12" ht="15.75" customHeight="1">
      <c r="A2" s="44" t="s">
        <v>163</v>
      </c>
      <c r="B2" s="44" t="s">
        <v>33</v>
      </c>
      <c r="C2" s="44" t="s">
        <v>75</v>
      </c>
      <c r="D2" s="44" t="s">
        <v>164</v>
      </c>
      <c r="E2" s="44" t="s">
        <v>165</v>
      </c>
      <c r="F2" s="44" t="s">
        <v>166</v>
      </c>
      <c r="G2" s="44" t="s">
        <v>167</v>
      </c>
      <c r="H2" s="44" t="s">
        <v>168</v>
      </c>
      <c r="J2" s="61" t="s">
        <v>189</v>
      </c>
      <c r="K2" s="61" t="s">
        <v>165</v>
      </c>
      <c r="L2" s="61" t="s">
        <v>190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bill</vt:lpstr>
      <vt:lpstr>Autofill</vt:lpstr>
      <vt:lpstr>MARKS</vt:lpstr>
      <vt:lpstr>ledger</vt:lpstr>
      <vt:lpstr>post</vt:lpstr>
      <vt:lpstr>sheet8</vt:lpstr>
      <vt:lpstr>salary sheet</vt:lpstr>
      <vt:lpstr>Sheet1</vt:lpstr>
      <vt:lpstr>sheet</vt:lpstr>
      <vt:lpstr>Sheet10</vt:lpstr>
      <vt:lpstr>Sheet2</vt:lpstr>
      <vt:lpstr>employee(R)</vt:lpstr>
      <vt:lpstr>SEARCH</vt:lpstr>
      <vt:lpstr>item</vt:lpstr>
      <vt:lpstr>items</vt:lpstr>
      <vt:lpstr>LEDGER</vt:lpstr>
      <vt:lpstr>MENU</vt:lpstr>
      <vt:lpstr>post</vt:lpstr>
      <vt:lpstr>postsal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2023-01-22T03:24:00Z</dcterms:created>
  <dcterms:modified xsi:type="dcterms:W3CDTF">2023-03-16T03:41:51Z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A824CE41F6024E8CA1D5D744E41906C4</vt:lpwstr>
  </property>
  <property fmtid="{D5CDD505-2E9C-101B-9397-08002B2CF9AE}" pid="3" name="KSOProductBuildVer">
    <vt:lpwstr>1033-11.2.0.11440</vt:lpwstr>
  </property>
</Properties>
</file>