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4C42601A-9475-42FF-A654-E39FB82AE9D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Switch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C4" i="1" l="1"/>
  <c r="N4" i="1" s="1"/>
  <c r="D4" i="1" s="1"/>
  <c r="Y4" i="1" s="1"/>
  <c r="X4" i="1"/>
  <c r="C11" i="1"/>
  <c r="N11" i="1" s="1"/>
  <c r="D11" i="1" s="1"/>
  <c r="Y11" i="1" s="1"/>
  <c r="X11" i="1"/>
  <c r="C7" i="1"/>
  <c r="N7" i="1" s="1"/>
  <c r="D7" i="1" s="1"/>
  <c r="Y7" i="1" s="1"/>
  <c r="X7" i="1"/>
  <c r="C10" i="1"/>
  <c r="N10" i="1" s="1"/>
  <c r="D10" i="1" s="1"/>
  <c r="Y10" i="1" s="1"/>
  <c r="X10" i="1"/>
  <c r="C28" i="1"/>
  <c r="N28" i="1" s="1"/>
  <c r="X28" i="1"/>
  <c r="C19" i="1"/>
  <c r="N19" i="1" s="1"/>
  <c r="D19" i="1" s="1"/>
  <c r="Y19" i="1" s="1"/>
  <c r="X19" i="1"/>
  <c r="C9" i="1"/>
  <c r="N9" i="1" s="1"/>
  <c r="D9" i="1" s="1"/>
  <c r="Y9" i="1" s="1"/>
  <c r="X9" i="1"/>
  <c r="C8" i="1"/>
  <c r="N8" i="1" s="1"/>
  <c r="X8" i="1"/>
  <c r="C6" i="1"/>
  <c r="N6" i="1" s="1"/>
  <c r="X6" i="1"/>
  <c r="C3" i="1"/>
  <c r="N3" i="1" s="1"/>
  <c r="D3" i="1" s="1"/>
  <c r="Y3" i="1" s="1"/>
  <c r="X3" i="1"/>
  <c r="C27" i="1"/>
  <c r="N27" i="1" s="1"/>
  <c r="D27" i="1" s="1"/>
  <c r="Y27" i="1" s="1"/>
  <c r="X27" i="1"/>
  <c r="C26" i="1"/>
  <c r="N26" i="1" s="1"/>
  <c r="D26" i="1" s="1"/>
  <c r="Y26" i="1" s="1"/>
  <c r="X26" i="1"/>
  <c r="C2" i="1"/>
  <c r="N2" i="1" s="1"/>
  <c r="D2" i="1" s="1"/>
  <c r="Y2" i="1" s="1"/>
  <c r="X2" i="1"/>
  <c r="C24" i="1"/>
  <c r="N24" i="1" s="1"/>
  <c r="D24" i="1" s="1"/>
  <c r="Y24" i="1" s="1"/>
  <c r="X24" i="1"/>
  <c r="C23" i="1"/>
  <c r="N23" i="1" s="1"/>
  <c r="X23" i="1"/>
  <c r="C22" i="1"/>
  <c r="N22" i="1" s="1"/>
  <c r="D22" i="1" s="1"/>
  <c r="Y22" i="1" s="1"/>
  <c r="X22" i="1"/>
  <c r="C5" i="1"/>
  <c r="N5" i="1" s="1"/>
  <c r="D5" i="1" s="1"/>
  <c r="Y5" i="1" s="1"/>
  <c r="X5" i="1"/>
  <c r="C20" i="1"/>
  <c r="N20" i="1" s="1"/>
  <c r="D20" i="1" s="1"/>
  <c r="Y20" i="1" s="1"/>
  <c r="X20" i="1"/>
  <c r="C21" i="1"/>
  <c r="N21" i="1" s="1"/>
  <c r="D21" i="1" s="1"/>
  <c r="Y21" i="1" s="1"/>
  <c r="X21" i="1"/>
  <c r="C18" i="1"/>
  <c r="N18" i="1" s="1"/>
  <c r="X18" i="1"/>
  <c r="C25" i="1"/>
  <c r="N25" i="1" s="1"/>
  <c r="D25" i="1" s="1"/>
  <c r="Y25" i="1" s="1"/>
  <c r="X25" i="1"/>
  <c r="C29" i="1"/>
  <c r="N29" i="1" s="1"/>
  <c r="X29" i="1"/>
  <c r="C16" i="1"/>
  <c r="N16" i="1" s="1"/>
  <c r="D16" i="1" s="1"/>
  <c r="Y16" i="1" s="1"/>
  <c r="X16" i="1"/>
  <c r="C15" i="1"/>
  <c r="N15" i="1" s="1"/>
  <c r="X15" i="1"/>
  <c r="C14" i="1"/>
  <c r="N14" i="1" s="1"/>
  <c r="D14" i="1" s="1"/>
  <c r="Y14" i="1" s="1"/>
  <c r="X14" i="1"/>
  <c r="C13" i="1"/>
  <c r="N13" i="1" s="1"/>
  <c r="X13" i="1"/>
  <c r="C17" i="1"/>
  <c r="N17" i="1" s="1"/>
  <c r="D17" i="1" s="1"/>
  <c r="Y17" i="1" s="1"/>
  <c r="X17" i="1"/>
  <c r="C12" i="1"/>
  <c r="N12" i="1" s="1"/>
  <c r="X12" i="1"/>
  <c r="D8" i="1"/>
  <c r="Y8" i="1" s="1"/>
  <c r="D28" i="1"/>
  <c r="Y28" i="1" s="1"/>
  <c r="D18" i="1" l="1"/>
  <c r="Y18" i="1" s="1"/>
  <c r="D6" i="1"/>
  <c r="Y6" i="1" s="1"/>
  <c r="D23" i="1"/>
  <c r="Y23" i="1" s="1"/>
  <c r="D29" i="1"/>
  <c r="Y29" i="1" s="1"/>
  <c r="D12" i="1"/>
  <c r="Y12" i="1" s="1"/>
  <c r="D13" i="1"/>
  <c r="Y13" i="1" s="1"/>
  <c r="D15" i="1"/>
  <c r="Y15" i="1" s="1"/>
  <c r="V4" i="1"/>
  <c r="P4" i="1"/>
  <c r="V5" i="1"/>
  <c r="P5" i="1"/>
  <c r="V19" i="1"/>
  <c r="P19" i="1"/>
  <c r="V16" i="1"/>
  <c r="P16" i="1"/>
  <c r="P22" i="1"/>
  <c r="V22" i="1"/>
  <c r="V25" i="1"/>
  <c r="P25" i="1"/>
  <c r="V2" i="1"/>
  <c r="P2" i="1"/>
  <c r="P6" i="1"/>
  <c r="V27" i="1"/>
  <c r="P27" i="1"/>
  <c r="P10" i="1"/>
  <c r="V10" i="1"/>
  <c r="P20" i="1"/>
  <c r="V20" i="1"/>
  <c r="P21" i="1"/>
  <c r="V21" i="1"/>
  <c r="V7" i="1"/>
  <c r="P7" i="1"/>
  <c r="P12" i="1"/>
  <c r="V12" i="1"/>
  <c r="V3" i="1"/>
  <c r="P3" i="1"/>
  <c r="V17" i="1"/>
  <c r="P17" i="1"/>
  <c r="P8" i="1"/>
  <c r="V8" i="1"/>
  <c r="V23" i="1"/>
  <c r="P23" i="1"/>
  <c r="V18" i="1"/>
  <c r="P18" i="1"/>
  <c r="V24" i="1"/>
  <c r="P24" i="1"/>
  <c r="P9" i="1"/>
  <c r="V9" i="1"/>
  <c r="V26" i="1"/>
  <c r="P26" i="1"/>
  <c r="P11" i="1"/>
  <c r="V11" i="1"/>
  <c r="P14" i="1"/>
  <c r="V14" i="1"/>
  <c r="P13" i="1"/>
  <c r="V13" i="1"/>
  <c r="P15" i="1"/>
  <c r="V29" i="1"/>
  <c r="P29" i="1"/>
  <c r="V28" i="1"/>
  <c r="P28" i="1"/>
  <c r="V6" i="1" l="1"/>
  <c r="V15" i="1"/>
  <c r="E23" i="1"/>
  <c r="F23" i="1" s="1"/>
  <c r="G23" i="1" s="1"/>
  <c r="E8" i="1"/>
  <c r="F8" i="1" s="1"/>
  <c r="G8" i="1" s="1"/>
  <c r="E11" i="1"/>
  <c r="F11" i="1" s="1"/>
  <c r="G11" i="1" s="1"/>
  <c r="E12" i="1"/>
  <c r="F12" i="1" s="1"/>
  <c r="G12" i="1" s="1"/>
  <c r="E27" i="1"/>
  <c r="F27" i="1" s="1"/>
  <c r="G27" i="1" s="1"/>
  <c r="E7" i="1"/>
  <c r="F7" i="1" s="1"/>
  <c r="G7" i="1" s="1"/>
  <c r="E3" i="1"/>
  <c r="F3" i="1" s="1"/>
  <c r="G3" i="1" s="1"/>
  <c r="E10" i="1"/>
  <c r="F10" i="1" s="1"/>
  <c r="G10" i="1" s="1"/>
  <c r="E20" i="1"/>
  <c r="F20" i="1" s="1"/>
  <c r="G20" i="1" s="1"/>
  <c r="E22" i="1"/>
  <c r="F22" i="1" s="1"/>
  <c r="G22" i="1" s="1"/>
  <c r="E16" i="1"/>
  <c r="F16" i="1" s="1"/>
  <c r="G16" i="1" s="1"/>
  <c r="E14" i="1"/>
  <c r="F14" i="1" s="1"/>
  <c r="G14" i="1" s="1"/>
  <c r="E26" i="1"/>
  <c r="F26" i="1" s="1"/>
  <c r="G26" i="1" s="1"/>
  <c r="E6" i="1"/>
  <c r="E2" i="1"/>
  <c r="F2" i="1" s="1"/>
  <c r="G2" i="1" s="1"/>
  <c r="E19" i="1"/>
  <c r="F19" i="1" s="1"/>
  <c r="G19" i="1" s="1"/>
  <c r="E29" i="1"/>
  <c r="F29" i="1" s="1"/>
  <c r="G29" i="1" s="1"/>
  <c r="E25" i="1"/>
  <c r="F25" i="1" s="1"/>
  <c r="G25" i="1" s="1"/>
  <c r="E13" i="1"/>
  <c r="F13" i="1" s="1"/>
  <c r="G13" i="1" s="1"/>
  <c r="E5" i="1"/>
  <c r="F5" i="1" s="1"/>
  <c r="G5" i="1" s="1"/>
  <c r="E17" i="1"/>
  <c r="F17" i="1" s="1"/>
  <c r="G17" i="1" s="1"/>
  <c r="E21" i="1"/>
  <c r="F21" i="1" s="1"/>
  <c r="G21" i="1" s="1"/>
  <c r="E9" i="1"/>
  <c r="F9" i="1" s="1"/>
  <c r="G9" i="1" s="1"/>
  <c r="E15" i="1"/>
  <c r="E28" i="1"/>
  <c r="F28" i="1" s="1"/>
  <c r="G28" i="1" s="1"/>
  <c r="E18" i="1"/>
  <c r="F18" i="1" s="1"/>
  <c r="G18" i="1" s="1"/>
  <c r="E4" i="1"/>
  <c r="F4" i="1" s="1"/>
  <c r="G4" i="1" s="1"/>
  <c r="E24" i="1"/>
  <c r="F24" i="1" s="1"/>
  <c r="G24" i="1" s="1"/>
  <c r="F6" i="1" l="1"/>
  <c r="G6" i="1" s="1"/>
  <c r="F15" i="1"/>
  <c r="G15" i="1" s="1"/>
  <c r="W5" i="1"/>
  <c r="H5" i="1" s="1"/>
  <c r="W16" i="1"/>
  <c r="W9" i="1"/>
  <c r="H9" i="1" s="1"/>
  <c r="W13" i="1"/>
  <c r="W25" i="1"/>
  <c r="H25" i="1" s="1"/>
  <c r="W7" i="1"/>
  <c r="W29" i="1"/>
  <c r="W19" i="1"/>
  <c r="H19" i="1" s="1"/>
  <c r="W27" i="1"/>
  <c r="H27" i="1" s="1"/>
  <c r="W24" i="1"/>
  <c r="W2" i="1"/>
  <c r="H2" i="1" s="1"/>
  <c r="W12" i="1"/>
  <c r="H12" i="1" s="1"/>
  <c r="W4" i="1"/>
  <c r="H4" i="1" s="1"/>
  <c r="W26" i="1"/>
  <c r="W8" i="1"/>
  <c r="W11" i="1"/>
  <c r="H11" i="1" s="1"/>
  <c r="W18" i="1"/>
  <c r="H18" i="1" s="1"/>
  <c r="W6" i="1"/>
  <c r="H6" i="1" s="1"/>
  <c r="W14" i="1"/>
  <c r="H14" i="1" s="1"/>
  <c r="W23" i="1"/>
  <c r="H23" i="1" s="1"/>
  <c r="W28" i="1"/>
  <c r="H28" i="1" s="1"/>
  <c r="W15" i="1"/>
  <c r="W22" i="1"/>
  <c r="H22" i="1" s="1"/>
  <c r="W20" i="1"/>
  <c r="H20" i="1" s="1"/>
  <c r="W21" i="1"/>
  <c r="W10" i="1"/>
  <c r="W17" i="1"/>
  <c r="H17" i="1" s="1"/>
  <c r="W3" i="1"/>
  <c r="I5" i="1" l="1"/>
  <c r="J5" i="1" s="1"/>
  <c r="K5" i="1" s="1"/>
  <c r="S5" i="1" s="1"/>
  <c r="T5" i="1" s="1"/>
  <c r="U5" i="1" s="1"/>
  <c r="I27" i="1"/>
  <c r="J27" i="1" s="1"/>
  <c r="K27" i="1" s="1"/>
  <c r="S27" i="1" s="1"/>
  <c r="T27" i="1" s="1"/>
  <c r="U27" i="1" s="1"/>
  <c r="H26" i="1"/>
  <c r="I26" i="1" s="1"/>
  <c r="J26" i="1" s="1"/>
  <c r="K26" i="1" s="1"/>
  <c r="S26" i="1" s="1"/>
  <c r="T26" i="1" s="1"/>
  <c r="U26" i="1" s="1"/>
  <c r="I9" i="1"/>
  <c r="J9" i="1" s="1"/>
  <c r="K9" i="1" s="1"/>
  <c r="S9" i="1" s="1"/>
  <c r="T9" i="1" s="1"/>
  <c r="U9" i="1" s="1"/>
  <c r="I4" i="1"/>
  <c r="J4" i="1" s="1"/>
  <c r="K4" i="1" s="1"/>
  <c r="S4" i="1" s="1"/>
  <c r="T4" i="1" s="1"/>
  <c r="U4" i="1" s="1"/>
  <c r="I28" i="1"/>
  <c r="J28" i="1" s="1"/>
  <c r="K28" i="1" s="1"/>
  <c r="S28" i="1" s="1"/>
  <c r="T28" i="1" s="1"/>
  <c r="U28" i="1" s="1"/>
  <c r="H16" i="1"/>
  <c r="I16" i="1" s="1"/>
  <c r="J16" i="1" s="1"/>
  <c r="K16" i="1" s="1"/>
  <c r="S16" i="1" s="1"/>
  <c r="T16" i="1" s="1"/>
  <c r="U16" i="1" s="1"/>
  <c r="H7" i="1"/>
  <c r="I7" i="1" s="1"/>
  <c r="J7" i="1" s="1"/>
  <c r="K7" i="1" s="1"/>
  <c r="S7" i="1" s="1"/>
  <c r="T7" i="1" s="1"/>
  <c r="U7" i="1" s="1"/>
  <c r="I20" i="1"/>
  <c r="J20" i="1" s="1"/>
  <c r="K20" i="1" s="1"/>
  <c r="S20" i="1" s="1"/>
  <c r="T20" i="1" s="1"/>
  <c r="U20" i="1" s="1"/>
  <c r="I19" i="1"/>
  <c r="J19" i="1" s="1"/>
  <c r="K19" i="1" s="1"/>
  <c r="S19" i="1" s="1"/>
  <c r="T19" i="1" s="1"/>
  <c r="U19" i="1" s="1"/>
  <c r="I6" i="1"/>
  <c r="J6" i="1" s="1"/>
  <c r="K6" i="1" s="1"/>
  <c r="S6" i="1" s="1"/>
  <c r="T6" i="1" s="1"/>
  <c r="U6" i="1" s="1"/>
  <c r="I18" i="1"/>
  <c r="J18" i="1" s="1"/>
  <c r="K18" i="1" s="1"/>
  <c r="S18" i="1" s="1"/>
  <c r="T18" i="1" s="1"/>
  <c r="U18" i="1" s="1"/>
  <c r="H10" i="1"/>
  <c r="I10" i="1" s="1"/>
  <c r="J10" i="1" s="1"/>
  <c r="K10" i="1" s="1"/>
  <c r="S10" i="1" s="1"/>
  <c r="T10" i="1" s="1"/>
  <c r="U10" i="1" s="1"/>
  <c r="I22" i="1"/>
  <c r="J22" i="1" s="1"/>
  <c r="K22" i="1" s="1"/>
  <c r="S22" i="1" s="1"/>
  <c r="T22" i="1" s="1"/>
  <c r="U22" i="1" s="1"/>
  <c r="H13" i="1"/>
  <c r="I13" i="1" s="1"/>
  <c r="J13" i="1" s="1"/>
  <c r="K13" i="1" s="1"/>
  <c r="S13" i="1" s="1"/>
  <c r="T13" i="1" s="1"/>
  <c r="U13" i="1" s="1"/>
  <c r="H8" i="1"/>
  <c r="I8" i="1" s="1"/>
  <c r="J8" i="1" s="1"/>
  <c r="K8" i="1" s="1"/>
  <c r="S8" i="1" s="1"/>
  <c r="T8" i="1" s="1"/>
  <c r="U8" i="1" s="1"/>
  <c r="I12" i="1"/>
  <c r="J12" i="1" s="1"/>
  <c r="K12" i="1" s="1"/>
  <c r="S12" i="1" s="1"/>
  <c r="T12" i="1" s="1"/>
  <c r="U12" i="1" s="1"/>
  <c r="H15" i="1"/>
  <c r="I15" i="1" s="1"/>
  <c r="J15" i="1" s="1"/>
  <c r="K15" i="1" s="1"/>
  <c r="S15" i="1" s="1"/>
  <c r="T15" i="1" s="1"/>
  <c r="U15" i="1" s="1"/>
  <c r="I2" i="1"/>
  <c r="J2" i="1" s="1"/>
  <c r="K2" i="1" s="1"/>
  <c r="S2" i="1" s="1"/>
  <c r="T2" i="1" s="1"/>
  <c r="U2" i="1" s="1"/>
  <c r="I25" i="1"/>
  <c r="J25" i="1" s="1"/>
  <c r="K25" i="1" s="1"/>
  <c r="S25" i="1" s="1"/>
  <c r="T25" i="1" s="1"/>
  <c r="U25" i="1" s="1"/>
  <c r="H21" i="1"/>
  <c r="I21" i="1" s="1"/>
  <c r="J21" i="1" s="1"/>
  <c r="K21" i="1" s="1"/>
  <c r="S21" i="1" s="1"/>
  <c r="T21" i="1" s="1"/>
  <c r="U21" i="1" s="1"/>
  <c r="I23" i="1"/>
  <c r="J23" i="1" s="1"/>
  <c r="K23" i="1" s="1"/>
  <c r="S23" i="1" s="1"/>
  <c r="T23" i="1" s="1"/>
  <c r="U23" i="1" s="1"/>
  <c r="H29" i="1"/>
  <c r="I29" i="1" s="1"/>
  <c r="J29" i="1" s="1"/>
  <c r="K29" i="1" s="1"/>
  <c r="S29" i="1" s="1"/>
  <c r="T29" i="1" s="1"/>
  <c r="U29" i="1" s="1"/>
  <c r="I14" i="1"/>
  <c r="J14" i="1" s="1"/>
  <c r="K14" i="1" s="1"/>
  <c r="S14" i="1" s="1"/>
  <c r="T14" i="1" s="1"/>
  <c r="U14" i="1" s="1"/>
  <c r="H24" i="1"/>
  <c r="I24" i="1" s="1"/>
  <c r="J24" i="1" s="1"/>
  <c r="K24" i="1" s="1"/>
  <c r="S24" i="1" s="1"/>
  <c r="T24" i="1" s="1"/>
  <c r="U24" i="1" s="1"/>
  <c r="I17" i="1"/>
  <c r="J17" i="1" s="1"/>
  <c r="K17" i="1" s="1"/>
  <c r="S17" i="1" s="1"/>
  <c r="T17" i="1" s="1"/>
  <c r="U17" i="1" s="1"/>
  <c r="H3" i="1"/>
  <c r="I3" i="1" s="1"/>
  <c r="J3" i="1" s="1"/>
  <c r="K3" i="1" s="1"/>
  <c r="S3" i="1" s="1"/>
  <c r="T3" i="1" s="1"/>
  <c r="U3" i="1" s="1"/>
  <c r="I11" i="1"/>
  <c r="J11" i="1" s="1"/>
  <c r="K11" i="1" s="1"/>
  <c r="S11" i="1" s="1"/>
  <c r="T11" i="1" s="1"/>
  <c r="U11" i="1" s="1"/>
</calcChain>
</file>

<file path=xl/sharedStrings.xml><?xml version="1.0" encoding="utf-8"?>
<sst xmlns="http://schemas.openxmlformats.org/spreadsheetml/2006/main" count="158" uniqueCount="122">
  <si>
    <t>Aveline</t>
  </si>
  <si>
    <t>Spot</t>
  </si>
  <si>
    <t>Medium</t>
  </si>
  <si>
    <t>Elliptical</t>
  </si>
  <si>
    <t>Flood</t>
  </si>
  <si>
    <t>Road</t>
  </si>
  <si>
    <t>P</t>
  </si>
  <si>
    <t>NLED</t>
  </si>
  <si>
    <t>FLED</t>
  </si>
  <si>
    <t>CCT</t>
  </si>
  <si>
    <t>Art</t>
  </si>
  <si>
    <t>Name</t>
  </si>
  <si>
    <t>Version</t>
  </si>
  <si>
    <t>Wide</t>
  </si>
  <si>
    <t>H=3000</t>
  </si>
  <si>
    <t>H=4500</t>
  </si>
  <si>
    <t>H=6000</t>
  </si>
  <si>
    <t>Optics</t>
  </si>
  <si>
    <t>Street</t>
  </si>
  <si>
    <t>Yard</t>
  </si>
  <si>
    <t>Diffuse</t>
  </si>
  <si>
    <t>F</t>
  </si>
  <si>
    <t>DALI</t>
  </si>
  <si>
    <t>More1</t>
  </si>
  <si>
    <t>More2</t>
  </si>
  <si>
    <t>More3</t>
  </si>
  <si>
    <t>сквоз. провод</t>
  </si>
  <si>
    <t>IES</t>
  </si>
  <si>
    <t>Height</t>
  </si>
  <si>
    <t>Length</t>
  </si>
  <si>
    <t>Width</t>
  </si>
  <si>
    <t>dP</t>
  </si>
  <si>
    <t>dA</t>
  </si>
  <si>
    <t>ROT</t>
  </si>
  <si>
    <t>DMX-RDM</t>
  </si>
  <si>
    <t>P866539</t>
  </si>
  <si>
    <t>P866539 Светильник Bell New Г-образный 29Вт Road H=6000</t>
  </si>
  <si>
    <t>P866541</t>
  </si>
  <si>
    <t>P866541 Светильник Bell New Г-образный 29Вт Road H=4500</t>
  </si>
  <si>
    <t>P866654</t>
  </si>
  <si>
    <t>P866654 Светильник Bell New Г-образный 14Вт Street H=3000</t>
  </si>
  <si>
    <t>P866655</t>
  </si>
  <si>
    <t>P866655 Светильник Bell New Г-образный 14Вт Road H=3000</t>
  </si>
  <si>
    <t>P866656</t>
  </si>
  <si>
    <t>P866656 Светильник Bell New Г-образный 14Вт Yard H=3000</t>
  </si>
  <si>
    <t>P866657</t>
  </si>
  <si>
    <t>P866657 Светильник Bell New Г-образный 14Вт Street H=4500</t>
  </si>
  <si>
    <t>P866658</t>
  </si>
  <si>
    <t>P866658 Светильник Bell New Г-образный 14Вт Road H=4500</t>
  </si>
  <si>
    <t>P866659</t>
  </si>
  <si>
    <t>P866659 Светильник Bell New Г-образный 14Вт Yard H=4500</t>
  </si>
  <si>
    <t>P866660</t>
  </si>
  <si>
    <t>P866660 Светильник Bell New Г-образный 14Вт Street H=6000</t>
  </si>
  <si>
    <t>P866661</t>
  </si>
  <si>
    <t>P866661 Светильник Bell New Г-образный 14Вт Road H=6000</t>
  </si>
  <si>
    <t>P866662</t>
  </si>
  <si>
    <t>P866662 Светильник Bell New Г-образный 14Вт Yard H=6000</t>
  </si>
  <si>
    <t>P866663</t>
  </si>
  <si>
    <t>P866663 Светильник Bell New Г-образный 29Вт Street H=3000</t>
  </si>
  <si>
    <t>P866664</t>
  </si>
  <si>
    <t>P866664 Светильник Bell New Г-образный 29Вт Road H=3000</t>
  </si>
  <si>
    <t>P866665</t>
  </si>
  <si>
    <t>P866665 Светильник Bell New Г-образный 29Вт Yard H=3000</t>
  </si>
  <si>
    <t>P866666</t>
  </si>
  <si>
    <t>P866666 Светильник Bell New Г-образный 29Вт Street H=4500</t>
  </si>
  <si>
    <t>P866667</t>
  </si>
  <si>
    <t>P866667 Светильник Bell New Г-образный 29Вт Yard H=4500</t>
  </si>
  <si>
    <t>P866668</t>
  </si>
  <si>
    <t>P866668 Светильник Bell New Г-образный 29Вт Street H=6000</t>
  </si>
  <si>
    <t>P866669</t>
  </si>
  <si>
    <t>P866669 Светильник Bell New Г-образный 29Вт Yard H=6000</t>
  </si>
  <si>
    <t>P866670</t>
  </si>
  <si>
    <t>P866670 Светильник Bell New Г-образный 58Вт Street H=3000</t>
  </si>
  <si>
    <t>P866671</t>
  </si>
  <si>
    <t>P866671 Светильник Bell New Г-образный 58Вт Road H=3000</t>
  </si>
  <si>
    <t>P866672</t>
  </si>
  <si>
    <t>P866672 Светильник Bell New Г-образный 58Вт Yard H=3000</t>
  </si>
  <si>
    <t>P866673</t>
  </si>
  <si>
    <t>P866673 Светильник Bell New Г-образный 58Вт Street H=4500</t>
  </si>
  <si>
    <t>P866674</t>
  </si>
  <si>
    <t>P866674 Светильник Bell New Г-образный 58Вт Road H=4500</t>
  </si>
  <si>
    <t>P866675</t>
  </si>
  <si>
    <t>P866675 Светильник Bell New Г-образный 58Вт Yard H=4500</t>
  </si>
  <si>
    <t>P866676</t>
  </si>
  <si>
    <t>P866676 Светильник Bell New Г-образный 58Вт Street H=6000</t>
  </si>
  <si>
    <t>P866677</t>
  </si>
  <si>
    <t>P866677 Светильник Bell New Г-образный 58Вт Road H=6000</t>
  </si>
  <si>
    <t>P866678</t>
  </si>
  <si>
    <t>P866678 Светильник Bell New Г-образный 58Вт Yard H=6000</t>
  </si>
  <si>
    <t>P867989</t>
  </si>
  <si>
    <t>P867989 Светильник Bell New Г-образный 29Вт Road H=6000</t>
  </si>
  <si>
    <t>Aveline RGBW</t>
  </si>
  <si>
    <t>Bell New</t>
  </si>
  <si>
    <t>Г-образный</t>
  </si>
  <si>
    <t>Т-образный</t>
  </si>
  <si>
    <t>SuperSpot</t>
  </si>
  <si>
    <t>Asymmetrical</t>
  </si>
  <si>
    <t>Elliptical wide</t>
  </si>
  <si>
    <t>Aveplane</t>
  </si>
  <si>
    <t>Bicubo</t>
  </si>
  <si>
    <t>Modulo</t>
  </si>
  <si>
    <t>Osio Line</t>
  </si>
  <si>
    <t>5 DEG</t>
  </si>
  <si>
    <t>Aveplane TW</t>
  </si>
  <si>
    <t>Aveplane RGBW</t>
  </si>
  <si>
    <t>SW</t>
  </si>
  <si>
    <t>Stralis 45</t>
  </si>
  <si>
    <t>Stralis 70</t>
  </si>
  <si>
    <t>Stralis 125</t>
  </si>
  <si>
    <t>TRASH</t>
  </si>
  <si>
    <t>AC-DC</t>
  </si>
  <si>
    <t>Stralis 70 RGBW</t>
  </si>
  <si>
    <t>Stralis 125 RGBW</t>
  </si>
  <si>
    <t>RGBW</t>
  </si>
  <si>
    <t>DMX</t>
  </si>
  <si>
    <t>выход питания к фасаду</t>
  </si>
  <si>
    <t>Osio Line RGBW</t>
  </si>
  <si>
    <t>Aveplane Mini</t>
  </si>
  <si>
    <t>3000K</t>
  </si>
  <si>
    <t>More4</t>
  </si>
  <si>
    <t>More5</t>
  </si>
  <si>
    <t>More6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</si>
</sst>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6" borderId="0" xfId="0" applyFill="1"/>
    <xf numFmtId="0" fontId="0" fillId="7" borderId="0" xfId="0" applyFill="1"/>
  </cellXfs>
  <cellStyles count="2">
    <cellStyle name="Обычный" xfId="0" builtinId="0"/>
    <cellStyle name="Обычный_Лист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9"/>
  <sheetViews>
    <sheetView tabSelected="1" zoomScale="85" zoomScaleNormal="85" workbookViewId="0">
      <pane ySplit="1" topLeftCell="A2" activePane="bottomLeft" state="frozen"/>
      <selection pane="bottomLeft" activeCell="N38" sqref="N38"/>
    </sheetView>
  </sheetViews>
  <sheetFormatPr defaultRowHeight="15" x14ac:dyDescent="0.25"/>
  <cols>
    <col min="1" max="1" width="13.7109375" bestFit="1" customWidth="1"/>
    <col min="2" max="2" width="60.42578125" bestFit="1" customWidth="1"/>
    <col min="3" max="3" width="34.42578125" hidden="1" customWidth="1"/>
    <col min="4" max="4" width="29.85546875" hidden="1" customWidth="1"/>
    <col min="5" max="5" width="20.42578125" hidden="1" customWidth="1"/>
    <col min="6" max="7" width="10.7109375" hidden="1" customWidth="1"/>
    <col min="8" max="8" width="6" hidden="1" customWidth="1"/>
    <col min="9" max="9" width="6.140625" hidden="1" customWidth="1"/>
    <col min="10" max="11" width="4.140625" hidden="1" customWidth="1"/>
    <col min="12" max="12" width="15.140625" customWidth="1"/>
    <col min="13" max="13" width="22.28515625" customWidth="1"/>
    <col min="14" max="14" width="11.7109375" bestFit="1" customWidth="1"/>
    <col min="16" max="16" width="30.140625" customWidth="1"/>
    <col min="19" max="19" width="9.140625" style="6"/>
    <col min="22" max="22" width="20.7109375" customWidth="1"/>
  </cols>
  <sheetData>
    <row r="1" spans="1:31" x14ac:dyDescent="0.25">
      <c r="A1" s="7"/>
      <c r="B1" s="7"/>
      <c r="C1" s="3"/>
      <c r="D1" s="3"/>
      <c r="E1" s="3"/>
      <c r="F1" s="3"/>
      <c r="G1" s="3"/>
      <c r="H1" s="3"/>
      <c r="I1" s="3"/>
      <c r="J1" s="3"/>
      <c r="K1" s="3"/>
      <c r="L1" s="2" t="s">
        <v>10</v>
      </c>
      <c r="M1" s="2" t="s">
        <v>11</v>
      </c>
      <c r="N1" s="2" t="s">
        <v>12</v>
      </c>
      <c r="O1" s="2" t="s">
        <v>17</v>
      </c>
      <c r="P1" s="2" t="s">
        <v>27</v>
      </c>
      <c r="Q1" s="4" t="s">
        <v>9</v>
      </c>
      <c r="R1" s="4" t="s">
        <v>7</v>
      </c>
      <c r="S1" s="5" t="s">
        <v>6</v>
      </c>
      <c r="T1" s="4" t="s">
        <v>8</v>
      </c>
      <c r="U1" s="2" t="s">
        <v>21</v>
      </c>
      <c r="V1" s="2" t="s">
        <v>23</v>
      </c>
      <c r="W1" s="2" t="s">
        <v>24</v>
      </c>
      <c r="X1" s="2" t="s">
        <v>25</v>
      </c>
      <c r="Y1" s="2" t="s">
        <v>119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</row>
    <row r="2" spans="1:31" x14ac:dyDescent="0.25">
      <c r="A2" s="1" t="s">
        <v>35</v>
      </c>
      <c r="B2" s="1" t="s">
        <v>36</v>
      </c>
      <c r="C2" t="str">
        <f t="shared" ref="C2:C19" si="0">TRIM(MID(B2,SEARCH(M2,B2)+LEN(M2)+1,500))</f>
        <v>Г-образный 29Вт Road H=6000</v>
      </c>
      <c r="D2" t="str">
        <f t="shared" ref="D2:D20" si="1">TRIM(REPLACE(C2,SEARCH(N2,C2),LEN(N2),""))</f>
        <v>29Вт Road H=6000</v>
      </c>
      <c r="E2" t="str">
        <f t="shared" ref="E2:E20" si="2">TRIM(REPLACE(D2,SEARCH(O2,D2),LEN(O2),""))</f>
        <v>29Вт H=6000</v>
      </c>
      <c r="F2" t="str">
        <f t="shared" ref="F2:F19" si="3">TRIM(REPLACE(E2,SEARCH(V2,E2),LEN(V2),""))</f>
        <v>29Вт H=6000</v>
      </c>
      <c r="G2" t="str">
        <f t="shared" ref="G2:G19" si="4">TRIM(REPLACE(F2,SEARCH(Y2,F2),LEN(Y2),""))</f>
        <v>29Вт H=6000</v>
      </c>
      <c r="H2" t="str">
        <f t="shared" ref="H2:H19" si="5">TRIM(REPLACE(G2,SEARCH(W2,G2),LEN(W2),""))</f>
        <v>29Вт</v>
      </c>
      <c r="I2" t="str">
        <f t="shared" ref="I2:I29" si="6">IFERROR(REPLACE(H2,SEARCH("W",H2),1,"Вт"), H2)</f>
        <v>29Вт</v>
      </c>
      <c r="J2" t="str">
        <f t="shared" ref="J2:J20" si="7">IFERROR(REPLACE(I2,SEARCH("Вт",I2),2,""), I2)</f>
        <v>29</v>
      </c>
      <c r="K2" t="str">
        <f t="shared" ref="K2:K19" si="8">IFERROR(2*REPLACE(J2,1,SEARCH("х",J2),""), J2)</f>
        <v>29</v>
      </c>
      <c r="L2" t="str">
        <f t="shared" ref="L2:L20" si="9">LEFT(A2,7)</f>
        <v>P866539</v>
      </c>
      <c r="M2" t="str">
        <f>LOOKUP(,-SEARCH(" "&amp;Switches!$A$2:'Switches'!$A$1000&amp;" "," "&amp;TRIM(B2)&amp;" "),Switches!$A$2:'Switches'!$A$1000)</f>
        <v>Bell New</v>
      </c>
      <c r="N2" t="str">
        <f>IFERROR(LOOKUP(,-SEARCH(" "&amp;Switches!$B$2:'Switches'!$B$1000&amp;" "," "&amp;C2&amp;" "),Switches!$B$2:'Switches'!$B$1000), "")</f>
        <v>Г-образный</v>
      </c>
      <c r="O2" t="str">
        <f>LOOKUP(,-SEARCH(" "&amp;Switches!$C$2:'Switches'!$C$1000&amp;" "," "&amp;TRIM(B2)&amp;" "),Switches!$C$2:'Switches'!$C$1000)</f>
        <v>Road</v>
      </c>
      <c r="P2" t="str">
        <f t="shared" ref="P2:P22" si="10">IF(ISNUMBER(SEARCH("RGBW",B2)), "RGBW-"&amp;O2&amp;"-"&amp;Q2&amp;".ies", O2&amp;".ies")</f>
        <v>Road.ies</v>
      </c>
      <c r="Q2" t="s">
        <v>118</v>
      </c>
      <c r="R2">
        <v>12</v>
      </c>
      <c r="S2" s="6" t="str">
        <f t="shared" ref="S2:S20" si="11">K2</f>
        <v>29</v>
      </c>
      <c r="T2">
        <f t="shared" ref="T2:T29" si="12">IF(S2="14",108,217)</f>
        <v>217</v>
      </c>
      <c r="U2">
        <f t="shared" ref="U2:U29" si="13">R2*T2</f>
        <v>2604</v>
      </c>
      <c r="V2" t="str">
        <f>IF(ISTEXT(LOOKUP(,-SEARCH(" "&amp;Switches!$K$2:'Switches'!$K$60&amp;" "," "&amp;D2&amp;" "),Switches!$K$2:'Switches'!$K$60)), LOOKUP(,-SEARCH(" "&amp;Switches!$K$2:'Switches'!$K$60&amp;" "," "&amp;D2&amp;" "),Switches!$K$2:'Switches'!$K$60),"")</f>
        <v/>
      </c>
      <c r="W2" t="str">
        <f>IFERROR(LOOKUP(,-SEARCH(" "&amp;Switches!$L$2:'Switches'!$L$1000&amp;" "," "&amp;F2&amp;" "),Switches!$L$2:'Switches'!$L$1000),"")</f>
        <v>H=6000</v>
      </c>
      <c r="X2" t="str">
        <f>IFERROR(LOOKUP(,-SEARCH(" "&amp;Switches!$M$2:'Switches'!$M$1000&amp;" "," "&amp;M2&amp;" "),Switches!$M$2:'Switches'!$M$1000),"")</f>
        <v/>
      </c>
      <c r="Y2" t="str">
        <f>IFERROR(LOOKUP(,-SEARCH(" "&amp;Switches!$N$2:'Switches'!$N$1000&amp;" "," "&amp;D2&amp;" "),Switches!$N$2:'Switches'!$N$1000),"")</f>
        <v/>
      </c>
      <c r="Z2">
        <v>0.05</v>
      </c>
      <c r="AA2">
        <v>0.05</v>
      </c>
      <c r="AB2">
        <v>0.05</v>
      </c>
      <c r="AC2">
        <v>2</v>
      </c>
      <c r="AD2">
        <v>2</v>
      </c>
      <c r="AE2">
        <v>0</v>
      </c>
    </row>
    <row r="3" spans="1:31" x14ac:dyDescent="0.25">
      <c r="A3" s="1" t="s">
        <v>37</v>
      </c>
      <c r="B3" s="1" t="s">
        <v>38</v>
      </c>
      <c r="C3" t="str">
        <f t="shared" si="0"/>
        <v>Г-образный 29Вт Road H=4500</v>
      </c>
      <c r="D3" t="str">
        <f t="shared" si="1"/>
        <v>29Вт Road H=4500</v>
      </c>
      <c r="E3" t="str">
        <f t="shared" si="2"/>
        <v>29Вт H=4500</v>
      </c>
      <c r="F3" t="str">
        <f t="shared" si="3"/>
        <v>29Вт H=4500</v>
      </c>
      <c r="G3" t="str">
        <f t="shared" si="4"/>
        <v>29Вт H=4500</v>
      </c>
      <c r="H3" t="str">
        <f t="shared" si="5"/>
        <v>29Вт</v>
      </c>
      <c r="I3" t="str">
        <f t="shared" si="6"/>
        <v>29Вт</v>
      </c>
      <c r="J3" t="str">
        <f t="shared" si="7"/>
        <v>29</v>
      </c>
      <c r="K3" t="str">
        <f t="shared" si="8"/>
        <v>29</v>
      </c>
      <c r="L3" t="str">
        <f t="shared" si="9"/>
        <v>P866541</v>
      </c>
      <c r="M3" t="str">
        <f>LOOKUP(,-SEARCH(" "&amp;Switches!$A$2:'Switches'!$A$1000&amp;" "," "&amp;TRIM(B3)&amp;" "),Switches!$A$2:'Switches'!$A$1000)</f>
        <v>Bell New</v>
      </c>
      <c r="N3" t="str">
        <f>IFERROR(LOOKUP(,-SEARCH(" "&amp;Switches!$B$2:'Switches'!$B$1000&amp;" "," "&amp;C3&amp;" "),Switches!$B$2:'Switches'!$B$1000), "")</f>
        <v>Г-образный</v>
      </c>
      <c r="O3" t="str">
        <f>LOOKUP(,-SEARCH(" "&amp;Switches!$C$2:'Switches'!$C$1000&amp;" "," "&amp;TRIM(B3)&amp;" "),Switches!$C$2:'Switches'!$C$1000)</f>
        <v>Road</v>
      </c>
      <c r="P3" t="str">
        <f t="shared" si="10"/>
        <v>Road.ies</v>
      </c>
      <c r="Q3" t="s">
        <v>118</v>
      </c>
      <c r="R3">
        <v>12</v>
      </c>
      <c r="S3" s="6" t="str">
        <f t="shared" si="11"/>
        <v>29</v>
      </c>
      <c r="T3">
        <f t="shared" si="12"/>
        <v>217</v>
      </c>
      <c r="U3">
        <f t="shared" si="13"/>
        <v>2604</v>
      </c>
      <c r="V3" t="str">
        <f>IF(ISTEXT(LOOKUP(,-SEARCH(" "&amp;Switches!$K$2:'Switches'!$K$60&amp;" "," "&amp;D3&amp;" "),Switches!$K$2:'Switches'!$K$60)), LOOKUP(,-SEARCH(" "&amp;Switches!$K$2:'Switches'!$K$60&amp;" "," "&amp;D3&amp;" "),Switches!$K$2:'Switches'!$K$60),"")</f>
        <v/>
      </c>
      <c r="W3" t="str">
        <f>IFERROR(LOOKUP(,-SEARCH(" "&amp;Switches!$L$2:'Switches'!$L$1000&amp;" "," "&amp;F3&amp;" "),Switches!$L$2:'Switches'!$L$1000),"")</f>
        <v>H=4500</v>
      </c>
      <c r="X3" t="str">
        <f>IFERROR(LOOKUP(,-SEARCH(" "&amp;Switches!$M$2:'Switches'!$M$1000&amp;" "," "&amp;M3&amp;" "),Switches!$M$2:'Switches'!$M$1000),"")</f>
        <v/>
      </c>
      <c r="Y3" t="str">
        <f>IFERROR(LOOKUP(,-SEARCH(" "&amp;Switches!$N$2:'Switches'!$N$1000&amp;" "," "&amp;D3&amp;" "),Switches!$N$2:'Switches'!$N$1000),"")</f>
        <v/>
      </c>
      <c r="Z3">
        <v>0.05</v>
      </c>
      <c r="AA3">
        <v>0.05</v>
      </c>
      <c r="AB3">
        <v>0.05</v>
      </c>
      <c r="AC3">
        <v>2</v>
      </c>
      <c r="AD3">
        <v>2</v>
      </c>
      <c r="AE3">
        <v>0</v>
      </c>
    </row>
    <row r="4" spans="1:31" x14ac:dyDescent="0.25">
      <c r="A4" s="1" t="s">
        <v>39</v>
      </c>
      <c r="B4" s="1" t="s">
        <v>40</v>
      </c>
      <c r="C4" t="str">
        <f t="shared" si="0"/>
        <v>Г-образный 14Вт Street H=3000</v>
      </c>
      <c r="D4" t="str">
        <f t="shared" si="1"/>
        <v>14Вт Street H=3000</v>
      </c>
      <c r="E4" t="str">
        <f t="shared" si="2"/>
        <v>14Вт H=3000</v>
      </c>
      <c r="F4" t="str">
        <f t="shared" si="3"/>
        <v>14Вт H=3000</v>
      </c>
      <c r="G4" t="str">
        <f t="shared" si="4"/>
        <v>14Вт H=3000</v>
      </c>
      <c r="H4" t="str">
        <f t="shared" si="5"/>
        <v>14Вт</v>
      </c>
      <c r="I4" t="str">
        <f t="shared" si="6"/>
        <v>14Вт</v>
      </c>
      <c r="J4" t="str">
        <f t="shared" si="7"/>
        <v>14</v>
      </c>
      <c r="K4" t="str">
        <f t="shared" si="8"/>
        <v>14</v>
      </c>
      <c r="L4" t="str">
        <f t="shared" si="9"/>
        <v>P866654</v>
      </c>
      <c r="M4" t="str">
        <f>LOOKUP(,-SEARCH(" "&amp;Switches!$A$2:'Switches'!$A$1000&amp;" "," "&amp;TRIM(B4)&amp;" "),Switches!$A$2:'Switches'!$A$1000)</f>
        <v>Bell New</v>
      </c>
      <c r="N4" t="str">
        <f>IFERROR(LOOKUP(,-SEARCH(" "&amp;Switches!$B$2:'Switches'!$B$1000&amp;" "," "&amp;C4&amp;" "),Switches!$B$2:'Switches'!$B$1000), "")</f>
        <v>Г-образный</v>
      </c>
      <c r="O4" t="str">
        <f>LOOKUP(,-SEARCH(" "&amp;Switches!$C$2:'Switches'!$C$1000&amp;" "," "&amp;TRIM(B4)&amp;" "),Switches!$C$2:'Switches'!$C$1000)</f>
        <v>Street</v>
      </c>
      <c r="P4" t="str">
        <f t="shared" si="10"/>
        <v>Street.ies</v>
      </c>
      <c r="Q4" t="s">
        <v>118</v>
      </c>
      <c r="R4">
        <v>12</v>
      </c>
      <c r="S4" s="6" t="str">
        <f t="shared" si="11"/>
        <v>14</v>
      </c>
      <c r="T4">
        <f t="shared" si="12"/>
        <v>108</v>
      </c>
      <c r="U4">
        <f t="shared" si="13"/>
        <v>1296</v>
      </c>
      <c r="V4" t="str">
        <f>IF(ISTEXT(LOOKUP(,-SEARCH(" "&amp;Switches!$K$2:'Switches'!$K$60&amp;" "," "&amp;D4&amp;" "),Switches!$K$2:'Switches'!$K$60)), LOOKUP(,-SEARCH(" "&amp;Switches!$K$2:'Switches'!$K$60&amp;" "," "&amp;D4&amp;" "),Switches!$K$2:'Switches'!$K$60),"")</f>
        <v/>
      </c>
      <c r="W4" t="str">
        <f>IFERROR(LOOKUP(,-SEARCH(" "&amp;Switches!$L$2:'Switches'!$L$1000&amp;" "," "&amp;F4&amp;" "),Switches!$L$2:'Switches'!$L$1000),"")</f>
        <v>H=3000</v>
      </c>
      <c r="X4" t="str">
        <f>IFERROR(LOOKUP(,-SEARCH(" "&amp;Switches!$M$2:'Switches'!$M$1000&amp;" "," "&amp;M4&amp;" "),Switches!$M$2:'Switches'!$M$1000),"")</f>
        <v/>
      </c>
      <c r="Y4" t="str">
        <f>IFERROR(LOOKUP(,-SEARCH(" "&amp;Switches!$N$2:'Switches'!$N$1000&amp;" "," "&amp;D4&amp;" "),Switches!$N$2:'Switches'!$N$1000),"")</f>
        <v/>
      </c>
      <c r="Z4">
        <v>0.05</v>
      </c>
      <c r="AA4">
        <v>0.05</v>
      </c>
      <c r="AB4">
        <v>0.05</v>
      </c>
      <c r="AC4">
        <v>2</v>
      </c>
      <c r="AD4">
        <v>2</v>
      </c>
      <c r="AE4">
        <v>0</v>
      </c>
    </row>
    <row r="5" spans="1:31" x14ac:dyDescent="0.25">
      <c r="A5" s="1" t="s">
        <v>41</v>
      </c>
      <c r="B5" s="1" t="s">
        <v>42</v>
      </c>
      <c r="C5" t="str">
        <f t="shared" si="0"/>
        <v>Г-образный 14Вт Road H=3000</v>
      </c>
      <c r="D5" t="str">
        <f t="shared" si="1"/>
        <v>14Вт Road H=3000</v>
      </c>
      <c r="E5" t="str">
        <f t="shared" si="2"/>
        <v>14Вт H=3000</v>
      </c>
      <c r="F5" t="str">
        <f t="shared" si="3"/>
        <v>14Вт H=3000</v>
      </c>
      <c r="G5" t="str">
        <f t="shared" si="4"/>
        <v>14Вт H=3000</v>
      </c>
      <c r="H5" t="str">
        <f t="shared" si="5"/>
        <v>14Вт</v>
      </c>
      <c r="I5" t="str">
        <f t="shared" si="6"/>
        <v>14Вт</v>
      </c>
      <c r="J5" t="str">
        <f t="shared" si="7"/>
        <v>14</v>
      </c>
      <c r="K5" t="str">
        <f t="shared" si="8"/>
        <v>14</v>
      </c>
      <c r="L5" t="str">
        <f t="shared" si="9"/>
        <v>P866655</v>
      </c>
      <c r="M5" t="str">
        <f>LOOKUP(,-SEARCH(" "&amp;Switches!$A$2:'Switches'!$A$1000&amp;" "," "&amp;TRIM(B5)&amp;" "),Switches!$A$2:'Switches'!$A$1000)</f>
        <v>Bell New</v>
      </c>
      <c r="N5" t="str">
        <f>IFERROR(LOOKUP(,-SEARCH(" "&amp;Switches!$B$2:'Switches'!$B$1000&amp;" "," "&amp;C5&amp;" "),Switches!$B$2:'Switches'!$B$1000), "")</f>
        <v>Г-образный</v>
      </c>
      <c r="O5" t="str">
        <f>LOOKUP(,-SEARCH(" "&amp;Switches!$C$2:'Switches'!$C$1000&amp;" "," "&amp;TRIM(B5)&amp;" "),Switches!$C$2:'Switches'!$C$1000)</f>
        <v>Road</v>
      </c>
      <c r="P5" t="str">
        <f t="shared" si="10"/>
        <v>Road.ies</v>
      </c>
      <c r="Q5" t="s">
        <v>118</v>
      </c>
      <c r="R5">
        <v>12</v>
      </c>
      <c r="S5" s="6" t="str">
        <f t="shared" si="11"/>
        <v>14</v>
      </c>
      <c r="T5">
        <f t="shared" si="12"/>
        <v>108</v>
      </c>
      <c r="U5">
        <f t="shared" si="13"/>
        <v>1296</v>
      </c>
      <c r="V5" t="str">
        <f>IF(ISTEXT(LOOKUP(,-SEARCH(" "&amp;Switches!$K$2:'Switches'!$K$60&amp;" "," "&amp;D5&amp;" "),Switches!$K$2:'Switches'!$K$60)), LOOKUP(,-SEARCH(" "&amp;Switches!$K$2:'Switches'!$K$60&amp;" "," "&amp;D5&amp;" "),Switches!$K$2:'Switches'!$K$60),"")</f>
        <v/>
      </c>
      <c r="W5" t="str">
        <f>IFERROR(LOOKUP(,-SEARCH(" "&amp;Switches!$L$2:'Switches'!$L$1000&amp;" "," "&amp;F5&amp;" "),Switches!$L$2:'Switches'!$L$1000),"")</f>
        <v>H=3000</v>
      </c>
      <c r="X5" t="str">
        <f>IFERROR(LOOKUP(,-SEARCH(" "&amp;Switches!$M$2:'Switches'!$M$1000&amp;" "," "&amp;M5&amp;" "),Switches!$M$2:'Switches'!$M$1000),"")</f>
        <v/>
      </c>
      <c r="Y5" t="str">
        <f>IFERROR(LOOKUP(,-SEARCH(" "&amp;Switches!$N$2:'Switches'!$N$1000&amp;" "," "&amp;D5&amp;" "),Switches!$N$2:'Switches'!$N$1000),"")</f>
        <v/>
      </c>
      <c r="Z5">
        <v>0.05</v>
      </c>
      <c r="AA5">
        <v>0.05</v>
      </c>
      <c r="AB5">
        <v>0.05</v>
      </c>
      <c r="AC5">
        <v>2</v>
      </c>
      <c r="AD5">
        <v>2</v>
      </c>
      <c r="AE5">
        <v>0</v>
      </c>
    </row>
    <row r="6" spans="1:31" x14ac:dyDescent="0.25">
      <c r="A6" s="1" t="s">
        <v>43</v>
      </c>
      <c r="B6" s="1" t="s">
        <v>44</v>
      </c>
      <c r="C6" t="str">
        <f t="shared" si="0"/>
        <v>Г-образный 14Вт Yard H=3000</v>
      </c>
      <c r="D6" t="str">
        <f t="shared" si="1"/>
        <v>14Вт Yard H=3000</v>
      </c>
      <c r="E6" t="str">
        <f t="shared" si="2"/>
        <v>14Вт H=3000</v>
      </c>
      <c r="F6" t="str">
        <f t="shared" si="3"/>
        <v>14Вт H=3000</v>
      </c>
      <c r="G6" t="str">
        <f t="shared" si="4"/>
        <v>14Вт H=3000</v>
      </c>
      <c r="H6" t="str">
        <f t="shared" si="5"/>
        <v>14Вт</v>
      </c>
      <c r="I6" t="str">
        <f t="shared" si="6"/>
        <v>14Вт</v>
      </c>
      <c r="J6" t="str">
        <f t="shared" si="7"/>
        <v>14</v>
      </c>
      <c r="K6" t="str">
        <f t="shared" si="8"/>
        <v>14</v>
      </c>
      <c r="L6" t="str">
        <f t="shared" si="9"/>
        <v>P866656</v>
      </c>
      <c r="M6" t="str">
        <f>LOOKUP(,-SEARCH(" "&amp;Switches!$A$2:'Switches'!$A$1000&amp;" "," "&amp;TRIM(B6)&amp;" "),Switches!$A$2:'Switches'!$A$1000)</f>
        <v>Bell New</v>
      </c>
      <c r="N6" t="str">
        <f>IFERROR(LOOKUP(,-SEARCH(" "&amp;Switches!$B$2:'Switches'!$B$1000&amp;" "," "&amp;C6&amp;" "),Switches!$B$2:'Switches'!$B$1000), "")</f>
        <v>Г-образный</v>
      </c>
      <c r="O6" t="str">
        <f>LOOKUP(,-SEARCH(" "&amp;Switches!$C$2:'Switches'!$C$1000&amp;" "," "&amp;TRIM(B6)&amp;" "),Switches!$C$2:'Switches'!$C$1000)</f>
        <v>Yard</v>
      </c>
      <c r="P6" t="str">
        <f t="shared" si="10"/>
        <v>Yard.ies</v>
      </c>
      <c r="Q6" t="s">
        <v>118</v>
      </c>
      <c r="R6">
        <v>12</v>
      </c>
      <c r="S6" s="6" t="str">
        <f t="shared" si="11"/>
        <v>14</v>
      </c>
      <c r="T6">
        <f t="shared" si="12"/>
        <v>108</v>
      </c>
      <c r="U6">
        <f t="shared" si="13"/>
        <v>1296</v>
      </c>
      <c r="V6" t="str">
        <f>IF(ISTEXT(LOOKUP(,-SEARCH(" "&amp;Switches!$K$2:'Switches'!$K$60&amp;" "," "&amp;D6&amp;" "),Switches!$K$2:'Switches'!$K$60)), LOOKUP(,-SEARCH(" "&amp;Switches!$K$2:'Switches'!$K$60&amp;" "," "&amp;D6&amp;" "),Switches!$K$2:'Switches'!$K$60),"")</f>
        <v/>
      </c>
      <c r="W6" t="str">
        <f>IFERROR(LOOKUP(,-SEARCH(" "&amp;Switches!$L$2:'Switches'!$L$1000&amp;" "," "&amp;F6&amp;" "),Switches!$L$2:'Switches'!$L$1000),"")</f>
        <v>H=3000</v>
      </c>
      <c r="X6" t="str">
        <f>IFERROR(LOOKUP(,-SEARCH(" "&amp;Switches!$M$2:'Switches'!$M$1000&amp;" "," "&amp;M6&amp;" "),Switches!$M$2:'Switches'!$M$1000),"")</f>
        <v/>
      </c>
      <c r="Y6" t="str">
        <f>IFERROR(LOOKUP(,-SEARCH(" "&amp;Switches!$N$2:'Switches'!$N$1000&amp;" "," "&amp;D6&amp;" "),Switches!$N$2:'Switches'!$N$1000),"")</f>
        <v/>
      </c>
      <c r="Z6">
        <v>0.05</v>
      </c>
      <c r="AA6">
        <v>0.05</v>
      </c>
      <c r="AB6">
        <v>0.05</v>
      </c>
      <c r="AC6">
        <v>2</v>
      </c>
      <c r="AD6">
        <v>2</v>
      </c>
      <c r="AE6">
        <v>0</v>
      </c>
    </row>
    <row r="7" spans="1:31" x14ac:dyDescent="0.25">
      <c r="A7" s="1" t="s">
        <v>45</v>
      </c>
      <c r="B7" s="1" t="s">
        <v>46</v>
      </c>
      <c r="C7" t="str">
        <f t="shared" si="0"/>
        <v>Г-образный 14Вт Street H=4500</v>
      </c>
      <c r="D7" t="str">
        <f t="shared" si="1"/>
        <v>14Вт Street H=4500</v>
      </c>
      <c r="E7" t="str">
        <f t="shared" si="2"/>
        <v>14Вт H=4500</v>
      </c>
      <c r="F7" t="str">
        <f t="shared" si="3"/>
        <v>14Вт H=4500</v>
      </c>
      <c r="G7" t="str">
        <f t="shared" si="4"/>
        <v>14Вт H=4500</v>
      </c>
      <c r="H7" t="str">
        <f t="shared" si="5"/>
        <v>14Вт</v>
      </c>
      <c r="I7" t="str">
        <f t="shared" si="6"/>
        <v>14Вт</v>
      </c>
      <c r="J7" t="str">
        <f t="shared" si="7"/>
        <v>14</v>
      </c>
      <c r="K7" t="str">
        <f t="shared" si="8"/>
        <v>14</v>
      </c>
      <c r="L7" t="str">
        <f t="shared" si="9"/>
        <v>P866657</v>
      </c>
      <c r="M7" t="str">
        <f>LOOKUP(,-SEARCH(" "&amp;Switches!$A$2:'Switches'!$A$1000&amp;" "," "&amp;TRIM(B7)&amp;" "),Switches!$A$2:'Switches'!$A$1000)</f>
        <v>Bell New</v>
      </c>
      <c r="N7" t="str">
        <f>IFERROR(LOOKUP(,-SEARCH(" "&amp;Switches!$B$2:'Switches'!$B$1000&amp;" "," "&amp;C7&amp;" "),Switches!$B$2:'Switches'!$B$1000), "")</f>
        <v>Г-образный</v>
      </c>
      <c r="O7" t="str">
        <f>LOOKUP(,-SEARCH(" "&amp;Switches!$C$2:'Switches'!$C$1000&amp;" "," "&amp;TRIM(B7)&amp;" "),Switches!$C$2:'Switches'!$C$1000)</f>
        <v>Street</v>
      </c>
      <c r="P7" t="str">
        <f t="shared" si="10"/>
        <v>Street.ies</v>
      </c>
      <c r="Q7" t="s">
        <v>118</v>
      </c>
      <c r="R7">
        <v>12</v>
      </c>
      <c r="S7" s="6" t="str">
        <f t="shared" si="11"/>
        <v>14</v>
      </c>
      <c r="T7">
        <f t="shared" si="12"/>
        <v>108</v>
      </c>
      <c r="U7">
        <f t="shared" si="13"/>
        <v>1296</v>
      </c>
      <c r="V7" t="str">
        <f>IF(ISTEXT(LOOKUP(,-SEARCH(" "&amp;Switches!$K$2:'Switches'!$K$60&amp;" "," "&amp;D7&amp;" "),Switches!$K$2:'Switches'!$K$60)), LOOKUP(,-SEARCH(" "&amp;Switches!$K$2:'Switches'!$K$60&amp;" "," "&amp;D7&amp;" "),Switches!$K$2:'Switches'!$K$60),"")</f>
        <v/>
      </c>
      <c r="W7" t="str">
        <f>IFERROR(LOOKUP(,-SEARCH(" "&amp;Switches!$L$2:'Switches'!$L$1000&amp;" "," "&amp;F7&amp;" "),Switches!$L$2:'Switches'!$L$1000),"")</f>
        <v>H=4500</v>
      </c>
      <c r="X7" t="str">
        <f>IFERROR(LOOKUP(,-SEARCH(" "&amp;Switches!$M$2:'Switches'!$M$1000&amp;" "," "&amp;M7&amp;" "),Switches!$M$2:'Switches'!$M$1000),"")</f>
        <v/>
      </c>
      <c r="Y7" t="str">
        <f>IFERROR(LOOKUP(,-SEARCH(" "&amp;Switches!$N$2:'Switches'!$N$1000&amp;" "," "&amp;D7&amp;" "),Switches!$N$2:'Switches'!$N$1000),"")</f>
        <v/>
      </c>
      <c r="Z7">
        <v>0.05</v>
      </c>
      <c r="AA7">
        <v>0.05</v>
      </c>
      <c r="AB7">
        <v>0.05</v>
      </c>
      <c r="AC7">
        <v>2</v>
      </c>
      <c r="AD7">
        <v>2</v>
      </c>
      <c r="AE7">
        <v>0</v>
      </c>
    </row>
    <row r="8" spans="1:31" x14ac:dyDescent="0.25">
      <c r="A8" s="1" t="s">
        <v>47</v>
      </c>
      <c r="B8" s="1" t="s">
        <v>48</v>
      </c>
      <c r="C8" t="str">
        <f t="shared" si="0"/>
        <v>Г-образный 14Вт Road H=4500</v>
      </c>
      <c r="D8" t="str">
        <f t="shared" si="1"/>
        <v>14Вт Road H=4500</v>
      </c>
      <c r="E8" t="str">
        <f t="shared" si="2"/>
        <v>14Вт H=4500</v>
      </c>
      <c r="F8" t="str">
        <f t="shared" si="3"/>
        <v>14Вт H=4500</v>
      </c>
      <c r="G8" t="str">
        <f t="shared" si="4"/>
        <v>14Вт H=4500</v>
      </c>
      <c r="H8" t="str">
        <f t="shared" si="5"/>
        <v>14Вт</v>
      </c>
      <c r="I8" t="str">
        <f t="shared" si="6"/>
        <v>14Вт</v>
      </c>
      <c r="J8" t="str">
        <f t="shared" si="7"/>
        <v>14</v>
      </c>
      <c r="K8" t="str">
        <f t="shared" si="8"/>
        <v>14</v>
      </c>
      <c r="L8" t="str">
        <f t="shared" si="9"/>
        <v>P866658</v>
      </c>
      <c r="M8" t="str">
        <f>LOOKUP(,-SEARCH(" "&amp;Switches!$A$2:'Switches'!$A$1000&amp;" "," "&amp;TRIM(B8)&amp;" "),Switches!$A$2:'Switches'!$A$1000)</f>
        <v>Bell New</v>
      </c>
      <c r="N8" t="str">
        <f>IFERROR(LOOKUP(,-SEARCH(" "&amp;Switches!$B$2:'Switches'!$B$1000&amp;" "," "&amp;C8&amp;" "),Switches!$B$2:'Switches'!$B$1000), "")</f>
        <v>Г-образный</v>
      </c>
      <c r="O8" t="str">
        <f>LOOKUP(,-SEARCH(" "&amp;Switches!$C$2:'Switches'!$C$1000&amp;" "," "&amp;TRIM(B8)&amp;" "),Switches!$C$2:'Switches'!$C$1000)</f>
        <v>Road</v>
      </c>
      <c r="P8" t="str">
        <f t="shared" si="10"/>
        <v>Road.ies</v>
      </c>
      <c r="Q8" t="s">
        <v>118</v>
      </c>
      <c r="R8">
        <v>12</v>
      </c>
      <c r="S8" s="6" t="str">
        <f t="shared" si="11"/>
        <v>14</v>
      </c>
      <c r="T8">
        <f t="shared" si="12"/>
        <v>108</v>
      </c>
      <c r="U8">
        <f t="shared" si="13"/>
        <v>1296</v>
      </c>
      <c r="V8" t="str">
        <f>IF(ISTEXT(LOOKUP(,-SEARCH(" "&amp;Switches!$K$2:'Switches'!$K$60&amp;" "," "&amp;D8&amp;" "),Switches!$K$2:'Switches'!$K$60)), LOOKUP(,-SEARCH(" "&amp;Switches!$K$2:'Switches'!$K$60&amp;" "," "&amp;D8&amp;" "),Switches!$K$2:'Switches'!$K$60),"")</f>
        <v/>
      </c>
      <c r="W8" t="str">
        <f>IFERROR(LOOKUP(,-SEARCH(" "&amp;Switches!$L$2:'Switches'!$L$1000&amp;" "," "&amp;F8&amp;" "),Switches!$L$2:'Switches'!$L$1000),"")</f>
        <v>H=4500</v>
      </c>
      <c r="X8" t="str">
        <f>IFERROR(LOOKUP(,-SEARCH(" "&amp;Switches!$M$2:'Switches'!$M$1000&amp;" "," "&amp;M8&amp;" "),Switches!$M$2:'Switches'!$M$1000),"")</f>
        <v/>
      </c>
      <c r="Y8" t="str">
        <f>IFERROR(LOOKUP(,-SEARCH(" "&amp;Switches!$N$2:'Switches'!$N$1000&amp;" "," "&amp;D8&amp;" "),Switches!$N$2:'Switches'!$N$1000),"")</f>
        <v/>
      </c>
      <c r="Z8">
        <v>0.05</v>
      </c>
      <c r="AA8">
        <v>0.05</v>
      </c>
      <c r="AB8">
        <v>0.05</v>
      </c>
      <c r="AC8">
        <v>2</v>
      </c>
      <c r="AD8">
        <v>2</v>
      </c>
      <c r="AE8">
        <v>0</v>
      </c>
    </row>
    <row r="9" spans="1:31" x14ac:dyDescent="0.25">
      <c r="A9" s="1" t="s">
        <v>49</v>
      </c>
      <c r="B9" s="1" t="s">
        <v>50</v>
      </c>
      <c r="C9" t="str">
        <f t="shared" si="0"/>
        <v>Г-образный 14Вт Yard H=4500</v>
      </c>
      <c r="D9" t="str">
        <f t="shared" si="1"/>
        <v>14Вт Yard H=4500</v>
      </c>
      <c r="E9" t="str">
        <f t="shared" si="2"/>
        <v>14Вт H=4500</v>
      </c>
      <c r="F9" t="str">
        <f t="shared" si="3"/>
        <v>14Вт H=4500</v>
      </c>
      <c r="G9" t="str">
        <f t="shared" si="4"/>
        <v>14Вт H=4500</v>
      </c>
      <c r="H9" t="str">
        <f t="shared" si="5"/>
        <v>14Вт</v>
      </c>
      <c r="I9" t="str">
        <f t="shared" si="6"/>
        <v>14Вт</v>
      </c>
      <c r="J9" t="str">
        <f t="shared" si="7"/>
        <v>14</v>
      </c>
      <c r="K9" t="str">
        <f t="shared" si="8"/>
        <v>14</v>
      </c>
      <c r="L9" t="str">
        <f t="shared" si="9"/>
        <v>P866659</v>
      </c>
      <c r="M9" t="str">
        <f>LOOKUP(,-SEARCH(" "&amp;Switches!$A$2:'Switches'!$A$1000&amp;" "," "&amp;TRIM(B9)&amp;" "),Switches!$A$2:'Switches'!$A$1000)</f>
        <v>Bell New</v>
      </c>
      <c r="N9" t="str">
        <f>IFERROR(LOOKUP(,-SEARCH(" "&amp;Switches!$B$2:'Switches'!$B$1000&amp;" "," "&amp;C9&amp;" "),Switches!$B$2:'Switches'!$B$1000), "")</f>
        <v>Г-образный</v>
      </c>
      <c r="O9" t="str">
        <f>LOOKUP(,-SEARCH(" "&amp;Switches!$C$2:'Switches'!$C$1000&amp;" "," "&amp;TRIM(B9)&amp;" "),Switches!$C$2:'Switches'!$C$1000)</f>
        <v>Yard</v>
      </c>
      <c r="P9" t="str">
        <f t="shared" si="10"/>
        <v>Yard.ies</v>
      </c>
      <c r="Q9" t="s">
        <v>118</v>
      </c>
      <c r="R9">
        <v>12</v>
      </c>
      <c r="S9" s="6" t="str">
        <f t="shared" si="11"/>
        <v>14</v>
      </c>
      <c r="T9">
        <f t="shared" si="12"/>
        <v>108</v>
      </c>
      <c r="U9">
        <f t="shared" si="13"/>
        <v>1296</v>
      </c>
      <c r="V9" t="str">
        <f>IF(ISTEXT(LOOKUP(,-SEARCH(" "&amp;Switches!$K$2:'Switches'!$K$60&amp;" "," "&amp;D9&amp;" "),Switches!$K$2:'Switches'!$K$60)), LOOKUP(,-SEARCH(" "&amp;Switches!$K$2:'Switches'!$K$60&amp;" "," "&amp;D9&amp;" "),Switches!$K$2:'Switches'!$K$60),"")</f>
        <v/>
      </c>
      <c r="W9" t="str">
        <f>IFERROR(LOOKUP(,-SEARCH(" "&amp;Switches!$L$2:'Switches'!$L$1000&amp;" "," "&amp;F9&amp;" "),Switches!$L$2:'Switches'!$L$1000),"")</f>
        <v>H=4500</v>
      </c>
      <c r="X9" t="str">
        <f>IFERROR(LOOKUP(,-SEARCH(" "&amp;Switches!$M$2:'Switches'!$M$1000&amp;" "," "&amp;M9&amp;" "),Switches!$M$2:'Switches'!$M$1000),"")</f>
        <v/>
      </c>
      <c r="Y9" t="str">
        <f>IFERROR(LOOKUP(,-SEARCH(" "&amp;Switches!$N$2:'Switches'!$N$1000&amp;" "," "&amp;D9&amp;" "),Switches!$N$2:'Switches'!$N$1000),"")</f>
        <v/>
      </c>
      <c r="Z9">
        <v>0.05</v>
      </c>
      <c r="AA9">
        <v>0.05</v>
      </c>
      <c r="AB9">
        <v>0.05</v>
      </c>
      <c r="AC9">
        <v>2</v>
      </c>
      <c r="AD9">
        <v>2</v>
      </c>
      <c r="AE9">
        <v>0</v>
      </c>
    </row>
    <row r="10" spans="1:31" x14ac:dyDescent="0.25">
      <c r="A10" s="1" t="s">
        <v>51</v>
      </c>
      <c r="B10" s="1" t="s">
        <v>52</v>
      </c>
      <c r="C10" t="str">
        <f t="shared" si="0"/>
        <v>Г-образный 14Вт Street H=6000</v>
      </c>
      <c r="D10" t="str">
        <f t="shared" si="1"/>
        <v>14Вт Street H=6000</v>
      </c>
      <c r="E10" t="str">
        <f t="shared" si="2"/>
        <v>14Вт H=6000</v>
      </c>
      <c r="F10" t="str">
        <f t="shared" si="3"/>
        <v>14Вт H=6000</v>
      </c>
      <c r="G10" t="str">
        <f t="shared" si="4"/>
        <v>14Вт H=6000</v>
      </c>
      <c r="H10" t="str">
        <f t="shared" si="5"/>
        <v>14Вт</v>
      </c>
      <c r="I10" t="str">
        <f t="shared" si="6"/>
        <v>14Вт</v>
      </c>
      <c r="J10" t="str">
        <f t="shared" si="7"/>
        <v>14</v>
      </c>
      <c r="K10" t="str">
        <f t="shared" si="8"/>
        <v>14</v>
      </c>
      <c r="L10" t="str">
        <f t="shared" si="9"/>
        <v>P866660</v>
      </c>
      <c r="M10" t="str">
        <f>LOOKUP(,-SEARCH(" "&amp;Switches!$A$2:'Switches'!$A$1000&amp;" "," "&amp;TRIM(B10)&amp;" "),Switches!$A$2:'Switches'!$A$1000)</f>
        <v>Bell New</v>
      </c>
      <c r="N10" t="str">
        <f>IFERROR(LOOKUP(,-SEARCH(" "&amp;Switches!$B$2:'Switches'!$B$1000&amp;" "," "&amp;C10&amp;" "),Switches!$B$2:'Switches'!$B$1000), "")</f>
        <v>Г-образный</v>
      </c>
      <c r="O10" t="str">
        <f>LOOKUP(,-SEARCH(" "&amp;Switches!$C$2:'Switches'!$C$1000&amp;" "," "&amp;TRIM(B10)&amp;" "),Switches!$C$2:'Switches'!$C$1000)</f>
        <v>Street</v>
      </c>
      <c r="P10" t="str">
        <f t="shared" si="10"/>
        <v>Street.ies</v>
      </c>
      <c r="Q10" t="s">
        <v>118</v>
      </c>
      <c r="R10">
        <v>12</v>
      </c>
      <c r="S10" s="6" t="str">
        <f t="shared" si="11"/>
        <v>14</v>
      </c>
      <c r="T10">
        <f t="shared" si="12"/>
        <v>108</v>
      </c>
      <c r="U10">
        <f t="shared" si="13"/>
        <v>1296</v>
      </c>
      <c r="V10" t="str">
        <f>IF(ISTEXT(LOOKUP(,-SEARCH(" "&amp;Switches!$K$2:'Switches'!$K$60&amp;" "," "&amp;D10&amp;" "),Switches!$K$2:'Switches'!$K$60)), LOOKUP(,-SEARCH(" "&amp;Switches!$K$2:'Switches'!$K$60&amp;" "," "&amp;D10&amp;" "),Switches!$K$2:'Switches'!$K$60),"")</f>
        <v/>
      </c>
      <c r="W10" t="str">
        <f>IFERROR(LOOKUP(,-SEARCH(" "&amp;Switches!$L$2:'Switches'!$L$1000&amp;" "," "&amp;F10&amp;" "),Switches!$L$2:'Switches'!$L$1000),"")</f>
        <v>H=6000</v>
      </c>
      <c r="X10" t="str">
        <f>IFERROR(LOOKUP(,-SEARCH(" "&amp;Switches!$M$2:'Switches'!$M$1000&amp;" "," "&amp;M10&amp;" "),Switches!$M$2:'Switches'!$M$1000),"")</f>
        <v/>
      </c>
      <c r="Y10" t="str">
        <f>IFERROR(LOOKUP(,-SEARCH(" "&amp;Switches!$N$2:'Switches'!$N$1000&amp;" "," "&amp;D10&amp;" "),Switches!$N$2:'Switches'!$N$1000),"")</f>
        <v/>
      </c>
      <c r="Z10">
        <v>0.05</v>
      </c>
      <c r="AA10">
        <v>0.05</v>
      </c>
      <c r="AB10">
        <v>0.05</v>
      </c>
      <c r="AC10">
        <v>2</v>
      </c>
      <c r="AD10">
        <v>2</v>
      </c>
      <c r="AE10">
        <v>0</v>
      </c>
    </row>
    <row r="11" spans="1:31" x14ac:dyDescent="0.25">
      <c r="A11" s="1" t="s">
        <v>53</v>
      </c>
      <c r="B11" s="1" t="s">
        <v>54</v>
      </c>
      <c r="C11" t="str">
        <f t="shared" si="0"/>
        <v>Г-образный 14Вт Road H=6000</v>
      </c>
      <c r="D11" t="str">
        <f t="shared" si="1"/>
        <v>14Вт Road H=6000</v>
      </c>
      <c r="E11" t="str">
        <f t="shared" si="2"/>
        <v>14Вт H=6000</v>
      </c>
      <c r="F11" t="str">
        <f t="shared" si="3"/>
        <v>14Вт H=6000</v>
      </c>
      <c r="G11" t="str">
        <f t="shared" si="4"/>
        <v>14Вт H=6000</v>
      </c>
      <c r="H11" t="str">
        <f t="shared" si="5"/>
        <v>14Вт</v>
      </c>
      <c r="I11" t="str">
        <f t="shared" si="6"/>
        <v>14Вт</v>
      </c>
      <c r="J11" t="str">
        <f t="shared" si="7"/>
        <v>14</v>
      </c>
      <c r="K11" t="str">
        <f t="shared" si="8"/>
        <v>14</v>
      </c>
      <c r="L11" t="str">
        <f t="shared" si="9"/>
        <v>P866661</v>
      </c>
      <c r="M11" t="str">
        <f>LOOKUP(,-SEARCH(" "&amp;Switches!$A$2:'Switches'!$A$1000&amp;" "," "&amp;TRIM(B11)&amp;" "),Switches!$A$2:'Switches'!$A$1000)</f>
        <v>Bell New</v>
      </c>
      <c r="N11" t="str">
        <f>IFERROR(LOOKUP(,-SEARCH(" "&amp;Switches!$B$2:'Switches'!$B$1000&amp;" "," "&amp;C11&amp;" "),Switches!$B$2:'Switches'!$B$1000), "")</f>
        <v>Г-образный</v>
      </c>
      <c r="O11" t="str">
        <f>LOOKUP(,-SEARCH(" "&amp;Switches!$C$2:'Switches'!$C$1000&amp;" "," "&amp;TRIM(B11)&amp;" "),Switches!$C$2:'Switches'!$C$1000)</f>
        <v>Road</v>
      </c>
      <c r="P11" t="str">
        <f t="shared" si="10"/>
        <v>Road.ies</v>
      </c>
      <c r="Q11" t="s">
        <v>118</v>
      </c>
      <c r="R11">
        <v>12</v>
      </c>
      <c r="S11" s="6" t="str">
        <f t="shared" si="11"/>
        <v>14</v>
      </c>
      <c r="T11">
        <f t="shared" si="12"/>
        <v>108</v>
      </c>
      <c r="U11">
        <f t="shared" si="13"/>
        <v>1296</v>
      </c>
      <c r="V11" t="str">
        <f>IF(ISTEXT(LOOKUP(,-SEARCH(" "&amp;Switches!$K$2:'Switches'!$K$60&amp;" "," "&amp;D11&amp;" "),Switches!$K$2:'Switches'!$K$60)), LOOKUP(,-SEARCH(" "&amp;Switches!$K$2:'Switches'!$K$60&amp;" "," "&amp;D11&amp;" "),Switches!$K$2:'Switches'!$K$60),"")</f>
        <v/>
      </c>
      <c r="W11" t="str">
        <f>IFERROR(LOOKUP(,-SEARCH(" "&amp;Switches!$L$2:'Switches'!$L$1000&amp;" "," "&amp;F11&amp;" "),Switches!$L$2:'Switches'!$L$1000),"")</f>
        <v>H=6000</v>
      </c>
      <c r="X11" t="str">
        <f>IFERROR(LOOKUP(,-SEARCH(" "&amp;Switches!$M$2:'Switches'!$M$1000&amp;" "," "&amp;M11&amp;" "),Switches!$M$2:'Switches'!$M$1000),"")</f>
        <v/>
      </c>
      <c r="Y11" t="str">
        <f>IFERROR(LOOKUP(,-SEARCH(" "&amp;Switches!$N$2:'Switches'!$N$1000&amp;" "," "&amp;D11&amp;" "),Switches!$N$2:'Switches'!$N$1000),"")</f>
        <v/>
      </c>
      <c r="Z11">
        <v>0.05</v>
      </c>
      <c r="AA11">
        <v>0.05</v>
      </c>
      <c r="AB11">
        <v>0.05</v>
      </c>
      <c r="AC11">
        <v>2</v>
      </c>
      <c r="AD11">
        <v>2</v>
      </c>
      <c r="AE11">
        <v>0</v>
      </c>
    </row>
    <row r="12" spans="1:31" x14ac:dyDescent="0.25">
      <c r="A12" s="1" t="s">
        <v>55</v>
      </c>
      <c r="B12" s="1" t="s">
        <v>56</v>
      </c>
      <c r="C12" t="str">
        <f t="shared" si="0"/>
        <v>Г-образный 14Вт Yard H=6000</v>
      </c>
      <c r="D12" t="str">
        <f t="shared" si="1"/>
        <v>14Вт Yard H=6000</v>
      </c>
      <c r="E12" t="str">
        <f t="shared" si="2"/>
        <v>14Вт H=6000</v>
      </c>
      <c r="F12" t="str">
        <f t="shared" si="3"/>
        <v>14Вт H=6000</v>
      </c>
      <c r="G12" t="str">
        <f t="shared" si="4"/>
        <v>14Вт H=6000</v>
      </c>
      <c r="H12" t="str">
        <f t="shared" si="5"/>
        <v>14Вт</v>
      </c>
      <c r="I12" t="str">
        <f t="shared" si="6"/>
        <v>14Вт</v>
      </c>
      <c r="J12" t="str">
        <f t="shared" si="7"/>
        <v>14</v>
      </c>
      <c r="K12" t="str">
        <f t="shared" si="8"/>
        <v>14</v>
      </c>
      <c r="L12" t="str">
        <f t="shared" si="9"/>
        <v>P866662</v>
      </c>
      <c r="M12" t="str">
        <f>LOOKUP(,-SEARCH(" "&amp;Switches!$A$2:'Switches'!$A$1000&amp;" "," "&amp;TRIM(B12)&amp;" "),Switches!$A$2:'Switches'!$A$1000)</f>
        <v>Bell New</v>
      </c>
      <c r="N12" t="str">
        <f>IFERROR(LOOKUP(,-SEARCH(" "&amp;Switches!$B$2:'Switches'!$B$1000&amp;" "," "&amp;C12&amp;" "),Switches!$B$2:'Switches'!$B$1000), "")</f>
        <v>Г-образный</v>
      </c>
      <c r="O12" t="str">
        <f>LOOKUP(,-SEARCH(" "&amp;Switches!$C$2:'Switches'!$C$1000&amp;" "," "&amp;TRIM(B12)&amp;" "),Switches!$C$2:'Switches'!$C$1000)</f>
        <v>Yard</v>
      </c>
      <c r="P12" t="str">
        <f t="shared" si="10"/>
        <v>Yard.ies</v>
      </c>
      <c r="Q12" t="s">
        <v>118</v>
      </c>
      <c r="R12">
        <v>12</v>
      </c>
      <c r="S12" s="6" t="str">
        <f t="shared" si="11"/>
        <v>14</v>
      </c>
      <c r="T12">
        <f t="shared" si="12"/>
        <v>108</v>
      </c>
      <c r="U12">
        <f t="shared" si="13"/>
        <v>1296</v>
      </c>
      <c r="V12" t="str">
        <f>IF(ISTEXT(LOOKUP(,-SEARCH(" "&amp;Switches!$K$2:'Switches'!$K$60&amp;" "," "&amp;D12&amp;" "),Switches!$K$2:'Switches'!$K$60)), LOOKUP(,-SEARCH(" "&amp;Switches!$K$2:'Switches'!$K$60&amp;" "," "&amp;D12&amp;" "),Switches!$K$2:'Switches'!$K$60),"")</f>
        <v/>
      </c>
      <c r="W12" t="str">
        <f>IFERROR(LOOKUP(,-SEARCH(" "&amp;Switches!$L$2:'Switches'!$L$1000&amp;" "," "&amp;F12&amp;" "),Switches!$L$2:'Switches'!$L$1000),"")</f>
        <v>H=6000</v>
      </c>
      <c r="X12" t="str">
        <f>IFERROR(LOOKUP(,-SEARCH(" "&amp;Switches!$M$2:'Switches'!$M$1000&amp;" "," "&amp;M12&amp;" "),Switches!$M$2:'Switches'!$M$1000),"")</f>
        <v/>
      </c>
      <c r="Y12" t="str">
        <f>IFERROR(LOOKUP(,-SEARCH(" "&amp;Switches!$N$2:'Switches'!$N$1000&amp;" "," "&amp;D12&amp;" "),Switches!$N$2:'Switches'!$N$1000),"")</f>
        <v/>
      </c>
      <c r="Z12">
        <v>0.05</v>
      </c>
      <c r="AA12">
        <v>0.05</v>
      </c>
      <c r="AB12">
        <v>0.05</v>
      </c>
      <c r="AC12">
        <v>2</v>
      </c>
      <c r="AD12">
        <v>2</v>
      </c>
      <c r="AE12">
        <v>0</v>
      </c>
    </row>
    <row r="13" spans="1:31" x14ac:dyDescent="0.25">
      <c r="A13" s="1" t="s">
        <v>57</v>
      </c>
      <c r="B13" s="1" t="s">
        <v>58</v>
      </c>
      <c r="C13" t="str">
        <f t="shared" si="0"/>
        <v>Г-образный 29Вт Street H=3000</v>
      </c>
      <c r="D13" t="str">
        <f t="shared" si="1"/>
        <v>29Вт Street H=3000</v>
      </c>
      <c r="E13" t="str">
        <f t="shared" si="2"/>
        <v>29Вт H=3000</v>
      </c>
      <c r="F13" t="str">
        <f t="shared" si="3"/>
        <v>29Вт H=3000</v>
      </c>
      <c r="G13" t="str">
        <f t="shared" si="4"/>
        <v>29Вт H=3000</v>
      </c>
      <c r="H13" t="str">
        <f t="shared" si="5"/>
        <v>29Вт</v>
      </c>
      <c r="I13" t="str">
        <f t="shared" si="6"/>
        <v>29Вт</v>
      </c>
      <c r="J13" t="str">
        <f t="shared" si="7"/>
        <v>29</v>
      </c>
      <c r="K13" t="str">
        <f t="shared" si="8"/>
        <v>29</v>
      </c>
      <c r="L13" t="str">
        <f t="shared" si="9"/>
        <v>P866663</v>
      </c>
      <c r="M13" t="str">
        <f>LOOKUP(,-SEARCH(" "&amp;Switches!$A$2:'Switches'!$A$1000&amp;" "," "&amp;TRIM(B13)&amp;" "),Switches!$A$2:'Switches'!$A$1000)</f>
        <v>Bell New</v>
      </c>
      <c r="N13" t="str">
        <f>IFERROR(LOOKUP(,-SEARCH(" "&amp;Switches!$B$2:'Switches'!$B$1000&amp;" "," "&amp;C13&amp;" "),Switches!$B$2:'Switches'!$B$1000), "")</f>
        <v>Г-образный</v>
      </c>
      <c r="O13" t="str">
        <f>LOOKUP(,-SEARCH(" "&amp;Switches!$C$2:'Switches'!$C$1000&amp;" "," "&amp;TRIM(B13)&amp;" "),Switches!$C$2:'Switches'!$C$1000)</f>
        <v>Street</v>
      </c>
      <c r="P13" t="str">
        <f t="shared" si="10"/>
        <v>Street.ies</v>
      </c>
      <c r="Q13" t="s">
        <v>118</v>
      </c>
      <c r="R13">
        <v>12</v>
      </c>
      <c r="S13" s="6" t="str">
        <f t="shared" si="11"/>
        <v>29</v>
      </c>
      <c r="T13">
        <f t="shared" si="12"/>
        <v>217</v>
      </c>
      <c r="U13">
        <f t="shared" si="13"/>
        <v>2604</v>
      </c>
      <c r="V13" t="str">
        <f>IF(ISTEXT(LOOKUP(,-SEARCH(" "&amp;Switches!$K$2:'Switches'!$K$60&amp;" "," "&amp;D13&amp;" "),Switches!$K$2:'Switches'!$K$60)), LOOKUP(,-SEARCH(" "&amp;Switches!$K$2:'Switches'!$K$60&amp;" "," "&amp;D13&amp;" "),Switches!$K$2:'Switches'!$K$60),"")</f>
        <v/>
      </c>
      <c r="W13" t="str">
        <f>IFERROR(LOOKUP(,-SEARCH(" "&amp;Switches!$L$2:'Switches'!$L$1000&amp;" "," "&amp;F13&amp;" "),Switches!$L$2:'Switches'!$L$1000),"")</f>
        <v>H=3000</v>
      </c>
      <c r="X13" t="str">
        <f>IFERROR(LOOKUP(,-SEARCH(" "&amp;Switches!$M$2:'Switches'!$M$1000&amp;" "," "&amp;M13&amp;" "),Switches!$M$2:'Switches'!$M$1000),"")</f>
        <v/>
      </c>
      <c r="Y13" t="str">
        <f>IFERROR(LOOKUP(,-SEARCH(" "&amp;Switches!$N$2:'Switches'!$N$1000&amp;" "," "&amp;D13&amp;" "),Switches!$N$2:'Switches'!$N$1000),"")</f>
        <v/>
      </c>
      <c r="Z13">
        <v>0.05</v>
      </c>
      <c r="AA13">
        <v>0.05</v>
      </c>
      <c r="AB13">
        <v>0.05</v>
      </c>
      <c r="AC13">
        <v>2</v>
      </c>
      <c r="AD13">
        <v>2</v>
      </c>
      <c r="AE13">
        <v>0</v>
      </c>
    </row>
    <row r="14" spans="1:31" x14ac:dyDescent="0.25">
      <c r="A14" s="1" t="s">
        <v>59</v>
      </c>
      <c r="B14" s="1" t="s">
        <v>60</v>
      </c>
      <c r="C14" t="str">
        <f t="shared" si="0"/>
        <v>Г-образный 29Вт Road H=3000</v>
      </c>
      <c r="D14" t="str">
        <f t="shared" si="1"/>
        <v>29Вт Road H=3000</v>
      </c>
      <c r="E14" t="str">
        <f t="shared" si="2"/>
        <v>29Вт H=3000</v>
      </c>
      <c r="F14" t="str">
        <f t="shared" si="3"/>
        <v>29Вт H=3000</v>
      </c>
      <c r="G14" t="str">
        <f t="shared" si="4"/>
        <v>29Вт H=3000</v>
      </c>
      <c r="H14" t="str">
        <f t="shared" si="5"/>
        <v>29Вт</v>
      </c>
      <c r="I14" t="str">
        <f t="shared" si="6"/>
        <v>29Вт</v>
      </c>
      <c r="J14" t="str">
        <f t="shared" si="7"/>
        <v>29</v>
      </c>
      <c r="K14" t="str">
        <f t="shared" si="8"/>
        <v>29</v>
      </c>
      <c r="L14" t="str">
        <f t="shared" si="9"/>
        <v>P866664</v>
      </c>
      <c r="M14" t="str">
        <f>LOOKUP(,-SEARCH(" "&amp;Switches!$A$2:'Switches'!$A$1000&amp;" "," "&amp;TRIM(B14)&amp;" "),Switches!$A$2:'Switches'!$A$1000)</f>
        <v>Bell New</v>
      </c>
      <c r="N14" t="str">
        <f>IFERROR(LOOKUP(,-SEARCH(" "&amp;Switches!$B$2:'Switches'!$B$1000&amp;" "," "&amp;C14&amp;" "),Switches!$B$2:'Switches'!$B$1000), "")</f>
        <v>Г-образный</v>
      </c>
      <c r="O14" t="str">
        <f>LOOKUP(,-SEARCH(" "&amp;Switches!$C$2:'Switches'!$C$1000&amp;" "," "&amp;TRIM(B14)&amp;" "),Switches!$C$2:'Switches'!$C$1000)</f>
        <v>Road</v>
      </c>
      <c r="P14" t="str">
        <f t="shared" si="10"/>
        <v>Road.ies</v>
      </c>
      <c r="Q14" t="s">
        <v>118</v>
      </c>
      <c r="R14">
        <v>12</v>
      </c>
      <c r="S14" s="6" t="str">
        <f t="shared" si="11"/>
        <v>29</v>
      </c>
      <c r="T14">
        <f t="shared" si="12"/>
        <v>217</v>
      </c>
      <c r="U14">
        <f t="shared" si="13"/>
        <v>2604</v>
      </c>
      <c r="V14" t="str">
        <f>IF(ISTEXT(LOOKUP(,-SEARCH(" "&amp;Switches!$K$2:'Switches'!$K$60&amp;" "," "&amp;D14&amp;" "),Switches!$K$2:'Switches'!$K$60)), LOOKUP(,-SEARCH(" "&amp;Switches!$K$2:'Switches'!$K$60&amp;" "," "&amp;D14&amp;" "),Switches!$K$2:'Switches'!$K$60),"")</f>
        <v/>
      </c>
      <c r="W14" t="str">
        <f>IFERROR(LOOKUP(,-SEARCH(" "&amp;Switches!$L$2:'Switches'!$L$1000&amp;" "," "&amp;F14&amp;" "),Switches!$L$2:'Switches'!$L$1000),"")</f>
        <v>H=3000</v>
      </c>
      <c r="X14" t="str">
        <f>IFERROR(LOOKUP(,-SEARCH(" "&amp;Switches!$M$2:'Switches'!$M$1000&amp;" "," "&amp;M14&amp;" "),Switches!$M$2:'Switches'!$M$1000),"")</f>
        <v/>
      </c>
      <c r="Y14" t="str">
        <f>IFERROR(LOOKUP(,-SEARCH(" "&amp;Switches!$N$2:'Switches'!$N$1000&amp;" "," "&amp;D14&amp;" "),Switches!$N$2:'Switches'!$N$1000),"")</f>
        <v/>
      </c>
      <c r="Z14">
        <v>0.05</v>
      </c>
      <c r="AA14">
        <v>0.05</v>
      </c>
      <c r="AB14">
        <v>0.05</v>
      </c>
      <c r="AC14">
        <v>2</v>
      </c>
      <c r="AD14">
        <v>2</v>
      </c>
      <c r="AE14">
        <v>0</v>
      </c>
    </row>
    <row r="15" spans="1:31" x14ac:dyDescent="0.25">
      <c r="A15" s="1" t="s">
        <v>61</v>
      </c>
      <c r="B15" s="1" t="s">
        <v>62</v>
      </c>
      <c r="C15" t="str">
        <f t="shared" si="0"/>
        <v>Г-образный 29Вт Yard H=3000</v>
      </c>
      <c r="D15" t="str">
        <f t="shared" si="1"/>
        <v>29Вт Yard H=3000</v>
      </c>
      <c r="E15" t="str">
        <f t="shared" si="2"/>
        <v>29Вт H=3000</v>
      </c>
      <c r="F15" t="str">
        <f t="shared" si="3"/>
        <v>29Вт H=3000</v>
      </c>
      <c r="G15" t="str">
        <f t="shared" si="4"/>
        <v>29Вт H=3000</v>
      </c>
      <c r="H15" t="str">
        <f t="shared" si="5"/>
        <v>29Вт</v>
      </c>
      <c r="I15" t="str">
        <f t="shared" si="6"/>
        <v>29Вт</v>
      </c>
      <c r="J15" t="str">
        <f t="shared" si="7"/>
        <v>29</v>
      </c>
      <c r="K15" t="str">
        <f t="shared" si="8"/>
        <v>29</v>
      </c>
      <c r="L15" t="str">
        <f t="shared" si="9"/>
        <v>P866665</v>
      </c>
      <c r="M15" t="str">
        <f>LOOKUP(,-SEARCH(" "&amp;Switches!$A$2:'Switches'!$A$1000&amp;" "," "&amp;TRIM(B15)&amp;" "),Switches!$A$2:'Switches'!$A$1000)</f>
        <v>Bell New</v>
      </c>
      <c r="N15" t="str">
        <f>IFERROR(LOOKUP(,-SEARCH(" "&amp;Switches!$B$2:'Switches'!$B$1000&amp;" "," "&amp;C15&amp;" "),Switches!$B$2:'Switches'!$B$1000), "")</f>
        <v>Г-образный</v>
      </c>
      <c r="O15" t="str">
        <f>LOOKUP(,-SEARCH(" "&amp;Switches!$C$2:'Switches'!$C$1000&amp;" "," "&amp;TRIM(B15)&amp;" "),Switches!$C$2:'Switches'!$C$1000)</f>
        <v>Yard</v>
      </c>
      <c r="P15" t="str">
        <f t="shared" si="10"/>
        <v>Yard.ies</v>
      </c>
      <c r="Q15" t="s">
        <v>118</v>
      </c>
      <c r="R15">
        <v>12</v>
      </c>
      <c r="S15" s="6" t="str">
        <f t="shared" si="11"/>
        <v>29</v>
      </c>
      <c r="T15">
        <f t="shared" si="12"/>
        <v>217</v>
      </c>
      <c r="U15">
        <f t="shared" si="13"/>
        <v>2604</v>
      </c>
      <c r="V15" t="str">
        <f>IF(ISTEXT(LOOKUP(,-SEARCH(" "&amp;Switches!$K$2:'Switches'!$K$60&amp;" "," "&amp;D15&amp;" "),Switches!$K$2:'Switches'!$K$60)), LOOKUP(,-SEARCH(" "&amp;Switches!$K$2:'Switches'!$K$60&amp;" "," "&amp;D15&amp;" "),Switches!$K$2:'Switches'!$K$60),"")</f>
        <v/>
      </c>
      <c r="W15" t="str">
        <f>IFERROR(LOOKUP(,-SEARCH(" "&amp;Switches!$L$2:'Switches'!$L$1000&amp;" "," "&amp;F15&amp;" "),Switches!$L$2:'Switches'!$L$1000),"")</f>
        <v>H=3000</v>
      </c>
      <c r="X15" t="str">
        <f>IFERROR(LOOKUP(,-SEARCH(" "&amp;Switches!$M$2:'Switches'!$M$1000&amp;" "," "&amp;M15&amp;" "),Switches!$M$2:'Switches'!$M$1000),"")</f>
        <v/>
      </c>
      <c r="Y15" t="str">
        <f>IFERROR(LOOKUP(,-SEARCH(" "&amp;Switches!$N$2:'Switches'!$N$1000&amp;" "," "&amp;D15&amp;" "),Switches!$N$2:'Switches'!$N$1000),"")</f>
        <v/>
      </c>
      <c r="Z15">
        <v>0.05</v>
      </c>
      <c r="AA15">
        <v>0.05</v>
      </c>
      <c r="AB15">
        <v>0.05</v>
      </c>
      <c r="AC15">
        <v>2</v>
      </c>
      <c r="AD15">
        <v>2</v>
      </c>
      <c r="AE15">
        <v>0</v>
      </c>
    </row>
    <row r="16" spans="1:31" x14ac:dyDescent="0.25">
      <c r="A16" s="1" t="s">
        <v>63</v>
      </c>
      <c r="B16" s="1" t="s">
        <v>64</v>
      </c>
      <c r="C16" t="str">
        <f t="shared" si="0"/>
        <v>Г-образный 29Вт Street H=4500</v>
      </c>
      <c r="D16" t="str">
        <f t="shared" si="1"/>
        <v>29Вт Street H=4500</v>
      </c>
      <c r="E16" t="str">
        <f t="shared" si="2"/>
        <v>29Вт H=4500</v>
      </c>
      <c r="F16" t="str">
        <f t="shared" si="3"/>
        <v>29Вт H=4500</v>
      </c>
      <c r="G16" t="str">
        <f t="shared" si="4"/>
        <v>29Вт H=4500</v>
      </c>
      <c r="H16" t="str">
        <f t="shared" si="5"/>
        <v>29Вт</v>
      </c>
      <c r="I16" t="str">
        <f t="shared" si="6"/>
        <v>29Вт</v>
      </c>
      <c r="J16" t="str">
        <f t="shared" si="7"/>
        <v>29</v>
      </c>
      <c r="K16" t="str">
        <f t="shared" si="8"/>
        <v>29</v>
      </c>
      <c r="L16" t="str">
        <f t="shared" si="9"/>
        <v>P866666</v>
      </c>
      <c r="M16" t="str">
        <f>LOOKUP(,-SEARCH(" "&amp;Switches!$A$2:'Switches'!$A$1000&amp;" "," "&amp;TRIM(B16)&amp;" "),Switches!$A$2:'Switches'!$A$1000)</f>
        <v>Bell New</v>
      </c>
      <c r="N16" t="str">
        <f>IFERROR(LOOKUP(,-SEARCH(" "&amp;Switches!$B$2:'Switches'!$B$1000&amp;" "," "&amp;C16&amp;" "),Switches!$B$2:'Switches'!$B$1000), "")</f>
        <v>Г-образный</v>
      </c>
      <c r="O16" t="str">
        <f>LOOKUP(,-SEARCH(" "&amp;Switches!$C$2:'Switches'!$C$1000&amp;" "," "&amp;TRIM(B16)&amp;" "),Switches!$C$2:'Switches'!$C$1000)</f>
        <v>Street</v>
      </c>
      <c r="P16" t="str">
        <f t="shared" si="10"/>
        <v>Street.ies</v>
      </c>
      <c r="Q16" t="s">
        <v>118</v>
      </c>
      <c r="R16">
        <v>12</v>
      </c>
      <c r="S16" s="6" t="str">
        <f t="shared" si="11"/>
        <v>29</v>
      </c>
      <c r="T16">
        <f t="shared" si="12"/>
        <v>217</v>
      </c>
      <c r="U16">
        <f t="shared" si="13"/>
        <v>2604</v>
      </c>
      <c r="V16" t="str">
        <f>IF(ISTEXT(LOOKUP(,-SEARCH(" "&amp;Switches!$K$2:'Switches'!$K$60&amp;" "," "&amp;D16&amp;" "),Switches!$K$2:'Switches'!$K$60)), LOOKUP(,-SEARCH(" "&amp;Switches!$K$2:'Switches'!$K$60&amp;" "," "&amp;D16&amp;" "),Switches!$K$2:'Switches'!$K$60),"")</f>
        <v/>
      </c>
      <c r="W16" t="str">
        <f>IFERROR(LOOKUP(,-SEARCH(" "&amp;Switches!$L$2:'Switches'!$L$1000&amp;" "," "&amp;F16&amp;" "),Switches!$L$2:'Switches'!$L$1000),"")</f>
        <v>H=4500</v>
      </c>
      <c r="X16" t="str">
        <f>IFERROR(LOOKUP(,-SEARCH(" "&amp;Switches!$M$2:'Switches'!$M$1000&amp;" "," "&amp;M16&amp;" "),Switches!$M$2:'Switches'!$M$1000),"")</f>
        <v/>
      </c>
      <c r="Y16" t="str">
        <f>IFERROR(LOOKUP(,-SEARCH(" "&amp;Switches!$N$2:'Switches'!$N$1000&amp;" "," "&amp;D16&amp;" "),Switches!$N$2:'Switches'!$N$1000),"")</f>
        <v/>
      </c>
      <c r="Z16">
        <v>0.05</v>
      </c>
      <c r="AA16">
        <v>0.05</v>
      </c>
      <c r="AB16">
        <v>0.05</v>
      </c>
      <c r="AC16">
        <v>2</v>
      </c>
      <c r="AD16">
        <v>2</v>
      </c>
      <c r="AE16">
        <v>0</v>
      </c>
    </row>
    <row r="17" spans="1:31" x14ac:dyDescent="0.25">
      <c r="A17" s="1" t="s">
        <v>65</v>
      </c>
      <c r="B17" s="1" t="s">
        <v>66</v>
      </c>
      <c r="C17" t="str">
        <f t="shared" si="0"/>
        <v>Г-образный 29Вт Yard H=4500</v>
      </c>
      <c r="D17" t="str">
        <f t="shared" si="1"/>
        <v>29Вт Yard H=4500</v>
      </c>
      <c r="E17" t="str">
        <f t="shared" si="2"/>
        <v>29Вт H=4500</v>
      </c>
      <c r="F17" t="str">
        <f t="shared" si="3"/>
        <v>29Вт H=4500</v>
      </c>
      <c r="G17" t="str">
        <f t="shared" si="4"/>
        <v>29Вт H=4500</v>
      </c>
      <c r="H17" t="str">
        <f t="shared" si="5"/>
        <v>29Вт</v>
      </c>
      <c r="I17" t="str">
        <f t="shared" si="6"/>
        <v>29Вт</v>
      </c>
      <c r="J17" t="str">
        <f t="shared" si="7"/>
        <v>29</v>
      </c>
      <c r="K17" t="str">
        <f t="shared" si="8"/>
        <v>29</v>
      </c>
      <c r="L17" t="str">
        <f t="shared" si="9"/>
        <v>P866667</v>
      </c>
      <c r="M17" t="str">
        <f>LOOKUP(,-SEARCH(" "&amp;Switches!$A$2:'Switches'!$A$1000&amp;" "," "&amp;TRIM(B17)&amp;" "),Switches!$A$2:'Switches'!$A$1000)</f>
        <v>Bell New</v>
      </c>
      <c r="N17" t="str">
        <f>IFERROR(LOOKUP(,-SEARCH(" "&amp;Switches!$B$2:'Switches'!$B$1000&amp;" "," "&amp;C17&amp;" "),Switches!$B$2:'Switches'!$B$1000), "")</f>
        <v>Г-образный</v>
      </c>
      <c r="O17" t="str">
        <f>LOOKUP(,-SEARCH(" "&amp;Switches!$C$2:'Switches'!$C$1000&amp;" "," "&amp;TRIM(B17)&amp;" "),Switches!$C$2:'Switches'!$C$1000)</f>
        <v>Yard</v>
      </c>
      <c r="P17" t="str">
        <f t="shared" si="10"/>
        <v>Yard.ies</v>
      </c>
      <c r="Q17" t="s">
        <v>118</v>
      </c>
      <c r="R17">
        <v>12</v>
      </c>
      <c r="S17" s="6" t="str">
        <f t="shared" si="11"/>
        <v>29</v>
      </c>
      <c r="T17">
        <f t="shared" si="12"/>
        <v>217</v>
      </c>
      <c r="U17">
        <f t="shared" si="13"/>
        <v>2604</v>
      </c>
      <c r="V17" t="str">
        <f>IF(ISTEXT(LOOKUP(,-SEARCH(" "&amp;Switches!$K$2:'Switches'!$K$60&amp;" "," "&amp;D17&amp;" "),Switches!$K$2:'Switches'!$K$60)), LOOKUP(,-SEARCH(" "&amp;Switches!$K$2:'Switches'!$K$60&amp;" "," "&amp;D17&amp;" "),Switches!$K$2:'Switches'!$K$60),"")</f>
        <v/>
      </c>
      <c r="W17" t="str">
        <f>IFERROR(LOOKUP(,-SEARCH(" "&amp;Switches!$L$2:'Switches'!$L$1000&amp;" "," "&amp;F17&amp;" "),Switches!$L$2:'Switches'!$L$1000),"")</f>
        <v>H=4500</v>
      </c>
      <c r="X17" t="str">
        <f>IFERROR(LOOKUP(,-SEARCH(" "&amp;Switches!$M$2:'Switches'!$M$1000&amp;" "," "&amp;M17&amp;" "),Switches!$M$2:'Switches'!$M$1000),"")</f>
        <v/>
      </c>
      <c r="Y17" t="str">
        <f>IFERROR(LOOKUP(,-SEARCH(" "&amp;Switches!$N$2:'Switches'!$N$1000&amp;" "," "&amp;D17&amp;" "),Switches!$N$2:'Switches'!$N$1000),"")</f>
        <v/>
      </c>
      <c r="Z17">
        <v>0.05</v>
      </c>
      <c r="AA17">
        <v>0.05</v>
      </c>
      <c r="AB17">
        <v>0.05</v>
      </c>
      <c r="AC17">
        <v>2</v>
      </c>
      <c r="AD17">
        <v>2</v>
      </c>
      <c r="AE17">
        <v>0</v>
      </c>
    </row>
    <row r="18" spans="1:31" x14ac:dyDescent="0.25">
      <c r="A18" s="1" t="s">
        <v>67</v>
      </c>
      <c r="B18" s="1" t="s">
        <v>68</v>
      </c>
      <c r="C18" t="str">
        <f t="shared" si="0"/>
        <v>Г-образный 29Вт Street H=6000</v>
      </c>
      <c r="D18" t="str">
        <f t="shared" si="1"/>
        <v>29Вт Street H=6000</v>
      </c>
      <c r="E18" t="str">
        <f t="shared" si="2"/>
        <v>29Вт H=6000</v>
      </c>
      <c r="F18" t="str">
        <f t="shared" si="3"/>
        <v>29Вт H=6000</v>
      </c>
      <c r="G18" t="str">
        <f t="shared" si="4"/>
        <v>29Вт H=6000</v>
      </c>
      <c r="H18" t="str">
        <f t="shared" si="5"/>
        <v>29Вт</v>
      </c>
      <c r="I18" t="str">
        <f t="shared" si="6"/>
        <v>29Вт</v>
      </c>
      <c r="J18" t="str">
        <f t="shared" si="7"/>
        <v>29</v>
      </c>
      <c r="K18" t="str">
        <f t="shared" si="8"/>
        <v>29</v>
      </c>
      <c r="L18" t="str">
        <f t="shared" si="9"/>
        <v>P866668</v>
      </c>
      <c r="M18" t="str">
        <f>LOOKUP(,-SEARCH(" "&amp;Switches!$A$2:'Switches'!$A$1000&amp;" "," "&amp;TRIM(B18)&amp;" "),Switches!$A$2:'Switches'!$A$1000)</f>
        <v>Bell New</v>
      </c>
      <c r="N18" t="str">
        <f>IFERROR(LOOKUP(,-SEARCH(" "&amp;Switches!$B$2:'Switches'!$B$1000&amp;" "," "&amp;C18&amp;" "),Switches!$B$2:'Switches'!$B$1000), "")</f>
        <v>Г-образный</v>
      </c>
      <c r="O18" t="str">
        <f>LOOKUP(,-SEARCH(" "&amp;Switches!$C$2:'Switches'!$C$1000&amp;" "," "&amp;TRIM(B18)&amp;" "),Switches!$C$2:'Switches'!$C$1000)</f>
        <v>Street</v>
      </c>
      <c r="P18" t="str">
        <f t="shared" si="10"/>
        <v>Street.ies</v>
      </c>
      <c r="Q18" t="s">
        <v>118</v>
      </c>
      <c r="R18">
        <v>12</v>
      </c>
      <c r="S18" s="6" t="str">
        <f t="shared" si="11"/>
        <v>29</v>
      </c>
      <c r="T18">
        <f t="shared" si="12"/>
        <v>217</v>
      </c>
      <c r="U18">
        <f t="shared" si="13"/>
        <v>2604</v>
      </c>
      <c r="V18" t="str">
        <f>IF(ISTEXT(LOOKUP(,-SEARCH(" "&amp;Switches!$K$2:'Switches'!$K$60&amp;" "," "&amp;D18&amp;" "),Switches!$K$2:'Switches'!$K$60)), LOOKUP(,-SEARCH(" "&amp;Switches!$K$2:'Switches'!$K$60&amp;" "," "&amp;D18&amp;" "),Switches!$K$2:'Switches'!$K$60),"")</f>
        <v/>
      </c>
      <c r="W18" t="str">
        <f>IFERROR(LOOKUP(,-SEARCH(" "&amp;Switches!$L$2:'Switches'!$L$1000&amp;" "," "&amp;F18&amp;" "),Switches!$L$2:'Switches'!$L$1000),"")</f>
        <v>H=6000</v>
      </c>
      <c r="X18" t="str">
        <f>IFERROR(LOOKUP(,-SEARCH(" "&amp;Switches!$M$2:'Switches'!$M$1000&amp;" "," "&amp;M18&amp;" "),Switches!$M$2:'Switches'!$M$1000),"")</f>
        <v/>
      </c>
      <c r="Y18" t="str">
        <f>IFERROR(LOOKUP(,-SEARCH(" "&amp;Switches!$N$2:'Switches'!$N$1000&amp;" "," "&amp;D18&amp;" "),Switches!$N$2:'Switches'!$N$1000),"")</f>
        <v/>
      </c>
      <c r="Z18">
        <v>0.05</v>
      </c>
      <c r="AA18">
        <v>0.05</v>
      </c>
      <c r="AB18">
        <v>0.05</v>
      </c>
      <c r="AC18">
        <v>2</v>
      </c>
      <c r="AD18">
        <v>2</v>
      </c>
      <c r="AE18">
        <v>0</v>
      </c>
    </row>
    <row r="19" spans="1:31" x14ac:dyDescent="0.25">
      <c r="A19" s="1" t="s">
        <v>69</v>
      </c>
      <c r="B19" s="1" t="s">
        <v>70</v>
      </c>
      <c r="C19" t="str">
        <f t="shared" si="0"/>
        <v>Г-образный 29Вт Yard H=6000</v>
      </c>
      <c r="D19" t="str">
        <f t="shared" si="1"/>
        <v>29Вт Yard H=6000</v>
      </c>
      <c r="E19" t="str">
        <f t="shared" si="2"/>
        <v>29Вт H=6000</v>
      </c>
      <c r="F19" t="str">
        <f t="shared" si="3"/>
        <v>29Вт H=6000</v>
      </c>
      <c r="G19" t="str">
        <f t="shared" si="4"/>
        <v>29Вт H=6000</v>
      </c>
      <c r="H19" t="str">
        <f t="shared" si="5"/>
        <v>29Вт</v>
      </c>
      <c r="I19" t="str">
        <f t="shared" si="6"/>
        <v>29Вт</v>
      </c>
      <c r="J19" t="str">
        <f t="shared" si="7"/>
        <v>29</v>
      </c>
      <c r="K19" t="str">
        <f t="shared" si="8"/>
        <v>29</v>
      </c>
      <c r="L19" t="str">
        <f t="shared" si="9"/>
        <v>P866669</v>
      </c>
      <c r="M19" t="str">
        <f>LOOKUP(,-SEARCH(" "&amp;Switches!$A$2:'Switches'!$A$1000&amp;" "," "&amp;TRIM(B19)&amp;" "),Switches!$A$2:'Switches'!$A$1000)</f>
        <v>Bell New</v>
      </c>
      <c r="N19" t="str">
        <f>IFERROR(LOOKUP(,-SEARCH(" "&amp;Switches!$B$2:'Switches'!$B$1000&amp;" "," "&amp;C19&amp;" "),Switches!$B$2:'Switches'!$B$1000), "")</f>
        <v>Г-образный</v>
      </c>
      <c r="O19" t="str">
        <f>LOOKUP(,-SEARCH(" "&amp;Switches!$C$2:'Switches'!$C$1000&amp;" "," "&amp;TRIM(B19)&amp;" "),Switches!$C$2:'Switches'!$C$1000)</f>
        <v>Yard</v>
      </c>
      <c r="P19" t="str">
        <f t="shared" si="10"/>
        <v>Yard.ies</v>
      </c>
      <c r="Q19" t="s">
        <v>118</v>
      </c>
      <c r="R19">
        <v>12</v>
      </c>
      <c r="S19" s="6" t="str">
        <f t="shared" si="11"/>
        <v>29</v>
      </c>
      <c r="T19">
        <f t="shared" si="12"/>
        <v>217</v>
      </c>
      <c r="U19">
        <f t="shared" si="13"/>
        <v>2604</v>
      </c>
      <c r="V19" t="str">
        <f>IF(ISTEXT(LOOKUP(,-SEARCH(" "&amp;Switches!$K$2:'Switches'!$K$60&amp;" "," "&amp;D19&amp;" "),Switches!$K$2:'Switches'!$K$60)), LOOKUP(,-SEARCH(" "&amp;Switches!$K$2:'Switches'!$K$60&amp;" "," "&amp;D19&amp;" "),Switches!$K$2:'Switches'!$K$60),"")</f>
        <v/>
      </c>
      <c r="W19" t="str">
        <f>IFERROR(LOOKUP(,-SEARCH(" "&amp;Switches!$L$2:'Switches'!$L$1000&amp;" "," "&amp;F19&amp;" "),Switches!$L$2:'Switches'!$L$1000),"")</f>
        <v>H=6000</v>
      </c>
      <c r="X19" t="str">
        <f>IFERROR(LOOKUP(,-SEARCH(" "&amp;Switches!$M$2:'Switches'!$M$1000&amp;" "," "&amp;M19&amp;" "),Switches!$M$2:'Switches'!$M$1000),"")</f>
        <v/>
      </c>
      <c r="Y19" t="str">
        <f>IFERROR(LOOKUP(,-SEARCH(" "&amp;Switches!$N$2:'Switches'!$N$1000&amp;" "," "&amp;D19&amp;" "),Switches!$N$2:'Switches'!$N$1000),"")</f>
        <v/>
      </c>
      <c r="Z19">
        <v>0.05</v>
      </c>
      <c r="AA19">
        <v>0.05</v>
      </c>
      <c r="AB19">
        <v>0.05</v>
      </c>
      <c r="AC19">
        <v>2</v>
      </c>
      <c r="AD19">
        <v>2</v>
      </c>
      <c r="AE19">
        <v>0</v>
      </c>
    </row>
    <row r="20" spans="1:31" x14ac:dyDescent="0.25">
      <c r="A20" s="1" t="s">
        <v>71</v>
      </c>
      <c r="B20" s="1" t="s">
        <v>72</v>
      </c>
      <c r="C20" t="str">
        <f t="shared" ref="C20:C29" si="14">TRIM(MID(B20,SEARCH(M20,B20)+LEN(M20)+1,500))</f>
        <v>Г-образный 58Вт Street H=3000</v>
      </c>
      <c r="D20" t="str">
        <f t="shared" si="1"/>
        <v>58Вт Street H=3000</v>
      </c>
      <c r="E20" t="str">
        <f t="shared" si="2"/>
        <v>58Вт H=3000</v>
      </c>
      <c r="F20" t="str">
        <f t="shared" ref="F20:F29" si="15">TRIM(REPLACE(E20,SEARCH(V20,E20),LEN(V20),""))</f>
        <v>58Вт H=3000</v>
      </c>
      <c r="G20" t="str">
        <f t="shared" ref="G20:G29" si="16">TRIM(REPLACE(F20,SEARCH(Y20,F20),LEN(Y20),""))</f>
        <v>58Вт H=3000</v>
      </c>
      <c r="H20" t="str">
        <f t="shared" ref="H20:H29" si="17">TRIM(REPLACE(G20,SEARCH(W20,G20),LEN(W20),""))</f>
        <v>58Вт</v>
      </c>
      <c r="I20" t="str">
        <f t="shared" si="6"/>
        <v>58Вт</v>
      </c>
      <c r="J20" t="str">
        <f t="shared" si="7"/>
        <v>58</v>
      </c>
      <c r="K20" t="str">
        <f t="shared" ref="K20:K29" si="18">IFERROR(2*REPLACE(J20,1,SEARCH("х",J20),""), J20)</f>
        <v>58</v>
      </c>
      <c r="L20" t="str">
        <f t="shared" si="9"/>
        <v>P866670</v>
      </c>
      <c r="M20" t="str">
        <f>LOOKUP(,-SEARCH(" "&amp;Switches!$A$2:'Switches'!$A$1000&amp;" "," "&amp;TRIM(B20)&amp;" "),Switches!$A$2:'Switches'!$A$1000)</f>
        <v>Bell New</v>
      </c>
      <c r="N20" t="str">
        <f>IFERROR(LOOKUP(,-SEARCH(" "&amp;Switches!$B$2:'Switches'!$B$1000&amp;" "," "&amp;C20&amp;" "),Switches!$B$2:'Switches'!$B$1000), "")</f>
        <v>Г-образный</v>
      </c>
      <c r="O20" t="str">
        <f>LOOKUP(,-SEARCH(" "&amp;Switches!$C$2:'Switches'!$C$1000&amp;" "," "&amp;TRIM(B20)&amp;" "),Switches!$C$2:'Switches'!$C$1000)</f>
        <v>Street</v>
      </c>
      <c r="P20" t="str">
        <f t="shared" si="10"/>
        <v>Street.ies</v>
      </c>
      <c r="Q20" t="s">
        <v>118</v>
      </c>
      <c r="R20">
        <v>24</v>
      </c>
      <c r="S20" s="6" t="str">
        <f t="shared" si="11"/>
        <v>58</v>
      </c>
      <c r="T20">
        <f t="shared" si="12"/>
        <v>217</v>
      </c>
      <c r="U20">
        <f t="shared" si="13"/>
        <v>5208</v>
      </c>
      <c r="V20" t="str">
        <f>IF(ISTEXT(LOOKUP(,-SEARCH(" "&amp;Switches!$K$2:'Switches'!$K$60&amp;" "," "&amp;D20&amp;" "),Switches!$K$2:'Switches'!$K$60)), LOOKUP(,-SEARCH(" "&amp;Switches!$K$2:'Switches'!$K$60&amp;" "," "&amp;D20&amp;" "),Switches!$K$2:'Switches'!$K$60),"")</f>
        <v/>
      </c>
      <c r="W20" t="str">
        <f>IFERROR(LOOKUP(,-SEARCH(" "&amp;Switches!$L$2:'Switches'!$L$1000&amp;" "," "&amp;F20&amp;" "),Switches!$L$2:'Switches'!$L$1000),"")</f>
        <v>H=3000</v>
      </c>
      <c r="X20" t="str">
        <f>IFERROR(LOOKUP(,-SEARCH(" "&amp;Switches!$M$2:'Switches'!$M$1000&amp;" "," "&amp;M20&amp;" "),Switches!$M$2:'Switches'!$M$1000),"")</f>
        <v/>
      </c>
      <c r="Y20" t="str">
        <f>IFERROR(LOOKUP(,-SEARCH(" "&amp;Switches!$N$2:'Switches'!$N$1000&amp;" "," "&amp;D20&amp;" "),Switches!$N$2:'Switches'!$N$1000),"")</f>
        <v/>
      </c>
      <c r="Z20">
        <v>0.05</v>
      </c>
      <c r="AA20">
        <v>0.05</v>
      </c>
      <c r="AB20">
        <v>0.05</v>
      </c>
      <c r="AC20">
        <v>2</v>
      </c>
      <c r="AD20">
        <v>2</v>
      </c>
      <c r="AE20">
        <v>0</v>
      </c>
    </row>
    <row r="21" spans="1:31" x14ac:dyDescent="0.25">
      <c r="A21" s="1" t="s">
        <v>73</v>
      </c>
      <c r="B21" s="1" t="s">
        <v>74</v>
      </c>
      <c r="C21" t="str">
        <f t="shared" si="14"/>
        <v>Г-образный 58Вт Road H=3000</v>
      </c>
      <c r="D21" t="str">
        <f t="shared" ref="D21:D29" si="19">TRIM(REPLACE(C21,SEARCH(N21,C21),LEN(N21),""))</f>
        <v>58Вт Road H=3000</v>
      </c>
      <c r="E21" t="str">
        <f t="shared" ref="E21:E29" si="20">TRIM(REPLACE(D21,SEARCH(O21,D21),LEN(O21),""))</f>
        <v>58Вт H=3000</v>
      </c>
      <c r="F21" t="str">
        <f t="shared" si="15"/>
        <v>58Вт H=3000</v>
      </c>
      <c r="G21" t="str">
        <f t="shared" si="16"/>
        <v>58Вт H=3000</v>
      </c>
      <c r="H21" t="str">
        <f t="shared" si="17"/>
        <v>58Вт</v>
      </c>
      <c r="I21" t="str">
        <f t="shared" si="6"/>
        <v>58Вт</v>
      </c>
      <c r="J21" t="str">
        <f t="shared" ref="J21:J29" si="21">IFERROR(REPLACE(I21,SEARCH("Вт",I21),2,""), I21)</f>
        <v>58</v>
      </c>
      <c r="K21" t="str">
        <f t="shared" si="18"/>
        <v>58</v>
      </c>
      <c r="L21" t="str">
        <f t="shared" ref="L21:L29" si="22">LEFT(A21,7)</f>
        <v>P866671</v>
      </c>
      <c r="M21" t="str">
        <f>LOOKUP(,-SEARCH(" "&amp;Switches!$A$2:'Switches'!$A$1000&amp;" "," "&amp;TRIM(B21)&amp;" "),Switches!$A$2:'Switches'!$A$1000)</f>
        <v>Bell New</v>
      </c>
      <c r="N21" t="str">
        <f>IFERROR(LOOKUP(,-SEARCH(" "&amp;Switches!$B$2:'Switches'!$B$1000&amp;" "," "&amp;C21&amp;" "),Switches!$B$2:'Switches'!$B$1000), "")</f>
        <v>Г-образный</v>
      </c>
      <c r="O21" t="str">
        <f>LOOKUP(,-SEARCH(" "&amp;Switches!$C$2:'Switches'!$C$1000&amp;" "," "&amp;TRIM(B21)&amp;" "),Switches!$C$2:'Switches'!$C$1000)</f>
        <v>Road</v>
      </c>
      <c r="P21" t="str">
        <f t="shared" si="10"/>
        <v>Road.ies</v>
      </c>
      <c r="Q21" t="s">
        <v>118</v>
      </c>
      <c r="R21">
        <v>24</v>
      </c>
      <c r="S21" s="6" t="str">
        <f t="shared" ref="S21:S29" si="23">K21</f>
        <v>58</v>
      </c>
      <c r="T21">
        <f t="shared" si="12"/>
        <v>217</v>
      </c>
      <c r="U21">
        <f t="shared" si="13"/>
        <v>5208</v>
      </c>
      <c r="V21" t="str">
        <f>IF(ISTEXT(LOOKUP(,-SEARCH(" "&amp;Switches!$K$2:'Switches'!$K$60&amp;" "," "&amp;D21&amp;" "),Switches!$K$2:'Switches'!$K$60)), LOOKUP(,-SEARCH(" "&amp;Switches!$K$2:'Switches'!$K$60&amp;" "," "&amp;D21&amp;" "),Switches!$K$2:'Switches'!$K$60),"")</f>
        <v/>
      </c>
      <c r="W21" t="str">
        <f>IFERROR(LOOKUP(,-SEARCH(" "&amp;Switches!$L$2:'Switches'!$L$1000&amp;" "," "&amp;F21&amp;" "),Switches!$L$2:'Switches'!$L$1000),"")</f>
        <v>H=3000</v>
      </c>
      <c r="X21" t="str">
        <f>IFERROR(LOOKUP(,-SEARCH(" "&amp;Switches!$M$2:'Switches'!$M$1000&amp;" "," "&amp;M21&amp;" "),Switches!$M$2:'Switches'!$M$1000),"")</f>
        <v/>
      </c>
      <c r="Y21" t="str">
        <f>IFERROR(LOOKUP(,-SEARCH(" "&amp;Switches!$N$2:'Switches'!$N$1000&amp;" "," "&amp;D21&amp;" "),Switches!$N$2:'Switches'!$N$1000),"")</f>
        <v/>
      </c>
      <c r="Z21">
        <v>0.05</v>
      </c>
      <c r="AA21">
        <v>0.05</v>
      </c>
      <c r="AB21">
        <v>0.05</v>
      </c>
      <c r="AC21">
        <v>2</v>
      </c>
      <c r="AD21">
        <v>2</v>
      </c>
      <c r="AE21">
        <v>0</v>
      </c>
    </row>
    <row r="22" spans="1:31" x14ac:dyDescent="0.25">
      <c r="A22" s="1" t="s">
        <v>75</v>
      </c>
      <c r="B22" s="1" t="s">
        <v>76</v>
      </c>
      <c r="C22" t="str">
        <f t="shared" si="14"/>
        <v>Г-образный 58Вт Yard H=3000</v>
      </c>
      <c r="D22" t="str">
        <f t="shared" si="19"/>
        <v>58Вт Yard H=3000</v>
      </c>
      <c r="E22" t="str">
        <f t="shared" si="20"/>
        <v>58Вт H=3000</v>
      </c>
      <c r="F22" t="str">
        <f t="shared" si="15"/>
        <v>58Вт H=3000</v>
      </c>
      <c r="G22" t="str">
        <f t="shared" si="16"/>
        <v>58Вт H=3000</v>
      </c>
      <c r="H22" t="str">
        <f t="shared" si="17"/>
        <v>58Вт</v>
      </c>
      <c r="I22" t="str">
        <f t="shared" si="6"/>
        <v>58Вт</v>
      </c>
      <c r="J22" t="str">
        <f t="shared" si="21"/>
        <v>58</v>
      </c>
      <c r="K22" t="str">
        <f t="shared" si="18"/>
        <v>58</v>
      </c>
      <c r="L22" t="str">
        <f t="shared" si="22"/>
        <v>P866672</v>
      </c>
      <c r="M22" t="str">
        <f>LOOKUP(,-SEARCH(" "&amp;Switches!$A$2:'Switches'!$A$1000&amp;" "," "&amp;TRIM(B22)&amp;" "),Switches!$A$2:'Switches'!$A$1000)</f>
        <v>Bell New</v>
      </c>
      <c r="N22" t="str">
        <f>IFERROR(LOOKUP(,-SEARCH(" "&amp;Switches!$B$2:'Switches'!$B$1000&amp;" "," "&amp;C22&amp;" "),Switches!$B$2:'Switches'!$B$1000), "")</f>
        <v>Г-образный</v>
      </c>
      <c r="O22" t="str">
        <f>LOOKUP(,-SEARCH(" "&amp;Switches!$C$2:'Switches'!$C$1000&amp;" "," "&amp;TRIM(B22)&amp;" "),Switches!$C$2:'Switches'!$C$1000)</f>
        <v>Yard</v>
      </c>
      <c r="P22" t="str">
        <f t="shared" si="10"/>
        <v>Yard.ies</v>
      </c>
      <c r="Q22" t="s">
        <v>118</v>
      </c>
      <c r="R22">
        <v>24</v>
      </c>
      <c r="S22" s="6" t="str">
        <f t="shared" si="23"/>
        <v>58</v>
      </c>
      <c r="T22">
        <f t="shared" si="12"/>
        <v>217</v>
      </c>
      <c r="U22">
        <f t="shared" si="13"/>
        <v>5208</v>
      </c>
      <c r="V22" t="str">
        <f>IF(ISTEXT(LOOKUP(,-SEARCH(" "&amp;Switches!$K$2:'Switches'!$K$60&amp;" "," "&amp;D22&amp;" "),Switches!$K$2:'Switches'!$K$60)), LOOKUP(,-SEARCH(" "&amp;Switches!$K$2:'Switches'!$K$60&amp;" "," "&amp;D22&amp;" "),Switches!$K$2:'Switches'!$K$60),"")</f>
        <v/>
      </c>
      <c r="W22" t="str">
        <f>IFERROR(LOOKUP(,-SEARCH(" "&amp;Switches!$L$2:'Switches'!$L$1000&amp;" "," "&amp;F22&amp;" "),Switches!$L$2:'Switches'!$L$1000),"")</f>
        <v>H=3000</v>
      </c>
      <c r="X22" t="str">
        <f>IFERROR(LOOKUP(,-SEARCH(" "&amp;Switches!$M$2:'Switches'!$M$1000&amp;" "," "&amp;M22&amp;" "),Switches!$M$2:'Switches'!$M$1000),"")</f>
        <v/>
      </c>
      <c r="Y22" t="str">
        <f>IFERROR(LOOKUP(,-SEARCH(" "&amp;Switches!$N$2:'Switches'!$N$1000&amp;" "," "&amp;D22&amp;" "),Switches!$N$2:'Switches'!$N$1000),"")</f>
        <v/>
      </c>
      <c r="Z22">
        <v>0.05</v>
      </c>
      <c r="AA22">
        <v>0.05</v>
      </c>
      <c r="AB22">
        <v>0.05</v>
      </c>
      <c r="AC22">
        <v>2</v>
      </c>
      <c r="AD22">
        <v>2</v>
      </c>
      <c r="AE22">
        <v>0</v>
      </c>
    </row>
    <row r="23" spans="1:31" x14ac:dyDescent="0.25">
      <c r="A23" s="1" t="s">
        <v>77</v>
      </c>
      <c r="B23" s="1" t="s">
        <v>78</v>
      </c>
      <c r="C23" t="str">
        <f t="shared" si="14"/>
        <v>Г-образный 58Вт Street H=4500</v>
      </c>
      <c r="D23" t="str">
        <f t="shared" si="19"/>
        <v>58Вт Street H=4500</v>
      </c>
      <c r="E23" t="str">
        <f t="shared" si="20"/>
        <v>58Вт H=4500</v>
      </c>
      <c r="F23" t="str">
        <f t="shared" si="15"/>
        <v>58Вт H=4500</v>
      </c>
      <c r="G23" t="str">
        <f t="shared" si="16"/>
        <v>58Вт H=4500</v>
      </c>
      <c r="H23" t="str">
        <f t="shared" si="17"/>
        <v>58Вт</v>
      </c>
      <c r="I23" t="str">
        <f t="shared" si="6"/>
        <v>58Вт</v>
      </c>
      <c r="J23" t="str">
        <f t="shared" si="21"/>
        <v>58</v>
      </c>
      <c r="K23" t="str">
        <f t="shared" si="18"/>
        <v>58</v>
      </c>
      <c r="L23" t="str">
        <f t="shared" si="22"/>
        <v>P866673</v>
      </c>
      <c r="M23" t="str">
        <f>LOOKUP(,-SEARCH(" "&amp;Switches!$A$2:'Switches'!$A$1000&amp;" "," "&amp;TRIM(B23)&amp;" "),Switches!$A$2:'Switches'!$A$1000)</f>
        <v>Bell New</v>
      </c>
      <c r="N23" t="str">
        <f>IFERROR(LOOKUP(,-SEARCH(" "&amp;Switches!$B$2:'Switches'!$B$1000&amp;" "," "&amp;C23&amp;" "),Switches!$B$2:'Switches'!$B$1000), "")</f>
        <v>Г-образный</v>
      </c>
      <c r="O23" t="str">
        <f>LOOKUP(,-SEARCH(" "&amp;Switches!$C$2:'Switches'!$C$1000&amp;" "," "&amp;TRIM(B23)&amp;" "),Switches!$C$2:'Switches'!$C$1000)</f>
        <v>Street</v>
      </c>
      <c r="P23" t="str">
        <f t="shared" ref="P23:P29" si="24">IF(ISNUMBER(SEARCH("RGBW",B23)), "RGBW-"&amp;O23&amp;"-"&amp;Q23&amp;".ies", O23&amp;".ies")</f>
        <v>Street.ies</v>
      </c>
      <c r="Q23" t="s">
        <v>118</v>
      </c>
      <c r="R23">
        <v>24</v>
      </c>
      <c r="S23" s="6" t="str">
        <f t="shared" si="23"/>
        <v>58</v>
      </c>
      <c r="T23">
        <f t="shared" si="12"/>
        <v>217</v>
      </c>
      <c r="U23">
        <f t="shared" si="13"/>
        <v>5208</v>
      </c>
      <c r="V23" t="str">
        <f>IF(ISTEXT(LOOKUP(,-SEARCH(" "&amp;Switches!$K$2:'Switches'!$K$60&amp;" "," "&amp;D23&amp;" "),Switches!$K$2:'Switches'!$K$60)), LOOKUP(,-SEARCH(" "&amp;Switches!$K$2:'Switches'!$K$60&amp;" "," "&amp;D23&amp;" "),Switches!$K$2:'Switches'!$K$60),"")</f>
        <v/>
      </c>
      <c r="W23" t="str">
        <f>IFERROR(LOOKUP(,-SEARCH(" "&amp;Switches!$L$2:'Switches'!$L$1000&amp;" "," "&amp;F23&amp;" "),Switches!$L$2:'Switches'!$L$1000),"")</f>
        <v>H=4500</v>
      </c>
      <c r="X23" t="str">
        <f>IFERROR(LOOKUP(,-SEARCH(" "&amp;Switches!$M$2:'Switches'!$M$1000&amp;" "," "&amp;M23&amp;" "),Switches!$M$2:'Switches'!$M$1000),"")</f>
        <v/>
      </c>
      <c r="Y23" t="str">
        <f>IFERROR(LOOKUP(,-SEARCH(" "&amp;Switches!$N$2:'Switches'!$N$1000&amp;" "," "&amp;D23&amp;" "),Switches!$N$2:'Switches'!$N$1000),"")</f>
        <v/>
      </c>
      <c r="Z23">
        <v>0.05</v>
      </c>
      <c r="AA23">
        <v>0.05</v>
      </c>
      <c r="AB23">
        <v>0.05</v>
      </c>
      <c r="AC23">
        <v>2</v>
      </c>
      <c r="AD23">
        <v>2</v>
      </c>
      <c r="AE23">
        <v>0</v>
      </c>
    </row>
    <row r="24" spans="1:31" x14ac:dyDescent="0.25">
      <c r="A24" s="1" t="s">
        <v>79</v>
      </c>
      <c r="B24" s="1" t="s">
        <v>80</v>
      </c>
      <c r="C24" t="str">
        <f t="shared" si="14"/>
        <v>Г-образный 58Вт Road H=4500</v>
      </c>
      <c r="D24" t="str">
        <f t="shared" si="19"/>
        <v>58Вт Road H=4500</v>
      </c>
      <c r="E24" t="str">
        <f t="shared" si="20"/>
        <v>58Вт H=4500</v>
      </c>
      <c r="F24" t="str">
        <f t="shared" si="15"/>
        <v>58Вт H=4500</v>
      </c>
      <c r="G24" t="str">
        <f t="shared" si="16"/>
        <v>58Вт H=4500</v>
      </c>
      <c r="H24" t="str">
        <f t="shared" si="17"/>
        <v>58Вт</v>
      </c>
      <c r="I24" t="str">
        <f t="shared" si="6"/>
        <v>58Вт</v>
      </c>
      <c r="J24" t="str">
        <f t="shared" si="21"/>
        <v>58</v>
      </c>
      <c r="K24" t="str">
        <f t="shared" si="18"/>
        <v>58</v>
      </c>
      <c r="L24" t="str">
        <f t="shared" si="22"/>
        <v>P866674</v>
      </c>
      <c r="M24" t="str">
        <f>LOOKUP(,-SEARCH(" "&amp;Switches!$A$2:'Switches'!$A$1000&amp;" "," "&amp;TRIM(B24)&amp;" "),Switches!$A$2:'Switches'!$A$1000)</f>
        <v>Bell New</v>
      </c>
      <c r="N24" t="str">
        <f>IFERROR(LOOKUP(,-SEARCH(" "&amp;Switches!$B$2:'Switches'!$B$1000&amp;" "," "&amp;C24&amp;" "),Switches!$B$2:'Switches'!$B$1000), "")</f>
        <v>Г-образный</v>
      </c>
      <c r="O24" t="str">
        <f>LOOKUP(,-SEARCH(" "&amp;Switches!$C$2:'Switches'!$C$1000&amp;" "," "&amp;TRIM(B24)&amp;" "),Switches!$C$2:'Switches'!$C$1000)</f>
        <v>Road</v>
      </c>
      <c r="P24" t="str">
        <f t="shared" si="24"/>
        <v>Road.ies</v>
      </c>
      <c r="Q24" t="s">
        <v>118</v>
      </c>
      <c r="R24">
        <v>24</v>
      </c>
      <c r="S24" s="6" t="str">
        <f t="shared" si="23"/>
        <v>58</v>
      </c>
      <c r="T24">
        <f t="shared" si="12"/>
        <v>217</v>
      </c>
      <c r="U24">
        <f t="shared" si="13"/>
        <v>5208</v>
      </c>
      <c r="V24" t="str">
        <f>IF(ISTEXT(LOOKUP(,-SEARCH(" "&amp;Switches!$K$2:'Switches'!$K$60&amp;" "," "&amp;D24&amp;" "),Switches!$K$2:'Switches'!$K$60)), LOOKUP(,-SEARCH(" "&amp;Switches!$K$2:'Switches'!$K$60&amp;" "," "&amp;D24&amp;" "),Switches!$K$2:'Switches'!$K$60),"")</f>
        <v/>
      </c>
      <c r="W24" t="str">
        <f>IFERROR(LOOKUP(,-SEARCH(" "&amp;Switches!$L$2:'Switches'!$L$1000&amp;" "," "&amp;F24&amp;" "),Switches!$L$2:'Switches'!$L$1000),"")</f>
        <v>H=4500</v>
      </c>
      <c r="X24" t="str">
        <f>IFERROR(LOOKUP(,-SEARCH(" "&amp;Switches!$M$2:'Switches'!$M$1000&amp;" "," "&amp;M24&amp;" "),Switches!$M$2:'Switches'!$M$1000),"")</f>
        <v/>
      </c>
      <c r="Y24" t="str">
        <f>IFERROR(LOOKUP(,-SEARCH(" "&amp;Switches!$N$2:'Switches'!$N$1000&amp;" "," "&amp;D24&amp;" "),Switches!$N$2:'Switches'!$N$1000),"")</f>
        <v/>
      </c>
      <c r="Z24">
        <v>0.05</v>
      </c>
      <c r="AA24">
        <v>0.05</v>
      </c>
      <c r="AB24">
        <v>0.05</v>
      </c>
      <c r="AC24">
        <v>2</v>
      </c>
      <c r="AD24">
        <v>2</v>
      </c>
      <c r="AE24">
        <v>0</v>
      </c>
    </row>
    <row r="25" spans="1:31" x14ac:dyDescent="0.25">
      <c r="A25" s="1" t="s">
        <v>81</v>
      </c>
      <c r="B25" s="1" t="s">
        <v>82</v>
      </c>
      <c r="C25" t="str">
        <f t="shared" si="14"/>
        <v>Г-образный 58Вт Yard H=4500</v>
      </c>
      <c r="D25" t="str">
        <f t="shared" si="19"/>
        <v>58Вт Yard H=4500</v>
      </c>
      <c r="E25" t="str">
        <f t="shared" si="20"/>
        <v>58Вт H=4500</v>
      </c>
      <c r="F25" t="str">
        <f t="shared" si="15"/>
        <v>58Вт H=4500</v>
      </c>
      <c r="G25" t="str">
        <f t="shared" si="16"/>
        <v>58Вт H=4500</v>
      </c>
      <c r="H25" t="str">
        <f t="shared" si="17"/>
        <v>58Вт</v>
      </c>
      <c r="I25" t="str">
        <f t="shared" si="6"/>
        <v>58Вт</v>
      </c>
      <c r="J25" t="str">
        <f t="shared" si="21"/>
        <v>58</v>
      </c>
      <c r="K25" t="str">
        <f t="shared" si="18"/>
        <v>58</v>
      </c>
      <c r="L25" t="str">
        <f t="shared" si="22"/>
        <v>P866675</v>
      </c>
      <c r="M25" t="str">
        <f>LOOKUP(,-SEARCH(" "&amp;Switches!$A$2:'Switches'!$A$1000&amp;" "," "&amp;TRIM(B25)&amp;" "),Switches!$A$2:'Switches'!$A$1000)</f>
        <v>Bell New</v>
      </c>
      <c r="N25" t="str">
        <f>IFERROR(LOOKUP(,-SEARCH(" "&amp;Switches!$B$2:'Switches'!$B$1000&amp;" "," "&amp;C25&amp;" "),Switches!$B$2:'Switches'!$B$1000), "")</f>
        <v>Г-образный</v>
      </c>
      <c r="O25" t="str">
        <f>LOOKUP(,-SEARCH(" "&amp;Switches!$C$2:'Switches'!$C$1000&amp;" "," "&amp;TRIM(B25)&amp;" "),Switches!$C$2:'Switches'!$C$1000)</f>
        <v>Yard</v>
      </c>
      <c r="P25" t="str">
        <f t="shared" si="24"/>
        <v>Yard.ies</v>
      </c>
      <c r="Q25" t="s">
        <v>118</v>
      </c>
      <c r="R25">
        <v>24</v>
      </c>
      <c r="S25" s="6" t="str">
        <f t="shared" si="23"/>
        <v>58</v>
      </c>
      <c r="T25">
        <f t="shared" si="12"/>
        <v>217</v>
      </c>
      <c r="U25">
        <f t="shared" si="13"/>
        <v>5208</v>
      </c>
      <c r="V25" t="str">
        <f>IF(ISTEXT(LOOKUP(,-SEARCH(" "&amp;Switches!$K$2:'Switches'!$K$60&amp;" "," "&amp;D25&amp;" "),Switches!$K$2:'Switches'!$K$60)), LOOKUP(,-SEARCH(" "&amp;Switches!$K$2:'Switches'!$K$60&amp;" "," "&amp;D25&amp;" "),Switches!$K$2:'Switches'!$K$60),"")</f>
        <v/>
      </c>
      <c r="W25" t="str">
        <f>IFERROR(LOOKUP(,-SEARCH(" "&amp;Switches!$L$2:'Switches'!$L$1000&amp;" "," "&amp;F25&amp;" "),Switches!$L$2:'Switches'!$L$1000),"")</f>
        <v>H=4500</v>
      </c>
      <c r="X25" t="str">
        <f>IFERROR(LOOKUP(,-SEARCH(" "&amp;Switches!$M$2:'Switches'!$M$1000&amp;" "," "&amp;M25&amp;" "),Switches!$M$2:'Switches'!$M$1000),"")</f>
        <v/>
      </c>
      <c r="Y25" t="str">
        <f>IFERROR(LOOKUP(,-SEARCH(" "&amp;Switches!$N$2:'Switches'!$N$1000&amp;" "," "&amp;D25&amp;" "),Switches!$N$2:'Switches'!$N$1000),"")</f>
        <v/>
      </c>
      <c r="Z25">
        <v>0.05</v>
      </c>
      <c r="AA25">
        <v>0.05</v>
      </c>
      <c r="AB25">
        <v>0.05</v>
      </c>
      <c r="AC25">
        <v>2</v>
      </c>
      <c r="AD25">
        <v>2</v>
      </c>
      <c r="AE25">
        <v>0</v>
      </c>
    </row>
    <row r="26" spans="1:31" x14ac:dyDescent="0.25">
      <c r="A26" s="1" t="s">
        <v>83</v>
      </c>
      <c r="B26" s="1" t="s">
        <v>84</v>
      </c>
      <c r="C26" t="str">
        <f t="shared" si="14"/>
        <v>Г-образный 58Вт Street H=6000</v>
      </c>
      <c r="D26" t="str">
        <f t="shared" si="19"/>
        <v>58Вт Street H=6000</v>
      </c>
      <c r="E26" t="str">
        <f t="shared" si="20"/>
        <v>58Вт H=6000</v>
      </c>
      <c r="F26" t="str">
        <f t="shared" si="15"/>
        <v>58Вт H=6000</v>
      </c>
      <c r="G26" t="str">
        <f t="shared" si="16"/>
        <v>58Вт H=6000</v>
      </c>
      <c r="H26" t="str">
        <f t="shared" si="17"/>
        <v>58Вт</v>
      </c>
      <c r="I26" t="str">
        <f t="shared" si="6"/>
        <v>58Вт</v>
      </c>
      <c r="J26" t="str">
        <f t="shared" si="21"/>
        <v>58</v>
      </c>
      <c r="K26" t="str">
        <f t="shared" si="18"/>
        <v>58</v>
      </c>
      <c r="L26" t="str">
        <f t="shared" si="22"/>
        <v>P866676</v>
      </c>
      <c r="M26" t="str">
        <f>LOOKUP(,-SEARCH(" "&amp;Switches!$A$2:'Switches'!$A$1000&amp;" "," "&amp;TRIM(B26)&amp;" "),Switches!$A$2:'Switches'!$A$1000)</f>
        <v>Bell New</v>
      </c>
      <c r="N26" t="str">
        <f>IFERROR(LOOKUP(,-SEARCH(" "&amp;Switches!$B$2:'Switches'!$B$1000&amp;" "," "&amp;C26&amp;" "),Switches!$B$2:'Switches'!$B$1000), "")</f>
        <v>Г-образный</v>
      </c>
      <c r="O26" t="str">
        <f>LOOKUP(,-SEARCH(" "&amp;Switches!$C$2:'Switches'!$C$1000&amp;" "," "&amp;TRIM(B26)&amp;" "),Switches!$C$2:'Switches'!$C$1000)</f>
        <v>Street</v>
      </c>
      <c r="P26" t="str">
        <f t="shared" si="24"/>
        <v>Street.ies</v>
      </c>
      <c r="Q26" t="s">
        <v>118</v>
      </c>
      <c r="R26">
        <v>24</v>
      </c>
      <c r="S26" s="6" t="str">
        <f t="shared" si="23"/>
        <v>58</v>
      </c>
      <c r="T26">
        <f t="shared" si="12"/>
        <v>217</v>
      </c>
      <c r="U26">
        <f t="shared" si="13"/>
        <v>5208</v>
      </c>
      <c r="V26" t="str">
        <f>IF(ISTEXT(LOOKUP(,-SEARCH(" "&amp;Switches!$K$2:'Switches'!$K$60&amp;" "," "&amp;D26&amp;" "),Switches!$K$2:'Switches'!$K$60)), LOOKUP(,-SEARCH(" "&amp;Switches!$K$2:'Switches'!$K$60&amp;" "," "&amp;D26&amp;" "),Switches!$K$2:'Switches'!$K$60),"")</f>
        <v/>
      </c>
      <c r="W26" t="str">
        <f>IFERROR(LOOKUP(,-SEARCH(" "&amp;Switches!$L$2:'Switches'!$L$1000&amp;" "," "&amp;F26&amp;" "),Switches!$L$2:'Switches'!$L$1000),"")</f>
        <v>H=6000</v>
      </c>
      <c r="X26" t="str">
        <f>IFERROR(LOOKUP(,-SEARCH(" "&amp;Switches!$M$2:'Switches'!$M$1000&amp;" "," "&amp;M26&amp;" "),Switches!$M$2:'Switches'!$M$1000),"")</f>
        <v/>
      </c>
      <c r="Y26" t="str">
        <f>IFERROR(LOOKUP(,-SEARCH(" "&amp;Switches!$N$2:'Switches'!$N$1000&amp;" "," "&amp;D26&amp;" "),Switches!$N$2:'Switches'!$N$1000),"")</f>
        <v/>
      </c>
      <c r="Z26">
        <v>0.05</v>
      </c>
      <c r="AA26">
        <v>0.05</v>
      </c>
      <c r="AB26">
        <v>0.05</v>
      </c>
      <c r="AC26">
        <v>2</v>
      </c>
      <c r="AD26">
        <v>2</v>
      </c>
      <c r="AE26">
        <v>0</v>
      </c>
    </row>
    <row r="27" spans="1:31" x14ac:dyDescent="0.25">
      <c r="A27" s="1" t="s">
        <v>85</v>
      </c>
      <c r="B27" s="1" t="s">
        <v>86</v>
      </c>
      <c r="C27" t="str">
        <f t="shared" si="14"/>
        <v>Г-образный 58Вт Road H=6000</v>
      </c>
      <c r="D27" t="str">
        <f t="shared" si="19"/>
        <v>58Вт Road H=6000</v>
      </c>
      <c r="E27" t="str">
        <f t="shared" si="20"/>
        <v>58Вт H=6000</v>
      </c>
      <c r="F27" t="str">
        <f t="shared" si="15"/>
        <v>58Вт H=6000</v>
      </c>
      <c r="G27" t="str">
        <f t="shared" si="16"/>
        <v>58Вт H=6000</v>
      </c>
      <c r="H27" t="str">
        <f t="shared" si="17"/>
        <v>58Вт</v>
      </c>
      <c r="I27" t="str">
        <f t="shared" si="6"/>
        <v>58Вт</v>
      </c>
      <c r="J27" t="str">
        <f t="shared" si="21"/>
        <v>58</v>
      </c>
      <c r="K27" t="str">
        <f t="shared" si="18"/>
        <v>58</v>
      </c>
      <c r="L27" t="str">
        <f t="shared" si="22"/>
        <v>P866677</v>
      </c>
      <c r="M27" t="str">
        <f>LOOKUP(,-SEARCH(" "&amp;Switches!$A$2:'Switches'!$A$1000&amp;" "," "&amp;TRIM(B27)&amp;" "),Switches!$A$2:'Switches'!$A$1000)</f>
        <v>Bell New</v>
      </c>
      <c r="N27" t="str">
        <f>IFERROR(LOOKUP(,-SEARCH(" "&amp;Switches!$B$2:'Switches'!$B$1000&amp;" "," "&amp;C27&amp;" "),Switches!$B$2:'Switches'!$B$1000), "")</f>
        <v>Г-образный</v>
      </c>
      <c r="O27" t="str">
        <f>LOOKUP(,-SEARCH(" "&amp;Switches!$C$2:'Switches'!$C$1000&amp;" "," "&amp;TRIM(B27)&amp;" "),Switches!$C$2:'Switches'!$C$1000)</f>
        <v>Road</v>
      </c>
      <c r="P27" t="str">
        <f t="shared" si="24"/>
        <v>Road.ies</v>
      </c>
      <c r="Q27" t="s">
        <v>118</v>
      </c>
      <c r="R27">
        <v>24</v>
      </c>
      <c r="S27" s="6" t="str">
        <f t="shared" si="23"/>
        <v>58</v>
      </c>
      <c r="T27">
        <f t="shared" si="12"/>
        <v>217</v>
      </c>
      <c r="U27">
        <f t="shared" si="13"/>
        <v>5208</v>
      </c>
      <c r="V27" t="str">
        <f>IF(ISTEXT(LOOKUP(,-SEARCH(" "&amp;Switches!$K$2:'Switches'!$K$60&amp;" "," "&amp;D27&amp;" "),Switches!$K$2:'Switches'!$K$60)), LOOKUP(,-SEARCH(" "&amp;Switches!$K$2:'Switches'!$K$60&amp;" "," "&amp;D27&amp;" "),Switches!$K$2:'Switches'!$K$60),"")</f>
        <v/>
      </c>
      <c r="W27" t="str">
        <f>IFERROR(LOOKUP(,-SEARCH(" "&amp;Switches!$L$2:'Switches'!$L$1000&amp;" "," "&amp;F27&amp;" "),Switches!$L$2:'Switches'!$L$1000),"")</f>
        <v>H=6000</v>
      </c>
      <c r="X27" t="str">
        <f>IFERROR(LOOKUP(,-SEARCH(" "&amp;Switches!$M$2:'Switches'!$M$1000&amp;" "," "&amp;M27&amp;" "),Switches!$M$2:'Switches'!$M$1000),"")</f>
        <v/>
      </c>
      <c r="Y27" t="str">
        <f>IFERROR(LOOKUP(,-SEARCH(" "&amp;Switches!$N$2:'Switches'!$N$1000&amp;" "," "&amp;D27&amp;" "),Switches!$N$2:'Switches'!$N$1000),"")</f>
        <v/>
      </c>
      <c r="Z27">
        <v>0.05</v>
      </c>
      <c r="AA27">
        <v>0.05</v>
      </c>
      <c r="AB27">
        <v>0.05</v>
      </c>
      <c r="AC27">
        <v>2</v>
      </c>
      <c r="AD27">
        <v>2</v>
      </c>
      <c r="AE27">
        <v>0</v>
      </c>
    </row>
    <row r="28" spans="1:31" x14ac:dyDescent="0.25">
      <c r="A28" s="1" t="s">
        <v>87</v>
      </c>
      <c r="B28" s="1" t="s">
        <v>88</v>
      </c>
      <c r="C28" t="str">
        <f t="shared" si="14"/>
        <v>Г-образный 58Вт Yard H=6000</v>
      </c>
      <c r="D28" t="str">
        <f t="shared" si="19"/>
        <v>58Вт Yard H=6000</v>
      </c>
      <c r="E28" t="str">
        <f t="shared" si="20"/>
        <v>58Вт H=6000</v>
      </c>
      <c r="F28" t="str">
        <f t="shared" si="15"/>
        <v>58Вт H=6000</v>
      </c>
      <c r="G28" t="str">
        <f t="shared" si="16"/>
        <v>58Вт H=6000</v>
      </c>
      <c r="H28" t="str">
        <f t="shared" si="17"/>
        <v>58Вт</v>
      </c>
      <c r="I28" t="str">
        <f t="shared" si="6"/>
        <v>58Вт</v>
      </c>
      <c r="J28" t="str">
        <f t="shared" si="21"/>
        <v>58</v>
      </c>
      <c r="K28" t="str">
        <f t="shared" si="18"/>
        <v>58</v>
      </c>
      <c r="L28" t="str">
        <f t="shared" si="22"/>
        <v>P866678</v>
      </c>
      <c r="M28" t="str">
        <f>LOOKUP(,-SEARCH(" "&amp;Switches!$A$2:'Switches'!$A$1000&amp;" "," "&amp;TRIM(B28)&amp;" "),Switches!$A$2:'Switches'!$A$1000)</f>
        <v>Bell New</v>
      </c>
      <c r="N28" t="str">
        <f>IFERROR(LOOKUP(,-SEARCH(" "&amp;Switches!$B$2:'Switches'!$B$1000&amp;" "," "&amp;C28&amp;" "),Switches!$B$2:'Switches'!$B$1000), "")</f>
        <v>Г-образный</v>
      </c>
      <c r="O28" t="str">
        <f>LOOKUP(,-SEARCH(" "&amp;Switches!$C$2:'Switches'!$C$1000&amp;" "," "&amp;TRIM(B28)&amp;" "),Switches!$C$2:'Switches'!$C$1000)</f>
        <v>Yard</v>
      </c>
      <c r="P28" t="str">
        <f t="shared" si="24"/>
        <v>Yard.ies</v>
      </c>
      <c r="Q28" t="s">
        <v>118</v>
      </c>
      <c r="R28">
        <v>24</v>
      </c>
      <c r="S28" s="6" t="str">
        <f t="shared" si="23"/>
        <v>58</v>
      </c>
      <c r="T28">
        <f t="shared" si="12"/>
        <v>217</v>
      </c>
      <c r="U28">
        <f t="shared" si="13"/>
        <v>5208</v>
      </c>
      <c r="V28" t="str">
        <f>IF(ISTEXT(LOOKUP(,-SEARCH(" "&amp;Switches!$K$2:'Switches'!$K$60&amp;" "," "&amp;D28&amp;" "),Switches!$K$2:'Switches'!$K$60)), LOOKUP(,-SEARCH(" "&amp;Switches!$K$2:'Switches'!$K$60&amp;" "," "&amp;D28&amp;" "),Switches!$K$2:'Switches'!$K$60),"")</f>
        <v/>
      </c>
      <c r="W28" t="str">
        <f>IFERROR(LOOKUP(,-SEARCH(" "&amp;Switches!$L$2:'Switches'!$L$1000&amp;" "," "&amp;F28&amp;" "),Switches!$L$2:'Switches'!$L$1000),"")</f>
        <v>H=6000</v>
      </c>
      <c r="X28" t="str">
        <f>IFERROR(LOOKUP(,-SEARCH(" "&amp;Switches!$M$2:'Switches'!$M$1000&amp;" "," "&amp;M28&amp;" "),Switches!$M$2:'Switches'!$M$1000),"")</f>
        <v/>
      </c>
      <c r="Y28" t="str">
        <f>IFERROR(LOOKUP(,-SEARCH(" "&amp;Switches!$N$2:'Switches'!$N$1000&amp;" "," "&amp;D28&amp;" "),Switches!$N$2:'Switches'!$N$1000),"")</f>
        <v/>
      </c>
      <c r="Z28">
        <v>0.05</v>
      </c>
      <c r="AA28">
        <v>0.05</v>
      </c>
      <c r="AB28">
        <v>0.05</v>
      </c>
      <c r="AC28">
        <v>2</v>
      </c>
      <c r="AD28">
        <v>2</v>
      </c>
      <c r="AE28">
        <v>0</v>
      </c>
    </row>
    <row r="29" spans="1:31" x14ac:dyDescent="0.25">
      <c r="A29" s="1" t="s">
        <v>89</v>
      </c>
      <c r="B29" s="1" t="s">
        <v>90</v>
      </c>
      <c r="C29" t="str">
        <f t="shared" si="14"/>
        <v>Г-образный 29Вт Road H=6000</v>
      </c>
      <c r="D29" t="str">
        <f t="shared" si="19"/>
        <v>29Вт Road H=6000</v>
      </c>
      <c r="E29" t="str">
        <f t="shared" si="20"/>
        <v>29Вт H=6000</v>
      </c>
      <c r="F29" t="str">
        <f t="shared" si="15"/>
        <v>29Вт H=6000</v>
      </c>
      <c r="G29" t="str">
        <f t="shared" si="16"/>
        <v>29Вт H=6000</v>
      </c>
      <c r="H29" t="str">
        <f t="shared" si="17"/>
        <v>29Вт</v>
      </c>
      <c r="I29" t="str">
        <f t="shared" si="6"/>
        <v>29Вт</v>
      </c>
      <c r="J29" t="str">
        <f t="shared" si="21"/>
        <v>29</v>
      </c>
      <c r="K29" t="str">
        <f t="shared" si="18"/>
        <v>29</v>
      </c>
      <c r="L29" t="str">
        <f t="shared" si="22"/>
        <v>P867989</v>
      </c>
      <c r="M29" t="str">
        <f>LOOKUP(,-SEARCH(" "&amp;Switches!$A$2:'Switches'!$A$1000&amp;" "," "&amp;TRIM(B29)&amp;" "),Switches!$A$2:'Switches'!$A$1000)</f>
        <v>Bell New</v>
      </c>
      <c r="N29" t="str">
        <f>IFERROR(LOOKUP(,-SEARCH(" "&amp;Switches!$B$2:'Switches'!$B$1000&amp;" "," "&amp;C29&amp;" "),Switches!$B$2:'Switches'!$B$1000), "")</f>
        <v>Г-образный</v>
      </c>
      <c r="O29" t="str">
        <f>LOOKUP(,-SEARCH(" "&amp;Switches!$C$2:'Switches'!$C$1000&amp;" "," "&amp;TRIM(B29)&amp;" "),Switches!$C$2:'Switches'!$C$1000)</f>
        <v>Road</v>
      </c>
      <c r="P29" t="str">
        <f t="shared" si="24"/>
        <v>Road.ies</v>
      </c>
      <c r="Q29" t="s">
        <v>118</v>
      </c>
      <c r="R29">
        <v>12</v>
      </c>
      <c r="S29" s="6" t="str">
        <f t="shared" si="23"/>
        <v>29</v>
      </c>
      <c r="T29">
        <f t="shared" si="12"/>
        <v>217</v>
      </c>
      <c r="U29">
        <f t="shared" si="13"/>
        <v>2604</v>
      </c>
      <c r="V29" t="str">
        <f>IF(ISTEXT(LOOKUP(,-SEARCH(" "&amp;Switches!$K$2:'Switches'!$K$60&amp;" "," "&amp;D29&amp;" "),Switches!$K$2:'Switches'!$K$60)), LOOKUP(,-SEARCH(" "&amp;Switches!$K$2:'Switches'!$K$60&amp;" "," "&amp;D29&amp;" "),Switches!$K$2:'Switches'!$K$60),"")</f>
        <v/>
      </c>
      <c r="W29" t="str">
        <f>IFERROR(LOOKUP(,-SEARCH(" "&amp;Switches!$L$2:'Switches'!$L$1000&amp;" "," "&amp;F29&amp;" "),Switches!$L$2:'Switches'!$L$1000),"")</f>
        <v>H=6000</v>
      </c>
      <c r="X29" t="str">
        <f>IFERROR(LOOKUP(,-SEARCH(" "&amp;Switches!$M$2:'Switches'!$M$1000&amp;" "," "&amp;M29&amp;" "),Switches!$M$2:'Switches'!$M$1000),"")</f>
        <v/>
      </c>
      <c r="Y29" t="str">
        <f>IFERROR(LOOKUP(,-SEARCH(" "&amp;Switches!$N$2:'Switches'!$N$1000&amp;" "," "&amp;D29&amp;" "),Switches!$N$2:'Switches'!$N$1000),"")</f>
        <v/>
      </c>
      <c r="Z29">
        <v>0.05</v>
      </c>
      <c r="AA29">
        <v>0.05</v>
      </c>
      <c r="AB29">
        <v>0.05</v>
      </c>
      <c r="AC29">
        <v>2</v>
      </c>
      <c r="AD29">
        <v>2</v>
      </c>
      <c r="AE2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workbookViewId="0">
      <selection activeCell="Q18" sqref="Q18"/>
    </sheetView>
  </sheetViews>
  <sheetFormatPr defaultRowHeight="15" x14ac:dyDescent="0.25"/>
  <cols>
    <col min="1" max="1" width="15.85546875" bestFit="1" customWidth="1"/>
    <col min="2" max="2" width="11.7109375" bestFit="1" customWidth="1"/>
    <col min="3" max="3" width="10.140625" bestFit="1" customWidth="1"/>
    <col min="11" max="11" width="10" bestFit="1" customWidth="1"/>
    <col min="14" max="14" width="13.7109375" bestFit="1" customWidth="1"/>
  </cols>
  <sheetData>
    <row r="1" spans="1:17" x14ac:dyDescent="0.25">
      <c r="A1" s="8" t="s">
        <v>11</v>
      </c>
      <c r="B1" s="8" t="s">
        <v>12</v>
      </c>
      <c r="C1" s="8" t="s">
        <v>17</v>
      </c>
      <c r="D1" s="8"/>
      <c r="E1" s="8"/>
      <c r="F1" s="8"/>
      <c r="G1" s="8"/>
      <c r="H1" s="8"/>
      <c r="I1" s="8"/>
      <c r="J1" s="8"/>
      <c r="K1" s="8" t="s">
        <v>23</v>
      </c>
      <c r="L1" s="8" t="s">
        <v>24</v>
      </c>
      <c r="M1" s="8" t="s">
        <v>25</v>
      </c>
      <c r="N1" s="8" t="s">
        <v>119</v>
      </c>
      <c r="O1" s="8" t="s">
        <v>120</v>
      </c>
      <c r="P1" s="8" t="s">
        <v>121</v>
      </c>
      <c r="Q1" s="8" t="s">
        <v>109</v>
      </c>
    </row>
    <row r="2" spans="1:17" x14ac:dyDescent="0.25">
      <c r="A2" t="s">
        <v>0</v>
      </c>
      <c r="B2">
        <v>310</v>
      </c>
      <c r="C2" t="s">
        <v>1</v>
      </c>
      <c r="K2" t="s">
        <v>22</v>
      </c>
      <c r="L2" t="s">
        <v>102</v>
      </c>
      <c r="M2" t="s">
        <v>113</v>
      </c>
      <c r="N2" t="s">
        <v>26</v>
      </c>
    </row>
    <row r="3" spans="1:17" x14ac:dyDescent="0.25">
      <c r="A3" t="s">
        <v>91</v>
      </c>
      <c r="B3">
        <v>610</v>
      </c>
      <c r="C3" t="s">
        <v>2</v>
      </c>
      <c r="K3" t="s">
        <v>114</v>
      </c>
      <c r="L3" t="s">
        <v>14</v>
      </c>
    </row>
    <row r="4" spans="1:17" x14ac:dyDescent="0.25">
      <c r="A4" t="s">
        <v>92</v>
      </c>
      <c r="B4">
        <v>910</v>
      </c>
      <c r="C4" t="s">
        <v>4</v>
      </c>
      <c r="K4" t="s">
        <v>34</v>
      </c>
      <c r="L4" t="s">
        <v>15</v>
      </c>
    </row>
    <row r="5" spans="1:17" x14ac:dyDescent="0.25">
      <c r="A5" t="s">
        <v>98</v>
      </c>
      <c r="B5">
        <v>1210</v>
      </c>
      <c r="C5" t="s">
        <v>13</v>
      </c>
      <c r="L5" t="s">
        <v>16</v>
      </c>
    </row>
    <row r="6" spans="1:17" x14ac:dyDescent="0.25">
      <c r="A6" t="s">
        <v>99</v>
      </c>
      <c r="B6">
        <v>1510</v>
      </c>
      <c r="C6" t="s">
        <v>3</v>
      </c>
      <c r="L6" t="s">
        <v>115</v>
      </c>
    </row>
    <row r="7" spans="1:17" x14ac:dyDescent="0.25">
      <c r="A7" t="s">
        <v>106</v>
      </c>
      <c r="B7" t="s">
        <v>93</v>
      </c>
      <c r="C7" t="s">
        <v>5</v>
      </c>
    </row>
    <row r="8" spans="1:17" x14ac:dyDescent="0.25">
      <c r="A8" t="s">
        <v>107</v>
      </c>
      <c r="B8" t="s">
        <v>94</v>
      </c>
      <c r="C8" t="s">
        <v>18</v>
      </c>
    </row>
    <row r="9" spans="1:17" x14ac:dyDescent="0.25">
      <c r="A9" t="s">
        <v>111</v>
      </c>
      <c r="C9" t="s">
        <v>19</v>
      </c>
      <c r="K9" t="s">
        <v>110</v>
      </c>
    </row>
    <row r="10" spans="1:17" x14ac:dyDescent="0.25">
      <c r="A10" t="s">
        <v>108</v>
      </c>
      <c r="B10" t="s">
        <v>105</v>
      </c>
      <c r="C10" t="s">
        <v>20</v>
      </c>
    </row>
    <row r="11" spans="1:17" x14ac:dyDescent="0.25">
      <c r="A11" t="s">
        <v>112</v>
      </c>
      <c r="B11" t="s">
        <v>113</v>
      </c>
      <c r="C11" t="s">
        <v>95</v>
      </c>
    </row>
    <row r="12" spans="1:17" x14ac:dyDescent="0.25">
      <c r="A12" t="s">
        <v>100</v>
      </c>
      <c r="B12">
        <v>408</v>
      </c>
      <c r="C12" t="s">
        <v>96</v>
      </c>
    </row>
    <row r="13" spans="1:17" x14ac:dyDescent="0.25">
      <c r="A13" t="s">
        <v>101</v>
      </c>
      <c r="B13">
        <v>708</v>
      </c>
      <c r="C13" t="s">
        <v>97</v>
      </c>
    </row>
    <row r="14" spans="1:17" x14ac:dyDescent="0.25">
      <c r="A14" t="s">
        <v>116</v>
      </c>
      <c r="B14">
        <v>1008</v>
      </c>
      <c r="C14" t="s">
        <v>100</v>
      </c>
    </row>
    <row r="15" spans="1:17" x14ac:dyDescent="0.25">
      <c r="A15" t="s">
        <v>103</v>
      </c>
      <c r="B15">
        <v>1308</v>
      </c>
    </row>
    <row r="16" spans="1:17" x14ac:dyDescent="0.25">
      <c r="A16" t="s">
        <v>104</v>
      </c>
      <c r="B16">
        <v>1608</v>
      </c>
    </row>
    <row r="17" spans="1:1" x14ac:dyDescent="0.25">
      <c r="A17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Switches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2023-07-27T15:29:23Z</dcterms:modified>
</cp:coreProperties>
</file>