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6A461DC9-678C-4B39-A90E-873F2443EBA6}" xr6:coauthVersionLast="44" xr6:coauthVersionMax="44" xr10:uidLastSave="{00000000-0000-0000-0000-000000000000}"/>
  <bookViews>
    <workbookView xWindow="-108" yWindow="-108" windowWidth="23256" windowHeight="12576" xr2:uid="{BEA59DCD-36FE-4352-8656-B09BFECC449A}"/>
  </bookViews>
  <sheets>
    <sheet name="Sheet1" sheetId="1" r:id="rId1"/>
    <sheet name="stateData" sheetId="30" state="veryHidden" r:id="rId2"/>
  </sheets>
  <definedNames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94" i="1" l="1"/>
  <c r="AF93" i="1"/>
  <c r="AB94" i="1"/>
  <c r="C94" i="1" l="1"/>
  <c r="G94" i="1" s="1"/>
  <c r="D94" i="1"/>
  <c r="I94" i="1"/>
  <c r="J94" i="1"/>
  <c r="L94" i="1"/>
  <c r="N94" i="1"/>
  <c r="R94" i="1"/>
  <c r="X94" i="1"/>
  <c r="AC94" i="1"/>
  <c r="AD94" i="1" s="1"/>
  <c r="AG94" i="1" l="1"/>
  <c r="AH94" i="1" s="1"/>
  <c r="AI94" i="1" s="1"/>
  <c r="AF83" i="1"/>
  <c r="AF84" i="1"/>
  <c r="AF85" i="1"/>
  <c r="AF86" i="1"/>
  <c r="AF87" i="1"/>
  <c r="AF88" i="1"/>
  <c r="AF89" i="1"/>
  <c r="AF90" i="1"/>
  <c r="AF91" i="1"/>
  <c r="AF92" i="1"/>
  <c r="AB93" i="1" l="1"/>
  <c r="AB83" i="1"/>
  <c r="AB84" i="1"/>
  <c r="AB85" i="1"/>
  <c r="AB86" i="1"/>
  <c r="AB87" i="1"/>
  <c r="AB88" i="1"/>
  <c r="AB89" i="1"/>
  <c r="AB90" i="1"/>
  <c r="AB91" i="1"/>
  <c r="AB92" i="1"/>
  <c r="C93" i="1" l="1"/>
  <c r="G93" i="1" s="1"/>
  <c r="D93" i="1"/>
  <c r="I93" i="1"/>
  <c r="J93" i="1"/>
  <c r="L93" i="1"/>
  <c r="N93" i="1"/>
  <c r="R93" i="1"/>
  <c r="X93" i="1"/>
  <c r="AC93" i="1"/>
  <c r="AD93" i="1"/>
  <c r="C92" i="1"/>
  <c r="AG92" i="1" s="1"/>
  <c r="AH92" i="1" s="1"/>
  <c r="D92" i="1"/>
  <c r="I92" i="1"/>
  <c r="J92" i="1"/>
  <c r="L92" i="1"/>
  <c r="N92" i="1"/>
  <c r="R92" i="1"/>
  <c r="X92" i="1"/>
  <c r="AC92" i="1"/>
  <c r="AD92" i="1" s="1"/>
  <c r="AG93" i="1" l="1"/>
  <c r="AH93" i="1" s="1"/>
  <c r="AI93" i="1" s="1"/>
  <c r="G92" i="1"/>
  <c r="AI92" i="1"/>
  <c r="C91" i="1"/>
  <c r="G91" i="1" s="1"/>
  <c r="D91" i="1"/>
  <c r="I91" i="1"/>
  <c r="J91" i="1"/>
  <c r="L91" i="1"/>
  <c r="N91" i="1"/>
  <c r="R91" i="1"/>
  <c r="X91" i="1"/>
  <c r="AC91" i="1"/>
  <c r="AD91" i="1" s="1"/>
  <c r="C90" i="1"/>
  <c r="AG90" i="1" s="1"/>
  <c r="AH90" i="1" s="1"/>
  <c r="D90" i="1"/>
  <c r="I90" i="1"/>
  <c r="J90" i="1"/>
  <c r="L90" i="1"/>
  <c r="N90" i="1"/>
  <c r="R90" i="1"/>
  <c r="X90" i="1"/>
  <c r="AC90" i="1"/>
  <c r="AD90" i="1" s="1"/>
  <c r="C89" i="1"/>
  <c r="G89" i="1" s="1"/>
  <c r="D89" i="1"/>
  <c r="I89" i="1"/>
  <c r="J89" i="1"/>
  <c r="L89" i="1"/>
  <c r="N89" i="1"/>
  <c r="R89" i="1"/>
  <c r="X89" i="1"/>
  <c r="AC89" i="1"/>
  <c r="AD89" i="1" s="1"/>
  <c r="C88" i="1"/>
  <c r="G88" i="1" s="1"/>
  <c r="D88" i="1"/>
  <c r="I88" i="1"/>
  <c r="J88" i="1"/>
  <c r="L88" i="1"/>
  <c r="N88" i="1"/>
  <c r="R88" i="1"/>
  <c r="X88" i="1"/>
  <c r="AC88" i="1"/>
  <c r="AD88" i="1" s="1"/>
  <c r="C87" i="1"/>
  <c r="G87" i="1" s="1"/>
  <c r="D87" i="1"/>
  <c r="I87" i="1"/>
  <c r="J87" i="1"/>
  <c r="L87" i="1"/>
  <c r="N87" i="1"/>
  <c r="R87" i="1"/>
  <c r="X87" i="1"/>
  <c r="AC87" i="1"/>
  <c r="AD87" i="1" s="1"/>
  <c r="C86" i="1"/>
  <c r="G86" i="1" s="1"/>
  <c r="D86" i="1"/>
  <c r="I86" i="1"/>
  <c r="J86" i="1"/>
  <c r="L86" i="1"/>
  <c r="N86" i="1"/>
  <c r="R86" i="1"/>
  <c r="X86" i="1"/>
  <c r="AC86" i="1"/>
  <c r="AD86" i="1" s="1"/>
  <c r="C85" i="1"/>
  <c r="G85" i="1" s="1"/>
  <c r="D85" i="1"/>
  <c r="I85" i="1"/>
  <c r="J85" i="1"/>
  <c r="L85" i="1"/>
  <c r="N85" i="1"/>
  <c r="R85" i="1"/>
  <c r="X85" i="1"/>
  <c r="AC85" i="1"/>
  <c r="AD85" i="1" s="1"/>
  <c r="C84" i="1"/>
  <c r="G84" i="1" s="1"/>
  <c r="D84" i="1"/>
  <c r="I84" i="1"/>
  <c r="J84" i="1"/>
  <c r="L84" i="1"/>
  <c r="N84" i="1"/>
  <c r="R84" i="1"/>
  <c r="X84" i="1"/>
  <c r="AC84" i="1"/>
  <c r="AD84" i="1" s="1"/>
  <c r="C83" i="1"/>
  <c r="G83" i="1" s="1"/>
  <c r="D83" i="1"/>
  <c r="I83" i="1"/>
  <c r="J83" i="1"/>
  <c r="L83" i="1"/>
  <c r="N83" i="1"/>
  <c r="R83" i="1"/>
  <c r="X83" i="1"/>
  <c r="AC83" i="1"/>
  <c r="AD83" i="1" s="1"/>
  <c r="AG91" i="1" l="1"/>
  <c r="AH91" i="1" s="1"/>
  <c r="AI91" i="1" s="1"/>
  <c r="G90" i="1"/>
  <c r="AI90" i="1"/>
  <c r="AG89" i="1"/>
  <c r="AH89" i="1" s="1"/>
  <c r="AI89" i="1" s="1"/>
  <c r="AG86" i="1"/>
  <c r="AH86" i="1" s="1"/>
  <c r="AI86" i="1" s="1"/>
  <c r="AG87" i="1"/>
  <c r="AH87" i="1" s="1"/>
  <c r="AI87" i="1" s="1"/>
  <c r="AG88" i="1"/>
  <c r="AH88" i="1" s="1"/>
  <c r="AI88" i="1" s="1"/>
  <c r="AG84" i="1"/>
  <c r="AH84" i="1" s="1"/>
  <c r="AI84" i="1" s="1"/>
  <c r="AG85" i="1"/>
  <c r="AH85" i="1" s="1"/>
  <c r="AI85" i="1" s="1"/>
  <c r="AG83" i="1"/>
  <c r="AH83" i="1" s="1"/>
  <c r="AI83" i="1" s="1"/>
  <c r="AF82" i="1" l="1"/>
  <c r="AC82" i="1"/>
  <c r="AD82" i="1" s="1"/>
  <c r="AB82" i="1"/>
  <c r="X82" i="1"/>
  <c r="R82" i="1"/>
  <c r="N82" i="1"/>
  <c r="L82" i="1"/>
  <c r="J82" i="1"/>
  <c r="I82" i="1"/>
  <c r="D82" i="1"/>
  <c r="C82" i="1"/>
  <c r="AF81" i="1"/>
  <c r="AC81" i="1"/>
  <c r="AD81" i="1" s="1"/>
  <c r="AB81" i="1"/>
  <c r="X81" i="1"/>
  <c r="R81" i="1"/>
  <c r="N81" i="1"/>
  <c r="L81" i="1"/>
  <c r="J81" i="1"/>
  <c r="I81" i="1"/>
  <c r="D81" i="1"/>
  <c r="C81" i="1"/>
  <c r="AF80" i="1"/>
  <c r="AC80" i="1"/>
  <c r="AD80" i="1" s="1"/>
  <c r="AB80" i="1"/>
  <c r="X80" i="1"/>
  <c r="R80" i="1"/>
  <c r="N80" i="1"/>
  <c r="L80" i="1"/>
  <c r="J80" i="1"/>
  <c r="I80" i="1"/>
  <c r="D80" i="1"/>
  <c r="C80" i="1"/>
  <c r="AF79" i="1"/>
  <c r="AC79" i="1"/>
  <c r="AD79" i="1" s="1"/>
  <c r="AB79" i="1"/>
  <c r="X79" i="1"/>
  <c r="R79" i="1"/>
  <c r="N79" i="1"/>
  <c r="L79" i="1"/>
  <c r="J79" i="1"/>
  <c r="I79" i="1"/>
  <c r="D79" i="1"/>
  <c r="C79" i="1"/>
  <c r="G79" i="1" s="1"/>
  <c r="AF78" i="1"/>
  <c r="AC78" i="1"/>
  <c r="AD78" i="1" s="1"/>
  <c r="AB78" i="1"/>
  <c r="X78" i="1"/>
  <c r="R78" i="1"/>
  <c r="N78" i="1"/>
  <c r="L78" i="1"/>
  <c r="J78" i="1"/>
  <c r="I78" i="1"/>
  <c r="D78" i="1"/>
  <c r="C78" i="1"/>
  <c r="G78" i="1" s="1"/>
  <c r="AF77" i="1"/>
  <c r="AC77" i="1"/>
  <c r="AD77" i="1" s="1"/>
  <c r="AB77" i="1"/>
  <c r="X77" i="1"/>
  <c r="R77" i="1"/>
  <c r="N77" i="1"/>
  <c r="L77" i="1"/>
  <c r="J77" i="1"/>
  <c r="I77" i="1"/>
  <c r="D77" i="1"/>
  <c r="C77" i="1"/>
  <c r="AF76" i="1"/>
  <c r="AC76" i="1"/>
  <c r="AD76" i="1" s="1"/>
  <c r="AB76" i="1"/>
  <c r="X76" i="1"/>
  <c r="R76" i="1"/>
  <c r="N76" i="1"/>
  <c r="L76" i="1"/>
  <c r="J76" i="1"/>
  <c r="I76" i="1"/>
  <c r="D76" i="1"/>
  <c r="C76" i="1"/>
  <c r="AF75" i="1"/>
  <c r="AC75" i="1"/>
  <c r="AD75" i="1" s="1"/>
  <c r="AB75" i="1"/>
  <c r="X75" i="1"/>
  <c r="R75" i="1"/>
  <c r="N75" i="1"/>
  <c r="L75" i="1"/>
  <c r="J75" i="1"/>
  <c r="I75" i="1"/>
  <c r="D75" i="1"/>
  <c r="C75" i="1"/>
  <c r="AF74" i="1"/>
  <c r="AC74" i="1"/>
  <c r="AD74" i="1" s="1"/>
  <c r="AB74" i="1"/>
  <c r="X74" i="1"/>
  <c r="R74" i="1"/>
  <c r="N74" i="1"/>
  <c r="L74" i="1"/>
  <c r="J74" i="1"/>
  <c r="I74" i="1"/>
  <c r="D74" i="1"/>
  <c r="C74" i="1"/>
  <c r="AF73" i="1"/>
  <c r="AC73" i="1"/>
  <c r="AD73" i="1" s="1"/>
  <c r="AB73" i="1"/>
  <c r="X73" i="1"/>
  <c r="R73" i="1"/>
  <c r="N73" i="1"/>
  <c r="L73" i="1"/>
  <c r="J73" i="1"/>
  <c r="I73" i="1"/>
  <c r="D73" i="1"/>
  <c r="C73" i="1"/>
  <c r="G73" i="1" s="1"/>
  <c r="AF72" i="1"/>
  <c r="AC72" i="1"/>
  <c r="AD72" i="1" s="1"/>
  <c r="AB72" i="1"/>
  <c r="X72" i="1"/>
  <c r="R72" i="1"/>
  <c r="N72" i="1"/>
  <c r="L72" i="1"/>
  <c r="J72" i="1"/>
  <c r="I72" i="1"/>
  <c r="D72" i="1"/>
  <c r="C72" i="1"/>
  <c r="G72" i="1" s="1"/>
  <c r="AF71" i="1"/>
  <c r="AC71" i="1"/>
  <c r="AD71" i="1" s="1"/>
  <c r="AB71" i="1"/>
  <c r="X71" i="1"/>
  <c r="R71" i="1"/>
  <c r="N71" i="1"/>
  <c r="L71" i="1"/>
  <c r="J71" i="1"/>
  <c r="I71" i="1"/>
  <c r="D71" i="1"/>
  <c r="C71" i="1"/>
  <c r="G71" i="1" s="1"/>
  <c r="AF70" i="1"/>
  <c r="AC70" i="1"/>
  <c r="AD70" i="1" s="1"/>
  <c r="AB70" i="1"/>
  <c r="X70" i="1"/>
  <c r="R70" i="1"/>
  <c r="N70" i="1"/>
  <c r="L70" i="1"/>
  <c r="J70" i="1"/>
  <c r="I70" i="1"/>
  <c r="D70" i="1"/>
  <c r="C70" i="1"/>
  <c r="G70" i="1" s="1"/>
  <c r="AF69" i="1"/>
  <c r="AC69" i="1"/>
  <c r="AD69" i="1" s="1"/>
  <c r="AB69" i="1"/>
  <c r="X69" i="1"/>
  <c r="R69" i="1"/>
  <c r="N69" i="1"/>
  <c r="L69" i="1"/>
  <c r="J69" i="1"/>
  <c r="I69" i="1"/>
  <c r="D69" i="1"/>
  <c r="C69" i="1"/>
  <c r="G69" i="1" s="1"/>
  <c r="AF68" i="1"/>
  <c r="AC68" i="1"/>
  <c r="AD68" i="1" s="1"/>
  <c r="AB68" i="1"/>
  <c r="X68" i="1"/>
  <c r="R68" i="1"/>
  <c r="N68" i="1"/>
  <c r="L68" i="1"/>
  <c r="J68" i="1"/>
  <c r="I68" i="1"/>
  <c r="D68" i="1"/>
  <c r="C68" i="1"/>
  <c r="G68" i="1" s="1"/>
  <c r="AF67" i="1"/>
  <c r="AC67" i="1"/>
  <c r="AD67" i="1" s="1"/>
  <c r="AB67" i="1"/>
  <c r="X67" i="1"/>
  <c r="R67" i="1"/>
  <c r="N67" i="1"/>
  <c r="L67" i="1"/>
  <c r="J67" i="1"/>
  <c r="I67" i="1"/>
  <c r="D67" i="1"/>
  <c r="C67" i="1"/>
  <c r="G67" i="1" s="1"/>
  <c r="AF66" i="1"/>
  <c r="AC66" i="1"/>
  <c r="AD66" i="1" s="1"/>
  <c r="AB66" i="1"/>
  <c r="X66" i="1"/>
  <c r="R66" i="1"/>
  <c r="N66" i="1"/>
  <c r="L66" i="1"/>
  <c r="J66" i="1"/>
  <c r="I66" i="1"/>
  <c r="D66" i="1"/>
  <c r="C66" i="1"/>
  <c r="G66" i="1" s="1"/>
  <c r="AF65" i="1"/>
  <c r="AC65" i="1"/>
  <c r="AD65" i="1" s="1"/>
  <c r="AB65" i="1"/>
  <c r="X65" i="1"/>
  <c r="R65" i="1"/>
  <c r="N65" i="1"/>
  <c r="L65" i="1"/>
  <c r="J65" i="1"/>
  <c r="I65" i="1"/>
  <c r="D65" i="1"/>
  <c r="C65" i="1"/>
  <c r="AF64" i="1"/>
  <c r="AC64" i="1"/>
  <c r="AD64" i="1" s="1"/>
  <c r="AB64" i="1"/>
  <c r="X64" i="1"/>
  <c r="R64" i="1"/>
  <c r="N64" i="1"/>
  <c r="L64" i="1"/>
  <c r="J64" i="1"/>
  <c r="I64" i="1"/>
  <c r="D64" i="1"/>
  <c r="C64" i="1"/>
  <c r="G64" i="1" s="1"/>
  <c r="AF63" i="1"/>
  <c r="AC63" i="1"/>
  <c r="AD63" i="1" s="1"/>
  <c r="X63" i="1"/>
  <c r="R63" i="1"/>
  <c r="N63" i="1"/>
  <c r="L63" i="1"/>
  <c r="J63" i="1"/>
  <c r="I63" i="1"/>
  <c r="D63" i="1"/>
  <c r="C63" i="1"/>
  <c r="G63" i="1" s="1"/>
  <c r="AF62" i="1"/>
  <c r="AC62" i="1"/>
  <c r="AD62" i="1" s="1"/>
  <c r="X62" i="1"/>
  <c r="R62" i="1"/>
  <c r="N62" i="1"/>
  <c r="L62" i="1"/>
  <c r="J62" i="1"/>
  <c r="I62" i="1"/>
  <c r="D62" i="1"/>
  <c r="C62" i="1"/>
  <c r="G62" i="1" s="1"/>
  <c r="AF61" i="1"/>
  <c r="AC61" i="1"/>
  <c r="AD61" i="1" s="1"/>
  <c r="X61" i="1"/>
  <c r="R61" i="1"/>
  <c r="N61" i="1"/>
  <c r="L61" i="1"/>
  <c r="J61" i="1"/>
  <c r="I61" i="1"/>
  <c r="D61" i="1"/>
  <c r="C61" i="1"/>
  <c r="AG61" i="1" s="1"/>
  <c r="AF60" i="1"/>
  <c r="AC60" i="1"/>
  <c r="AD60" i="1" s="1"/>
  <c r="X60" i="1"/>
  <c r="R60" i="1"/>
  <c r="N60" i="1"/>
  <c r="L60" i="1"/>
  <c r="J60" i="1"/>
  <c r="I60" i="1"/>
  <c r="D60" i="1"/>
  <c r="C60" i="1"/>
  <c r="G60" i="1" s="1"/>
  <c r="AF59" i="1"/>
  <c r="AC59" i="1"/>
  <c r="AD59" i="1" s="1"/>
  <c r="X59" i="1"/>
  <c r="R59" i="1"/>
  <c r="N59" i="1"/>
  <c r="L59" i="1"/>
  <c r="J59" i="1"/>
  <c r="I59" i="1"/>
  <c r="D59" i="1"/>
  <c r="C59" i="1"/>
  <c r="G59" i="1" s="1"/>
  <c r="AF58" i="1"/>
  <c r="AC58" i="1"/>
  <c r="AD58" i="1" s="1"/>
  <c r="X58" i="1"/>
  <c r="R58" i="1"/>
  <c r="N58" i="1"/>
  <c r="L58" i="1"/>
  <c r="J58" i="1"/>
  <c r="I58" i="1"/>
  <c r="D58" i="1"/>
  <c r="C58" i="1"/>
  <c r="AG58" i="1" s="1"/>
  <c r="AF57" i="1"/>
  <c r="AC57" i="1"/>
  <c r="AD57" i="1" s="1"/>
  <c r="X57" i="1"/>
  <c r="R57" i="1"/>
  <c r="N57" i="1"/>
  <c r="L57" i="1"/>
  <c r="J57" i="1"/>
  <c r="I57" i="1"/>
  <c r="D57" i="1"/>
  <c r="C57" i="1"/>
  <c r="G57" i="1" s="1"/>
  <c r="AF56" i="1"/>
  <c r="AC56" i="1"/>
  <c r="AD56" i="1" s="1"/>
  <c r="X56" i="1"/>
  <c r="R56" i="1"/>
  <c r="N56" i="1"/>
  <c r="L56" i="1"/>
  <c r="J56" i="1"/>
  <c r="I56" i="1"/>
  <c r="D56" i="1"/>
  <c r="C56" i="1"/>
  <c r="G56" i="1" s="1"/>
  <c r="AF55" i="1"/>
  <c r="AC55" i="1"/>
  <c r="AD55" i="1" s="1"/>
  <c r="X55" i="1"/>
  <c r="R55" i="1"/>
  <c r="N55" i="1"/>
  <c r="L55" i="1"/>
  <c r="J55" i="1"/>
  <c r="I55" i="1"/>
  <c r="D55" i="1"/>
  <c r="C55" i="1"/>
  <c r="AG55" i="1" s="1"/>
  <c r="AF54" i="1"/>
  <c r="AC54" i="1"/>
  <c r="AD54" i="1" s="1"/>
  <c r="X54" i="1"/>
  <c r="R54" i="1"/>
  <c r="N54" i="1"/>
  <c r="L54" i="1"/>
  <c r="J54" i="1"/>
  <c r="I54" i="1"/>
  <c r="D54" i="1"/>
  <c r="C54" i="1"/>
  <c r="G54" i="1" s="1"/>
  <c r="AF53" i="1"/>
  <c r="AC53" i="1"/>
  <c r="AD53" i="1" s="1"/>
  <c r="X53" i="1"/>
  <c r="R53" i="1"/>
  <c r="N53" i="1"/>
  <c r="L53" i="1"/>
  <c r="J53" i="1"/>
  <c r="I53" i="1"/>
  <c r="D53" i="1"/>
  <c r="C53" i="1"/>
  <c r="G53" i="1" s="1"/>
  <c r="AF52" i="1"/>
  <c r="AC52" i="1"/>
  <c r="AD52" i="1" s="1"/>
  <c r="X52" i="1"/>
  <c r="R52" i="1"/>
  <c r="N52" i="1"/>
  <c r="L52" i="1"/>
  <c r="J52" i="1"/>
  <c r="I52" i="1"/>
  <c r="D52" i="1"/>
  <c r="C52" i="1"/>
  <c r="AG52" i="1" s="1"/>
  <c r="AF51" i="1"/>
  <c r="AC51" i="1"/>
  <c r="AD51" i="1" s="1"/>
  <c r="X51" i="1"/>
  <c r="R51" i="1"/>
  <c r="N51" i="1"/>
  <c r="L51" i="1"/>
  <c r="J51" i="1"/>
  <c r="I51" i="1"/>
  <c r="D51" i="1"/>
  <c r="C51" i="1"/>
  <c r="G51" i="1" s="1"/>
  <c r="AF50" i="1"/>
  <c r="AC50" i="1"/>
  <c r="AD50" i="1" s="1"/>
  <c r="X50" i="1"/>
  <c r="R50" i="1"/>
  <c r="N50" i="1"/>
  <c r="L50" i="1"/>
  <c r="J50" i="1"/>
  <c r="I50" i="1"/>
  <c r="D50" i="1"/>
  <c r="C50" i="1"/>
  <c r="G50" i="1" s="1"/>
  <c r="AF49" i="1"/>
  <c r="AC49" i="1"/>
  <c r="AD49" i="1" s="1"/>
  <c r="X49" i="1"/>
  <c r="R49" i="1"/>
  <c r="N49" i="1"/>
  <c r="L49" i="1"/>
  <c r="J49" i="1"/>
  <c r="I49" i="1"/>
  <c r="D49" i="1"/>
  <c r="C49" i="1"/>
  <c r="AG49" i="1" s="1"/>
  <c r="AF48" i="1"/>
  <c r="AC48" i="1"/>
  <c r="AD48" i="1" s="1"/>
  <c r="X48" i="1"/>
  <c r="R48" i="1"/>
  <c r="N48" i="1"/>
  <c r="L48" i="1"/>
  <c r="J48" i="1"/>
  <c r="I48" i="1"/>
  <c r="D48" i="1"/>
  <c r="C48" i="1"/>
  <c r="G48" i="1" s="1"/>
  <c r="AC47" i="1"/>
  <c r="AD47" i="1" s="1"/>
  <c r="X47" i="1"/>
  <c r="R47" i="1"/>
  <c r="N47" i="1"/>
  <c r="L47" i="1"/>
  <c r="J47" i="1"/>
  <c r="I47" i="1"/>
  <c r="D47" i="1"/>
  <c r="C47" i="1"/>
  <c r="AG47" i="1" s="1"/>
  <c r="AH47" i="1" s="1"/>
  <c r="AC46" i="1"/>
  <c r="AD46" i="1" s="1"/>
  <c r="X46" i="1"/>
  <c r="R46" i="1"/>
  <c r="N46" i="1"/>
  <c r="L46" i="1"/>
  <c r="J46" i="1"/>
  <c r="I46" i="1"/>
  <c r="D46" i="1"/>
  <c r="C46" i="1"/>
  <c r="G46" i="1" s="1"/>
  <c r="AC45" i="1"/>
  <c r="AD45" i="1" s="1"/>
  <c r="X45" i="1"/>
  <c r="R45" i="1"/>
  <c r="N45" i="1"/>
  <c r="L45" i="1"/>
  <c r="J45" i="1"/>
  <c r="I45" i="1"/>
  <c r="D45" i="1"/>
  <c r="C45" i="1"/>
  <c r="AG45" i="1" s="1"/>
  <c r="AH45" i="1" s="1"/>
  <c r="AC44" i="1"/>
  <c r="AD44" i="1" s="1"/>
  <c r="X44" i="1"/>
  <c r="R44" i="1"/>
  <c r="N44" i="1"/>
  <c r="L44" i="1"/>
  <c r="J44" i="1"/>
  <c r="I44" i="1"/>
  <c r="D44" i="1"/>
  <c r="C44" i="1"/>
  <c r="G44" i="1" s="1"/>
  <c r="AC43" i="1"/>
  <c r="AD43" i="1" s="1"/>
  <c r="X43" i="1"/>
  <c r="R43" i="1"/>
  <c r="N43" i="1"/>
  <c r="L43" i="1"/>
  <c r="J43" i="1"/>
  <c r="I43" i="1"/>
  <c r="D43" i="1"/>
  <c r="C43" i="1"/>
  <c r="AG43" i="1" s="1"/>
  <c r="AH43" i="1" s="1"/>
  <c r="AC42" i="1"/>
  <c r="AD42" i="1" s="1"/>
  <c r="X42" i="1"/>
  <c r="R42" i="1"/>
  <c r="N42" i="1"/>
  <c r="L42" i="1"/>
  <c r="J42" i="1"/>
  <c r="I42" i="1"/>
  <c r="D42" i="1"/>
  <c r="C42" i="1"/>
  <c r="G42" i="1" s="1"/>
  <c r="AC41" i="1"/>
  <c r="AD41" i="1" s="1"/>
  <c r="X41" i="1"/>
  <c r="R41" i="1"/>
  <c r="N41" i="1"/>
  <c r="L41" i="1"/>
  <c r="J41" i="1"/>
  <c r="I41" i="1"/>
  <c r="D41" i="1"/>
  <c r="C41" i="1"/>
  <c r="AG41" i="1" s="1"/>
  <c r="AH41" i="1" s="1"/>
  <c r="AC40" i="1"/>
  <c r="AD40" i="1" s="1"/>
  <c r="X40" i="1"/>
  <c r="R40" i="1"/>
  <c r="N40" i="1"/>
  <c r="L40" i="1"/>
  <c r="J40" i="1"/>
  <c r="I40" i="1"/>
  <c r="D40" i="1"/>
  <c r="C40" i="1"/>
  <c r="G40" i="1" s="1"/>
  <c r="AC39" i="1"/>
  <c r="AD39" i="1" s="1"/>
  <c r="X39" i="1"/>
  <c r="R39" i="1"/>
  <c r="N39" i="1"/>
  <c r="L39" i="1"/>
  <c r="J39" i="1"/>
  <c r="I39" i="1"/>
  <c r="D39" i="1"/>
  <c r="C39" i="1"/>
  <c r="AG39" i="1" s="1"/>
  <c r="AH39" i="1" s="1"/>
  <c r="AC38" i="1"/>
  <c r="AD38" i="1" s="1"/>
  <c r="X38" i="1"/>
  <c r="R38" i="1"/>
  <c r="N38" i="1"/>
  <c r="L38" i="1"/>
  <c r="J38" i="1"/>
  <c r="I38" i="1"/>
  <c r="D38" i="1"/>
  <c r="C38" i="1"/>
  <c r="G38" i="1" s="1"/>
  <c r="AC37" i="1"/>
  <c r="AD37" i="1" s="1"/>
  <c r="X37" i="1"/>
  <c r="R37" i="1"/>
  <c r="N37" i="1"/>
  <c r="L37" i="1"/>
  <c r="J37" i="1"/>
  <c r="I37" i="1"/>
  <c r="D37" i="1"/>
  <c r="C37" i="1"/>
  <c r="AG37" i="1" s="1"/>
  <c r="AH37" i="1" s="1"/>
  <c r="AC36" i="1"/>
  <c r="AD36" i="1" s="1"/>
  <c r="X36" i="1"/>
  <c r="R36" i="1"/>
  <c r="N36" i="1"/>
  <c r="L36" i="1"/>
  <c r="J36" i="1"/>
  <c r="I36" i="1"/>
  <c r="D36" i="1"/>
  <c r="C36" i="1"/>
  <c r="G36" i="1" s="1"/>
  <c r="AC35" i="1"/>
  <c r="AD35" i="1" s="1"/>
  <c r="X35" i="1"/>
  <c r="R35" i="1"/>
  <c r="N35" i="1"/>
  <c r="L35" i="1"/>
  <c r="J35" i="1"/>
  <c r="I35" i="1"/>
  <c r="D35" i="1"/>
  <c r="C35" i="1"/>
  <c r="AG35" i="1" s="1"/>
  <c r="AH35" i="1" s="1"/>
  <c r="AC34" i="1"/>
  <c r="AD34" i="1" s="1"/>
  <c r="X34" i="1"/>
  <c r="R34" i="1"/>
  <c r="N34" i="1"/>
  <c r="L34" i="1"/>
  <c r="J34" i="1"/>
  <c r="I34" i="1"/>
  <c r="D34" i="1"/>
  <c r="C34" i="1"/>
  <c r="G34" i="1" s="1"/>
  <c r="AC33" i="1"/>
  <c r="AD33" i="1" s="1"/>
  <c r="X33" i="1"/>
  <c r="R33" i="1"/>
  <c r="N33" i="1"/>
  <c r="L33" i="1"/>
  <c r="J33" i="1"/>
  <c r="I33" i="1"/>
  <c r="D33" i="1"/>
  <c r="C33" i="1"/>
  <c r="AG33" i="1" s="1"/>
  <c r="AH33" i="1" s="1"/>
  <c r="AC32" i="1"/>
  <c r="AD32" i="1" s="1"/>
  <c r="X32" i="1"/>
  <c r="R32" i="1"/>
  <c r="N32" i="1"/>
  <c r="L32" i="1"/>
  <c r="J32" i="1"/>
  <c r="I32" i="1"/>
  <c r="D32" i="1"/>
  <c r="C32" i="1"/>
  <c r="G32" i="1" s="1"/>
  <c r="AC31" i="1"/>
  <c r="AD31" i="1" s="1"/>
  <c r="X31" i="1"/>
  <c r="R31" i="1"/>
  <c r="N31" i="1"/>
  <c r="L31" i="1"/>
  <c r="J31" i="1"/>
  <c r="I31" i="1"/>
  <c r="D31" i="1"/>
  <c r="C31" i="1"/>
  <c r="AG31" i="1" s="1"/>
  <c r="AH31" i="1" s="1"/>
  <c r="AC30" i="1"/>
  <c r="AD30" i="1" s="1"/>
  <c r="X30" i="1"/>
  <c r="R30" i="1"/>
  <c r="N30" i="1"/>
  <c r="L30" i="1"/>
  <c r="J30" i="1"/>
  <c r="I30" i="1"/>
  <c r="D30" i="1"/>
  <c r="C30" i="1"/>
  <c r="G30" i="1" s="1"/>
  <c r="AC29" i="1"/>
  <c r="AD29" i="1" s="1"/>
  <c r="X29" i="1"/>
  <c r="R29" i="1"/>
  <c r="N29" i="1"/>
  <c r="L29" i="1"/>
  <c r="J29" i="1"/>
  <c r="I29" i="1"/>
  <c r="D29" i="1"/>
  <c r="C29" i="1"/>
  <c r="AG29" i="1" s="1"/>
  <c r="AH29" i="1" s="1"/>
  <c r="AC28" i="1"/>
  <c r="AD28" i="1" s="1"/>
  <c r="X28" i="1"/>
  <c r="R28" i="1"/>
  <c r="N28" i="1"/>
  <c r="L28" i="1"/>
  <c r="J28" i="1"/>
  <c r="I28" i="1"/>
  <c r="D28" i="1"/>
  <c r="C28" i="1"/>
  <c r="G28" i="1" s="1"/>
  <c r="AC27" i="1"/>
  <c r="AD27" i="1" s="1"/>
  <c r="X27" i="1"/>
  <c r="R27" i="1"/>
  <c r="N27" i="1"/>
  <c r="L27" i="1"/>
  <c r="J27" i="1"/>
  <c r="I27" i="1"/>
  <c r="D27" i="1"/>
  <c r="C27" i="1"/>
  <c r="AG27" i="1" s="1"/>
  <c r="AH27" i="1" s="1"/>
  <c r="AC26" i="1"/>
  <c r="AD26" i="1" s="1"/>
  <c r="X26" i="1"/>
  <c r="R26" i="1"/>
  <c r="N26" i="1"/>
  <c r="L26" i="1"/>
  <c r="J26" i="1"/>
  <c r="I26" i="1"/>
  <c r="D26" i="1"/>
  <c r="C26" i="1"/>
  <c r="G26" i="1" s="1"/>
  <c r="AC25" i="1"/>
  <c r="AD25" i="1" s="1"/>
  <c r="X25" i="1"/>
  <c r="R25" i="1"/>
  <c r="N25" i="1"/>
  <c r="L25" i="1"/>
  <c r="J25" i="1"/>
  <c r="I25" i="1"/>
  <c r="D25" i="1"/>
  <c r="C25" i="1"/>
  <c r="AG25" i="1" s="1"/>
  <c r="AH25" i="1" s="1"/>
  <c r="AC24" i="1"/>
  <c r="AD24" i="1" s="1"/>
  <c r="X24" i="1"/>
  <c r="R24" i="1"/>
  <c r="N24" i="1"/>
  <c r="L24" i="1"/>
  <c r="J24" i="1"/>
  <c r="I24" i="1"/>
  <c r="D24" i="1"/>
  <c r="C24" i="1"/>
  <c r="G24" i="1" s="1"/>
  <c r="AC23" i="1"/>
  <c r="AD23" i="1" s="1"/>
  <c r="X23" i="1"/>
  <c r="R23" i="1"/>
  <c r="N23" i="1"/>
  <c r="L23" i="1"/>
  <c r="J23" i="1"/>
  <c r="I23" i="1"/>
  <c r="D23" i="1"/>
  <c r="C23" i="1"/>
  <c r="AG23" i="1" s="1"/>
  <c r="AH23" i="1" s="1"/>
  <c r="AC22" i="1"/>
  <c r="AD22" i="1" s="1"/>
  <c r="X22" i="1"/>
  <c r="R22" i="1"/>
  <c r="N22" i="1"/>
  <c r="L22" i="1"/>
  <c r="J22" i="1"/>
  <c r="I22" i="1"/>
  <c r="D22" i="1"/>
  <c r="C22" i="1"/>
  <c r="G22" i="1" s="1"/>
  <c r="AC21" i="1"/>
  <c r="AD21" i="1" s="1"/>
  <c r="X21" i="1"/>
  <c r="R21" i="1"/>
  <c r="N21" i="1"/>
  <c r="L21" i="1"/>
  <c r="J21" i="1"/>
  <c r="I21" i="1"/>
  <c r="D21" i="1"/>
  <c r="C21" i="1"/>
  <c r="AG21" i="1" s="1"/>
  <c r="AH21" i="1" s="1"/>
  <c r="AC20" i="1"/>
  <c r="AD20" i="1" s="1"/>
  <c r="X20" i="1"/>
  <c r="R20" i="1"/>
  <c r="N20" i="1"/>
  <c r="L20" i="1"/>
  <c r="J20" i="1"/>
  <c r="I20" i="1"/>
  <c r="D20" i="1"/>
  <c r="C20" i="1"/>
  <c r="G20" i="1" s="1"/>
  <c r="AC19" i="1"/>
  <c r="AD19" i="1" s="1"/>
  <c r="X19" i="1"/>
  <c r="R19" i="1"/>
  <c r="N19" i="1"/>
  <c r="L19" i="1"/>
  <c r="J19" i="1"/>
  <c r="I19" i="1"/>
  <c r="D19" i="1"/>
  <c r="C19" i="1"/>
  <c r="AG19" i="1" s="1"/>
  <c r="AH19" i="1" s="1"/>
  <c r="AC18" i="1"/>
  <c r="AD18" i="1" s="1"/>
  <c r="X18" i="1"/>
  <c r="R18" i="1"/>
  <c r="N18" i="1"/>
  <c r="L18" i="1"/>
  <c r="J18" i="1"/>
  <c r="I18" i="1"/>
  <c r="D18" i="1"/>
  <c r="C18" i="1"/>
  <c r="G18" i="1" s="1"/>
  <c r="AC17" i="1"/>
  <c r="AD17" i="1" s="1"/>
  <c r="X17" i="1"/>
  <c r="R17" i="1"/>
  <c r="N17" i="1"/>
  <c r="L17" i="1"/>
  <c r="J17" i="1"/>
  <c r="I17" i="1"/>
  <c r="D17" i="1"/>
  <c r="C17" i="1"/>
  <c r="AG17" i="1" s="1"/>
  <c r="AH17" i="1" s="1"/>
  <c r="AC16" i="1"/>
  <c r="AD16" i="1" s="1"/>
  <c r="X16" i="1"/>
  <c r="R16" i="1"/>
  <c r="N16" i="1"/>
  <c r="L16" i="1"/>
  <c r="J16" i="1"/>
  <c r="I16" i="1"/>
  <c r="D16" i="1"/>
  <c r="C16" i="1"/>
  <c r="G16" i="1" s="1"/>
  <c r="AC15" i="1"/>
  <c r="AD15" i="1" s="1"/>
  <c r="X15" i="1"/>
  <c r="R15" i="1"/>
  <c r="N15" i="1"/>
  <c r="L15" i="1"/>
  <c r="J15" i="1"/>
  <c r="I15" i="1"/>
  <c r="D15" i="1"/>
  <c r="C15" i="1"/>
  <c r="AG15" i="1" s="1"/>
  <c r="AH15" i="1" s="1"/>
  <c r="AC14" i="1"/>
  <c r="AD14" i="1" s="1"/>
  <c r="X14" i="1"/>
  <c r="R14" i="1"/>
  <c r="N14" i="1"/>
  <c r="L14" i="1"/>
  <c r="J14" i="1"/>
  <c r="I14" i="1"/>
  <c r="D14" i="1"/>
  <c r="C14" i="1"/>
  <c r="G14" i="1" s="1"/>
  <c r="AC13" i="1"/>
  <c r="AD13" i="1" s="1"/>
  <c r="X13" i="1"/>
  <c r="R13" i="1"/>
  <c r="N13" i="1"/>
  <c r="L13" i="1"/>
  <c r="J13" i="1"/>
  <c r="I13" i="1"/>
  <c r="D13" i="1"/>
  <c r="C13" i="1"/>
  <c r="AG13" i="1" s="1"/>
  <c r="AH13" i="1" s="1"/>
  <c r="AC12" i="1"/>
  <c r="AD12" i="1" s="1"/>
  <c r="X12" i="1"/>
  <c r="R12" i="1"/>
  <c r="N12" i="1"/>
  <c r="L12" i="1"/>
  <c r="J12" i="1"/>
  <c r="I12" i="1"/>
  <c r="D12" i="1"/>
  <c r="C12" i="1"/>
  <c r="G12" i="1" s="1"/>
  <c r="AC11" i="1"/>
  <c r="AD11" i="1" s="1"/>
  <c r="X11" i="1"/>
  <c r="R11" i="1"/>
  <c r="N11" i="1"/>
  <c r="L11" i="1"/>
  <c r="J11" i="1"/>
  <c r="I11" i="1"/>
  <c r="D11" i="1"/>
  <c r="C11" i="1"/>
  <c r="AG11" i="1" s="1"/>
  <c r="AH11" i="1" s="1"/>
  <c r="AC10" i="1"/>
  <c r="AD10" i="1" s="1"/>
  <c r="X10" i="1"/>
  <c r="R10" i="1"/>
  <c r="N10" i="1"/>
  <c r="L10" i="1"/>
  <c r="J10" i="1"/>
  <c r="I10" i="1"/>
  <c r="D10" i="1"/>
  <c r="C10" i="1"/>
  <c r="G10" i="1" s="1"/>
  <c r="AC9" i="1"/>
  <c r="AD9" i="1" s="1"/>
  <c r="X9" i="1"/>
  <c r="R9" i="1"/>
  <c r="N9" i="1"/>
  <c r="L9" i="1"/>
  <c r="J9" i="1"/>
  <c r="I9" i="1"/>
  <c r="D9" i="1"/>
  <c r="C9" i="1"/>
  <c r="AG9" i="1" s="1"/>
  <c r="AH9" i="1" s="1"/>
  <c r="AC8" i="1"/>
  <c r="AD8" i="1" s="1"/>
  <c r="X8" i="1"/>
  <c r="R8" i="1"/>
  <c r="N8" i="1"/>
  <c r="L8" i="1"/>
  <c r="J8" i="1"/>
  <c r="I8" i="1"/>
  <c r="D8" i="1"/>
  <c r="C8" i="1"/>
  <c r="AG8" i="1" s="1"/>
  <c r="AH8" i="1" s="1"/>
  <c r="AC7" i="1"/>
  <c r="AD7" i="1" s="1"/>
  <c r="X7" i="1"/>
  <c r="R7" i="1"/>
  <c r="N7" i="1"/>
  <c r="L7" i="1"/>
  <c r="J7" i="1"/>
  <c r="I7" i="1"/>
  <c r="D7" i="1"/>
  <c r="C7" i="1"/>
  <c r="AG7" i="1" s="1"/>
  <c r="AH7" i="1" s="1"/>
  <c r="AC6" i="1"/>
  <c r="AD6" i="1" s="1"/>
  <c r="X6" i="1"/>
  <c r="R6" i="1"/>
  <c r="N6" i="1"/>
  <c r="L6" i="1"/>
  <c r="J6" i="1"/>
  <c r="I6" i="1"/>
  <c r="D6" i="1"/>
  <c r="C6" i="1"/>
  <c r="G6" i="1" s="1"/>
  <c r="AC5" i="1"/>
  <c r="AD5" i="1" s="1"/>
  <c r="X5" i="1"/>
  <c r="R5" i="1"/>
  <c r="N5" i="1"/>
  <c r="L5" i="1"/>
  <c r="J5" i="1"/>
  <c r="I5" i="1"/>
  <c r="D5" i="1"/>
  <c r="C5" i="1"/>
  <c r="AG5" i="1" s="1"/>
  <c r="AH5" i="1" s="1"/>
  <c r="AC4" i="1"/>
  <c r="AD4" i="1" s="1"/>
  <c r="X4" i="1"/>
  <c r="R4" i="1"/>
  <c r="N4" i="1"/>
  <c r="L4" i="1"/>
  <c r="J4" i="1"/>
  <c r="I4" i="1"/>
  <c r="D4" i="1"/>
  <c r="C4" i="1"/>
  <c r="AG4" i="1" s="1"/>
  <c r="AH4" i="1" s="1"/>
  <c r="AC3" i="1"/>
  <c r="AD3" i="1" s="1"/>
  <c r="X3" i="1"/>
  <c r="R3" i="1"/>
  <c r="N3" i="1"/>
  <c r="L3" i="1"/>
  <c r="J3" i="1"/>
  <c r="I3" i="1"/>
  <c r="D3" i="1"/>
  <c r="C3" i="1"/>
  <c r="AG3" i="1" s="1"/>
  <c r="AH3" i="1" s="1"/>
  <c r="AC2" i="1"/>
  <c r="AD2" i="1" s="1"/>
  <c r="X2" i="1"/>
  <c r="R2" i="1"/>
  <c r="N2" i="1"/>
  <c r="L2" i="1"/>
  <c r="J2" i="1"/>
  <c r="I2" i="1"/>
  <c r="D2" i="1"/>
  <c r="C2" i="1"/>
  <c r="G2" i="1" s="1"/>
  <c r="AI5" i="1" l="1"/>
  <c r="AG10" i="1"/>
  <c r="AH10" i="1" s="1"/>
  <c r="AI10" i="1" s="1"/>
  <c r="AH55" i="1"/>
  <c r="AI55" i="1" s="1"/>
  <c r="AG60" i="1"/>
  <c r="AH60" i="1" s="1"/>
  <c r="AI60" i="1" s="1"/>
  <c r="AI41" i="1"/>
  <c r="AG46" i="1"/>
  <c r="AH46" i="1" s="1"/>
  <c r="AI46" i="1" s="1"/>
  <c r="AG36" i="1"/>
  <c r="AH36" i="1" s="1"/>
  <c r="AI36" i="1" s="1"/>
  <c r="AG14" i="1"/>
  <c r="AH14" i="1" s="1"/>
  <c r="AI14" i="1" s="1"/>
  <c r="G35" i="1"/>
  <c r="G3" i="1"/>
  <c r="AI11" i="1"/>
  <c r="AI33" i="1"/>
  <c r="G61" i="1"/>
  <c r="AI4" i="1"/>
  <c r="AI7" i="1"/>
  <c r="AI23" i="1"/>
  <c r="AG28" i="1"/>
  <c r="AH28" i="1" s="1"/>
  <c r="AI28" i="1" s="1"/>
  <c r="G58" i="1"/>
  <c r="AG63" i="1"/>
  <c r="AH63" i="1" s="1"/>
  <c r="AI63" i="1" s="1"/>
  <c r="G31" i="1"/>
  <c r="AH52" i="1"/>
  <c r="AI52" i="1" s="1"/>
  <c r="AG57" i="1"/>
  <c r="AH57" i="1" s="1"/>
  <c r="AI57" i="1" s="1"/>
  <c r="AG70" i="1"/>
  <c r="AH70" i="1" s="1"/>
  <c r="AI70" i="1" s="1"/>
  <c r="AG2" i="1"/>
  <c r="AH2" i="1" s="1"/>
  <c r="AI2" i="1" s="1"/>
  <c r="AI29" i="1"/>
  <c r="AG77" i="1"/>
  <c r="AH77" i="1" s="1"/>
  <c r="AI77" i="1" s="1"/>
  <c r="AI39" i="1"/>
  <c r="AI45" i="1"/>
  <c r="AG48" i="1"/>
  <c r="AH48" i="1" s="1"/>
  <c r="AI48" i="1" s="1"/>
  <c r="G55" i="1"/>
  <c r="G52" i="1"/>
  <c r="AG73" i="1"/>
  <c r="AH73" i="1" s="1"/>
  <c r="AI73" i="1" s="1"/>
  <c r="AH49" i="1"/>
  <c r="AI49" i="1" s="1"/>
  <c r="G15" i="1"/>
  <c r="G19" i="1"/>
  <c r="AG67" i="1"/>
  <c r="AH67" i="1" s="1"/>
  <c r="AI67" i="1" s="1"/>
  <c r="AI13" i="1"/>
  <c r="AG16" i="1"/>
  <c r="AH16" i="1" s="1"/>
  <c r="AI16" i="1" s="1"/>
  <c r="AI21" i="1"/>
  <c r="G25" i="1"/>
  <c r="G37" i="1"/>
  <c r="G49" i="1"/>
  <c r="AH61" i="1"/>
  <c r="AI61" i="1" s="1"/>
  <c r="AG64" i="1"/>
  <c r="AH64" i="1" s="1"/>
  <c r="AI64" i="1" s="1"/>
  <c r="AI17" i="1"/>
  <c r="AG26" i="1"/>
  <c r="AH26" i="1" s="1"/>
  <c r="AI26" i="1" s="1"/>
  <c r="AG38" i="1"/>
  <c r="AH38" i="1" s="1"/>
  <c r="AI38" i="1" s="1"/>
  <c r="G47" i="1"/>
  <c r="AG54" i="1"/>
  <c r="AH54" i="1" s="1"/>
  <c r="AI54" i="1" s="1"/>
  <c r="AH58" i="1"/>
  <c r="AI58" i="1" s="1"/>
  <c r="AG65" i="1"/>
  <c r="AH65" i="1" s="1"/>
  <c r="AI65" i="1" s="1"/>
  <c r="AG71" i="1"/>
  <c r="AH71" i="1" s="1"/>
  <c r="AI71" i="1" s="1"/>
  <c r="AG51" i="1"/>
  <c r="AH51" i="1" s="1"/>
  <c r="AI51" i="1" s="1"/>
  <c r="G13" i="1"/>
  <c r="G45" i="1"/>
  <c r="G5" i="1"/>
  <c r="G29" i="1"/>
  <c r="AG68" i="1"/>
  <c r="AH68" i="1" s="1"/>
  <c r="AI68" i="1" s="1"/>
  <c r="G7" i="1"/>
  <c r="G23" i="1"/>
  <c r="G41" i="1"/>
  <c r="AG78" i="1"/>
  <c r="AH78" i="1" s="1"/>
  <c r="AI78" i="1" s="1"/>
  <c r="G11" i="1"/>
  <c r="G33" i="1"/>
  <c r="G65" i="1"/>
  <c r="AG69" i="1"/>
  <c r="AH69" i="1" s="1"/>
  <c r="AI69" i="1" s="1"/>
  <c r="AI3" i="1"/>
  <c r="G17" i="1"/>
  <c r="G21" i="1"/>
  <c r="AG24" i="1"/>
  <c r="AH24" i="1" s="1"/>
  <c r="AI24" i="1" s="1"/>
  <c r="AI31" i="1"/>
  <c r="AG34" i="1"/>
  <c r="AH34" i="1" s="1"/>
  <c r="AI34" i="1" s="1"/>
  <c r="AI37" i="1"/>
  <c r="G39" i="1"/>
  <c r="AI47" i="1"/>
  <c r="AG66" i="1"/>
  <c r="AH66" i="1" s="1"/>
  <c r="AI66" i="1" s="1"/>
  <c r="AG74" i="1"/>
  <c r="AH74" i="1" s="1"/>
  <c r="AI74" i="1" s="1"/>
  <c r="AG79" i="1"/>
  <c r="AH79" i="1" s="1"/>
  <c r="AI79" i="1" s="1"/>
  <c r="AG72" i="1"/>
  <c r="AH72" i="1" s="1"/>
  <c r="AI72" i="1" s="1"/>
  <c r="AI9" i="1"/>
  <c r="AI27" i="1"/>
  <c r="AI43" i="1"/>
  <c r="AI15" i="1"/>
  <c r="AG6" i="1"/>
  <c r="AH6" i="1" s="1"/>
  <c r="AI6" i="1" s="1"/>
  <c r="AI8" i="1"/>
  <c r="G9" i="1"/>
  <c r="AG12" i="1"/>
  <c r="AH12" i="1" s="1"/>
  <c r="AI12" i="1" s="1"/>
  <c r="AI19" i="1"/>
  <c r="AG22" i="1"/>
  <c r="AH22" i="1" s="1"/>
  <c r="AI22" i="1" s="1"/>
  <c r="AI25" i="1"/>
  <c r="G27" i="1"/>
  <c r="AI35" i="1"/>
  <c r="AG40" i="1"/>
  <c r="AH40" i="1" s="1"/>
  <c r="AI40" i="1" s="1"/>
  <c r="G43" i="1"/>
  <c r="AG80" i="1"/>
  <c r="AH80" i="1" s="1"/>
  <c r="AI80" i="1" s="1"/>
  <c r="AG76" i="1"/>
  <c r="AH76" i="1" s="1"/>
  <c r="AI76" i="1" s="1"/>
  <c r="G76" i="1"/>
  <c r="G4" i="1"/>
  <c r="G8" i="1"/>
  <c r="AG81" i="1"/>
  <c r="AH81" i="1" s="1"/>
  <c r="AI81" i="1" s="1"/>
  <c r="G81" i="1"/>
  <c r="AG18" i="1"/>
  <c r="AH18" i="1" s="1"/>
  <c r="AI18" i="1" s="1"/>
  <c r="AG30" i="1"/>
  <c r="AH30" i="1" s="1"/>
  <c r="AI30" i="1" s="1"/>
  <c r="AG42" i="1"/>
  <c r="AH42" i="1" s="1"/>
  <c r="AI42" i="1" s="1"/>
  <c r="G77" i="1"/>
  <c r="AG20" i="1"/>
  <c r="AH20" i="1" s="1"/>
  <c r="AI20" i="1" s="1"/>
  <c r="AG32" i="1"/>
  <c r="AH32" i="1" s="1"/>
  <c r="AI32" i="1" s="1"/>
  <c r="AG44" i="1"/>
  <c r="AH44" i="1" s="1"/>
  <c r="AI44" i="1" s="1"/>
  <c r="AG75" i="1"/>
  <c r="AH75" i="1" s="1"/>
  <c r="AI75" i="1" s="1"/>
  <c r="G75" i="1"/>
  <c r="AG82" i="1"/>
  <c r="AH82" i="1" s="1"/>
  <c r="AI82" i="1" s="1"/>
  <c r="G82" i="1"/>
  <c r="AG50" i="1"/>
  <c r="AH50" i="1" s="1"/>
  <c r="AI50" i="1" s="1"/>
  <c r="AG53" i="1"/>
  <c r="AH53" i="1" s="1"/>
  <c r="AI53" i="1" s="1"/>
  <c r="AG56" i="1"/>
  <c r="AH56" i="1" s="1"/>
  <c r="AI56" i="1" s="1"/>
  <c r="AG59" i="1"/>
  <c r="AH59" i="1" s="1"/>
  <c r="AI59" i="1" s="1"/>
  <c r="AG62" i="1"/>
  <c r="AH62" i="1" s="1"/>
  <c r="AI62" i="1" s="1"/>
  <c r="G74" i="1"/>
  <c r="G80" i="1"/>
</calcChain>
</file>

<file path=xl/sharedStrings.xml><?xml version="1.0" encoding="utf-8"?>
<sst xmlns="http://schemas.openxmlformats.org/spreadsheetml/2006/main" count="129" uniqueCount="129">
  <si>
    <t>Billing Period</t>
  </si>
  <si>
    <t>Grid Elec kWh</t>
  </si>
  <si>
    <t>Grid Elec Source (MMBTU)</t>
  </si>
  <si>
    <t>kWh(MMBTU) No Source</t>
  </si>
  <si>
    <t>NG (MMBTU)</t>
  </si>
  <si>
    <t>NG Aligned to Electricity Billing Period (MMBTU)</t>
  </si>
  <si>
    <t>Total MMBTU (Source NG Aligned)</t>
  </si>
  <si>
    <t>LS-85 Grid Elec (kWh)</t>
  </si>
  <si>
    <t>LS85 Grid Elec Source (MMBTU)</t>
  </si>
  <si>
    <t>LS85 Grid Elec No Source (MMBTU)2</t>
  </si>
  <si>
    <t>Flow (MGD)</t>
  </si>
  <si>
    <t>PeakFlow(MGD)</t>
  </si>
  <si>
    <t>BOD (mg/L)</t>
  </si>
  <si>
    <t>PeakBOD</t>
  </si>
  <si>
    <t>Average Precip (In)</t>
  </si>
  <si>
    <t>Total Precip</t>
  </si>
  <si>
    <t>Billing Days</t>
  </si>
  <si>
    <t>ExtraBillingDays</t>
  </si>
  <si>
    <t>Period CY</t>
  </si>
  <si>
    <t>Period</t>
  </si>
  <si>
    <t>Cost</t>
  </si>
  <si>
    <t>NG Cost</t>
  </si>
  <si>
    <t>LS85 Cost</t>
  </si>
  <si>
    <t>Total Cost</t>
  </si>
  <si>
    <t>HDD 63</t>
  </si>
  <si>
    <t>CDD 63</t>
  </si>
  <si>
    <t>EG1 kWh Prod</t>
  </si>
  <si>
    <t>Generated Elec Source (MMBtu)</t>
  </si>
  <si>
    <t>Total kWh</t>
  </si>
  <si>
    <t>Total kWh(MMBTU)</t>
  </si>
  <si>
    <t>EG1 MMBtu</t>
  </si>
  <si>
    <t>Grid NG Non-EG01 Source MMBTU</t>
  </si>
  <si>
    <t>Total Elec Source MMBTU</t>
  </si>
  <si>
    <t>Total Energy Source MMBTU</t>
  </si>
  <si>
    <t>SWWRF/LS85 Total Energy Source MMBTU</t>
  </si>
  <si>
    <t>12/31/2014 - 01/30/2015</t>
  </si>
  <si>
    <t>01/30/2015 - 03/02/2015</t>
  </si>
  <si>
    <t>03/02/2015 - 03/31/2015</t>
  </si>
  <si>
    <t>03/31/2015 - 04/30/2015</t>
  </si>
  <si>
    <t>04/30/2015 - 06/01/2015</t>
  </si>
  <si>
    <t>06/01/2015 - 06/30/2015</t>
  </si>
  <si>
    <t>06/30/2015 - 07/31/2015</t>
  </si>
  <si>
    <t>07/31/2015 - 08/31/2015</t>
  </si>
  <si>
    <t>08/31/2015 - 09/30/2015</t>
  </si>
  <si>
    <t>09/30/2015 - 10/29/2015</t>
  </si>
  <si>
    <t>10/29/2015 - 12/01/2015</t>
  </si>
  <si>
    <t>12/01/2015 - 12/31/2015</t>
  </si>
  <si>
    <t>12/31/2015 - 02/01/2016</t>
  </si>
  <si>
    <t>02/01/2016 - 03/01/2016</t>
  </si>
  <si>
    <t>03/01/2016 - 03/31/2016</t>
  </si>
  <si>
    <t>03/31/2016 - 05/02/2016</t>
  </si>
  <si>
    <t>05/02/2016 - 06/01/2016</t>
  </si>
  <si>
    <t>06/01/2016 - 07/01/2016</t>
  </si>
  <si>
    <t>07/01/2016 - 08/02/2016</t>
  </si>
  <si>
    <t>08/02/2016 - 08/31/2016</t>
  </si>
  <si>
    <t>08/31/2016 - 09/29/2016</t>
  </si>
  <si>
    <t>09/29/2016 - 10/28/2016</t>
  </si>
  <si>
    <t>10/28/2016 - 11/30/2016</t>
  </si>
  <si>
    <t>11/30/2016 - 12/30/2016</t>
  </si>
  <si>
    <t>12/30/2016 - 02/01/2017</t>
  </si>
  <si>
    <t>02/01/2017 - 03/02/2017</t>
  </si>
  <si>
    <t>03/02/2017 - 03/31/2017</t>
  </si>
  <si>
    <t>03/31/2017 - 05/02/2017</t>
  </si>
  <si>
    <t>05/02/2017 - 06/01/2017</t>
  </si>
  <si>
    <t>06/01/2017 - 06/30/2017</t>
  </si>
  <si>
    <t>06/30/2017 - 08/01/2017</t>
  </si>
  <si>
    <t>08/01/2017 - 08/30/2017</t>
  </si>
  <si>
    <t>08/30/2017 - 09/29/2017</t>
  </si>
  <si>
    <t>09/29/2017 - 10/30/2017</t>
  </si>
  <si>
    <t>10/30/2017 - 11/29/2017</t>
  </si>
  <si>
    <t>11/29/2017 - 12/29/2017</t>
  </si>
  <si>
    <t>12/29/2017 - 01/31/2018</t>
  </si>
  <si>
    <t>01/31/2018 - 03/02/2018</t>
  </si>
  <si>
    <t>03/02/2018 - 04/03/2018</t>
  </si>
  <si>
    <t>04/03/2018 - 05/02/2018</t>
  </si>
  <si>
    <t>05/02/2018 - 06/01/2018</t>
  </si>
  <si>
    <t>06/01/2018 - 07/02/2018</t>
  </si>
  <si>
    <t>07/02/2018 - 08/01/2018</t>
  </si>
  <si>
    <t>08/01/2018 - 08/30/2018</t>
  </si>
  <si>
    <t>08/30/2018 - 10/01/2018</t>
  </si>
  <si>
    <t>10/01/2018 - 10/30/2018</t>
  </si>
  <si>
    <t>10/30/2018 - 11/29/2018</t>
  </si>
  <si>
    <t>11/29/2018 - 12/31/2018</t>
  </si>
  <si>
    <t>12/31/2018 - 01/30/2019</t>
  </si>
  <si>
    <t>01/30/2019 - 03/01/2019</t>
  </si>
  <si>
    <t>03/01/2019 - 04/02/2019</t>
  </si>
  <si>
    <t>04/02/2019 - 05/02/2019</t>
  </si>
  <si>
    <t>05/02/2019 - 06/03/2019</t>
  </si>
  <si>
    <t>06/03/2019 - 07/02/2019</t>
  </si>
  <si>
    <t>07/02/2019 - 08/01/2019</t>
  </si>
  <si>
    <t>08/01/2019 - 08/30/2019</t>
  </si>
  <si>
    <t>08/30/2019 - 10/01/2019</t>
  </si>
  <si>
    <t>10/01/2019 - 10/30/2019</t>
  </si>
  <si>
    <t>10/30/2019 - 11/27/2019</t>
  </si>
  <si>
    <t>11/27/2019 - 12/31/2019</t>
  </si>
  <si>
    <t>12/31/2019 - 01/30/2020</t>
  </si>
  <si>
    <t>01/30/2020 - 03/02/2020</t>
  </si>
  <si>
    <t>03/02/2020 - 04/01/2020</t>
  </si>
  <si>
    <t>*For Grid NG Non-EG01: convert kWh to MMBtu, use % Grid NG to CHP for electric billing period and multiply by volume of gas to EG01 during same timeframe.</t>
  </si>
  <si>
    <t>04/01/2020 - 05/01/2020</t>
  </si>
  <si>
    <t>05/01/2020 - 06/02/2020</t>
  </si>
  <si>
    <t>06/02/2020 - 07/01/2020</t>
  </si>
  <si>
    <t>07/01/2020 - 07/31/2020</t>
  </si>
  <si>
    <t>07/31/2020 - 08/31/2020</t>
  </si>
  <si>
    <t>08/31/2020 - 09/30/2020</t>
  </si>
  <si>
    <t>09/30/2020 - 10/29/2020</t>
  </si>
  <si>
    <t>10/29/2020 - 11/30/2020</t>
  </si>
  <si>
    <t>11/30/2020 - 12/30/2020</t>
  </si>
  <si>
    <t>12/30/2020 - 02/01/2021</t>
  </si>
  <si>
    <t>02/01/2021 - 03/03/2021</t>
  </si>
  <si>
    <t>03/03/2021 - 04/01/2021</t>
  </si>
  <si>
    <t>04/01/2021 - 05/03/2021</t>
  </si>
  <si>
    <t>05/03/2021 - 06/02/2021</t>
  </si>
  <si>
    <t>06/02/2021 - 07/01/2021</t>
  </si>
  <si>
    <t>07/01/2021 - 08/03/2021</t>
  </si>
  <si>
    <t>08/03/2021 - 09/01/2021</t>
  </si>
  <si>
    <t>09/01/2021 - 10/04/2021</t>
  </si>
  <si>
    <t>10/04/2021 - 11/03/2021</t>
  </si>
  <si>
    <t>11/04/2021 - 12/03/2021</t>
  </si>
  <si>
    <t>12/04/2021 - 01/06/2022</t>
  </si>
  <si>
    <t>01/07/2022 - 02/03/2022</t>
  </si>
  <si>
    <t>02/04/2022 - 03/04/2022</t>
  </si>
  <si>
    <t>03/05/2022 - 04/05/2022</t>
  </si>
  <si>
    <t>04/06/2022 - 05/04/2022</t>
  </si>
  <si>
    <t>05/05/2022 - 06/03/2022</t>
  </si>
  <si>
    <t>06/04/2022 - 07/06/2022</t>
  </si>
  <si>
    <t>07/07/2022 - 08/04/2022</t>
  </si>
  <si>
    <t>08/05/2022 - 09/06/2022</t>
  </si>
  <si>
    <t>09/07/2022 - 10/5/2022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</si>
</sst>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horizontal="left"/>
    </xf>
  </cellStyleXfs>
  <cellXfs count="13">
    <xf numFmtId="0" fontId="0" fillId="0" borderId="0" xfId="0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43" fontId="0" fillId="0" borderId="0" xfId="0" applyNumberFormat="1" applyAlignment="1">
      <alignment horizontal="center" vertical="center"/>
    </xf>
    <xf numFmtId="43" fontId="0" fillId="0" borderId="0" xfId="0" applyNumberFormat="1" applyBorder="1" applyAlignment="1">
      <alignment horizontal="center" vertical="center"/>
    </xf>
    <xf numFmtId="14" fontId="0" fillId="0" borderId="0" xfId="0" applyNumberFormat="1">
      <alignment horizontal="left"/>
    </xf>
    <xf numFmtId="0" fontId="0" fillId="0" borderId="0" xfId="0">
      <alignment horizontal="left"/>
    </xf>
  </cellXfs>
  <cellStyles count="1">
    <cellStyle name="Normal" xfId="0" builtinId="0" customBuiltin="1"/>
  </cellStyles>
  <dxfs count="38"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numFmt numFmtId="35" formatCode="_(* #,##0.00_);_(* \(#,##0.00\);_(* &quot;-&quot;??_);_(@_)"/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992DC8-D8E5-437B-92FA-1C67A199A5E3}" name="Table1" displayName="Table1" ref="A1:AI94" totalsRowShown="0" headerRowDxfId="37" dataDxfId="36" tableBorderDxfId="35">
  <autoFilter ref="A1:AI94" xr:uid="{95A031B0-B462-4E5C-BA9B-6801E18D9AF2}"/>
  <tableColumns count="35">
    <tableColumn id="1" xr3:uid="{1504FC69-EEBD-4272-9986-55E153C19089}" name="Billing Period" dataDxfId="33"/>
    <tableColumn id="2" xr3:uid="{CE2C2FA0-4F54-48B3-92DB-169DE8D6EFDE}" name="Grid Elec kWh" dataDxfId="32"/>
    <tableColumn id="31" xr3:uid="{D9E03BA3-30CB-450C-A98D-8F024AD58030}" name="Grid Elec Source (MMBTU)" dataDxfId="31" dataCellStyle="Comma">
      <calculatedColumnFormula>Table1[Grid Elec kWh]*0.003412142*3</calculatedColumnFormula>
    </tableColumn>
    <tableColumn id="10" xr3:uid="{3E67E65D-57DF-482A-BFF4-04556D266D2D}" name="kWh(MMBTU) No Source" dataDxfId="30" dataCellStyle="Comma">
      <calculatedColumnFormula>Table1[Grid Elec kWh]*0.003412142</calculatedColumnFormula>
    </tableColumn>
    <tableColumn id="27" xr3:uid="{FA165AD5-0E81-4DC7-BE86-D9AAEA815C25}" name="NG (MMBTU)" dataDxfId="29" dataCellStyle="Comma"/>
    <tableColumn id="40" xr3:uid="{54003BF4-3976-4F4D-897D-DD5ADE37BCBF}" name="NG Aligned to Electricity Billing Period (MMBTU)" dataDxfId="28" dataCellStyle="Comma"/>
    <tableColumn id="6" xr3:uid="{D7ED889C-29F6-440B-AD0B-3DD20550B52C}" name="Total MMBTU (Source NG Aligned)" dataDxfId="27" dataCellStyle="Comma">
      <calculatedColumnFormula>C2+F2</calculatedColumnFormula>
    </tableColumn>
    <tableColumn id="42" xr3:uid="{5DD7FAED-70C8-4114-8B79-5CB54C3C828B}" name="LS-85 Grid Elec (kWh)" dataDxfId="26" dataCellStyle="Comma"/>
    <tableColumn id="43" xr3:uid="{284D238C-C8A3-4D8D-AC84-43B3D2B8A7C2}" name="LS85 Grid Elec Source (MMBTU)" dataDxfId="25" dataCellStyle="Comma">
      <calculatedColumnFormula>H2*0.003412142*3</calculatedColumnFormula>
    </tableColumn>
    <tableColumn id="44" xr3:uid="{BE464C02-BB25-4449-A1F3-F08A7E4D1B86}" name="LS85 Grid Elec No Source (MMBTU)2" dataDxfId="24" dataCellStyle="Comma">
      <calculatedColumnFormula>H2*0.003412142</calculatedColumnFormula>
    </tableColumn>
    <tableColumn id="12" xr3:uid="{49D60C69-3C26-4F58-BBAD-21447FFE4905}" name="Flow (MGD)" dataDxfId="23" dataCellStyle="Comma"/>
    <tableColumn id="13" xr3:uid="{1D3694C9-59A8-448F-A955-115B34C33F37}" name="PeakFlow(MGD)" dataDxfId="22">
      <calculatedColumnFormula>Table1[Flow (MGD)]-MIN(Table1[Flow (MGD)])</calculatedColumnFormula>
    </tableColumn>
    <tableColumn id="4" xr3:uid="{B04AA9AD-233B-4BC6-B3BC-43261175332B}" name="BOD (mg/L)" dataDxfId="21"/>
    <tableColumn id="17" xr3:uid="{170B2EC9-4DBD-4823-8C06-2D5B17913A69}" name="PeakBOD" dataDxfId="20">
      <calculatedColumnFormula>Table1[BOD (mg/L)]-MIN(Table1[BOD (mg/L)])</calculatedColumnFormula>
    </tableColumn>
    <tableColumn id="18" xr3:uid="{4200D269-3691-4FBB-B6A1-4E28DFEA9D1D}" name="Average Precip (In)" dataDxfId="19"/>
    <tableColumn id="5" xr3:uid="{8076EFC3-0A4A-42A3-8DC9-B0FAAF63A70C}" name="Total Precip" dataDxfId="18"/>
    <tableColumn id="3" xr3:uid="{41168845-AC92-4398-9CAB-76036CF1DA81}" name="Billing Days" dataDxfId="17"/>
    <tableColumn id="11" xr3:uid="{6D10E649-2EF8-4AAD-8696-1EEC258C8927}" name="ExtraBillingDays" dataDxfId="16">
      <calculatedColumnFormula>Table1[Billing Days]-MIN(Table1[Billing Days])</calculatedColumnFormula>
    </tableColumn>
    <tableColumn id="8" xr3:uid="{B0BF67B1-115B-40AB-A012-9E6FA920FE4A}" name="Period CY" dataDxfId="15"/>
    <tableColumn id="46" xr3:uid="{0983FD44-F230-41B2-A984-43A322DE8550}" name="Period" dataDxfId="14"/>
    <tableColumn id="9" xr3:uid="{81822C79-F4E1-4702-84A2-DEFB146C7620}" name="Cost" dataDxfId="13"/>
    <tableColumn id="20" xr3:uid="{A7476706-D353-4C04-B0EE-D2D0A50E579E}" name="NG Cost" dataDxfId="12"/>
    <tableColumn id="45" xr3:uid="{F9EA0581-1330-4F4E-9E74-1CCBA1D45DCF}" name="LS85 Cost" dataDxfId="11"/>
    <tableColumn id="7" xr3:uid="{D23B3BF5-43A1-4B99-ABD6-089CF1ABE089}" name="Total Cost" dataDxfId="10">
      <calculatedColumnFormula>U2+V2+W2</calculatedColumnFormula>
    </tableColumn>
    <tableColumn id="23" xr3:uid="{23E6A45A-0009-4E49-A3CC-471958B31C70}" name="HDD 63" dataDxfId="9"/>
    <tableColumn id="24" xr3:uid="{B121FEB8-4706-4DF6-87ED-7CCB4D8EA364}" name="CDD 63" dataDxfId="8"/>
    <tableColumn id="32" xr3:uid="{962867F2-093C-4BF9-B2AA-772C24984FEB}" name="EG1 kWh Prod" dataDxfId="7"/>
    <tableColumn id="33" xr3:uid="{33FD21A9-F0C3-4DD7-949F-C8795CC304DA}" name="Generated Elec Source (MMBtu)" dataDxfId="6"/>
    <tableColumn id="34" xr3:uid="{C5A7E6FE-5AE7-4BEA-963D-53C84C60EDE3}" name="Total kWh" dataDxfId="5">
      <calculatedColumnFormula>AA2+B2</calculatedColumnFormula>
    </tableColumn>
    <tableColumn id="35" xr3:uid="{B7264FC8-38DE-426B-B261-FBCB5D3F67EF}" name="Total kWh(MMBTU)" dataDxfId="4" dataCellStyle="Comma">
      <calculatedColumnFormula>Table1[Total kWh]*0.003412142*3</calculatedColumnFormula>
    </tableColumn>
    <tableColumn id="28" xr3:uid="{DA2F5A18-65BE-4350-9E18-D36B36305944}" name="EG1 MMBtu" dataDxfId="3"/>
    <tableColumn id="30" xr3:uid="{7F2BF858-99FD-4A8E-A774-F228FC2B1822}" name="Grid NG Non-EG01 Source MMBTU" dataDxfId="2"/>
    <tableColumn id="36" xr3:uid="{F46C4915-A312-474F-96C9-7BEF8BB138A6}" name="Total Elec Source MMBTU" dataDxfId="1">
      <calculatedColumnFormula>Table1[[#This Row],[Grid Elec Source (MMBTU)]]+Table1[[#This Row],[Generated Elec Source (MMBtu)]]</calculatedColumnFormula>
    </tableColumn>
    <tableColumn id="37" xr3:uid="{B1462AFB-857C-4B91-BF37-CA20F80C5664}" name="Total Energy Source MMBTU" dataDxfId="0">
      <calculatedColumnFormula>Table1[[#This Row],[Total Elec Source MMBTU]]+Table1[[#This Row],[Grid NG Non-EG01 Source MMBTU]]</calculatedColumnFormula>
    </tableColumn>
    <tableColumn id="47" xr3:uid="{7EA142D1-53E0-41AF-8131-1D079C9AB383}" name="SWWRF/LS85 Total Energy Source MMBTU" dataDxfId="34">
      <calculatedColumnFormula>Table1[Total Energy Source MMBTU]+Table1[LS85 Grid Elec Source (MMBTU)]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customProperty" Target="../customProperty3.bin"/><Relationship Id="rId7" Type="http://schemas.openxmlformats.org/officeDocument/2006/relationships/customProperty" Target="../customProperty7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8D16B-C29B-46B1-B96E-2A41BBB9F9DD}">
  <dimension ref="A1:AL96"/>
  <sheetViews>
    <sheetView tabSelected="1" topLeftCell="A85" workbookViewId="0">
      <selection activeCell="M97" sqref="M97"/>
    </sheetView>
  </sheetViews>
  <sheetFormatPr defaultRowHeight="14.4" x14ac:dyDescent="0.3"/>
  <cols>
    <col min="1" max="1" width="23.88671875" bestFit="1" customWidth="1"/>
    <col min="2" max="2" width="13.44140625" bestFit="1" customWidth="1"/>
    <col min="3" max="3" width="13.5546875" bestFit="1" customWidth="1"/>
    <col min="4" max="4" width="12.33203125" bestFit="1" customWidth="1"/>
    <col min="5" max="5" width="13.5546875" bestFit="1" customWidth="1"/>
    <col min="6" max="6" width="23.5546875" customWidth="1"/>
    <col min="7" max="7" width="13.109375" bestFit="1" customWidth="1"/>
    <col min="8" max="8" width="13.44140625" bestFit="1" customWidth="1"/>
    <col min="9" max="9" width="12.6640625" customWidth="1"/>
    <col min="10" max="10" width="13.6640625" bestFit="1" customWidth="1"/>
    <col min="15" max="15" width="9.5546875" bestFit="1" customWidth="1"/>
    <col min="21" max="21" width="11.109375" bestFit="1" customWidth="1"/>
    <col min="22" max="22" width="11.44140625" customWidth="1"/>
    <col min="23" max="23" width="10.109375" bestFit="1" customWidth="1"/>
    <col min="24" max="24" width="13.77734375" bestFit="1" customWidth="1"/>
    <col min="27" max="27" width="13" bestFit="1" customWidth="1"/>
    <col min="28" max="28" width="33.33203125" customWidth="1"/>
    <col min="29" max="29" width="12.5546875" bestFit="1" customWidth="1"/>
    <col min="30" max="30" width="11" customWidth="1"/>
    <col min="31" max="31" width="13.33203125" customWidth="1"/>
    <col min="33" max="33" width="13" customWidth="1"/>
    <col min="34" max="35" width="12.88671875" bestFit="1" customWidth="1"/>
    <col min="36" max="36" width="13.5546875" bestFit="1" customWidth="1"/>
  </cols>
  <sheetData>
    <row r="1" spans="1:38" ht="7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6" t="s">
        <v>19</v>
      </c>
      <c r="U1" s="6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8"/>
      <c r="AK1" s="8"/>
      <c r="AL1" s="8"/>
    </row>
    <row r="2" spans="1:38" x14ac:dyDescent="0.3">
      <c r="A2" s="9" t="s">
        <v>35</v>
      </c>
      <c r="B2" s="9">
        <v>638400</v>
      </c>
      <c r="C2" s="9">
        <f>Table1[Grid Elec kWh]*0.003412142*3</f>
        <v>6534.9343583999998</v>
      </c>
      <c r="D2" s="9">
        <f>Table1[Grid Elec kWh]*0.003412142</f>
        <v>2178.3114528000001</v>
      </c>
      <c r="E2" s="9">
        <v>0</v>
      </c>
      <c r="F2" s="9">
        <v>0</v>
      </c>
      <c r="G2" s="9">
        <f>C2+F2</f>
        <v>6534.9343583999998</v>
      </c>
      <c r="H2" s="9">
        <v>320000</v>
      </c>
      <c r="I2" s="9">
        <f t="shared" ref="I2:I65" si="0">H2*0.003412142*3</f>
        <v>3275.6563200000001</v>
      </c>
      <c r="J2" s="9">
        <f t="shared" ref="J2:J65" si="1">H2*0.003412142</f>
        <v>1091.88544</v>
      </c>
      <c r="K2" s="9">
        <v>13.82</v>
      </c>
      <c r="L2" s="9">
        <f>Table1[Flow (MGD)]-MIN(Table1[Flow (MGD)])</f>
        <v>1.8170000000000002</v>
      </c>
      <c r="M2" s="9">
        <v>171</v>
      </c>
      <c r="N2" s="9">
        <f>Table1[BOD (mg/L)]-MIN(Table1[BOD (mg/L)])</f>
        <v>115.85333333333332</v>
      </c>
      <c r="O2" s="9">
        <v>7.6451613000000002E-2</v>
      </c>
      <c r="P2" s="9">
        <v>2.37</v>
      </c>
      <c r="Q2" s="9">
        <v>30</v>
      </c>
      <c r="R2" s="9">
        <f>Table1[Billing Days]-MIN(Table1[Billing Days])</f>
        <v>2</v>
      </c>
      <c r="S2" s="9">
        <v>2015</v>
      </c>
      <c r="T2" s="9">
        <v>2015</v>
      </c>
      <c r="U2" s="9">
        <v>54180.18</v>
      </c>
      <c r="V2" s="9">
        <v>26.6</v>
      </c>
      <c r="W2" s="9">
        <v>26651.83</v>
      </c>
      <c r="X2" s="9">
        <f>U2+V2+W2</f>
        <v>80858.61</v>
      </c>
      <c r="Y2" s="9">
        <v>60</v>
      </c>
      <c r="Z2" s="9">
        <v>79</v>
      </c>
      <c r="AA2" s="9">
        <v>0</v>
      </c>
      <c r="AB2" s="9">
        <v>0</v>
      </c>
      <c r="AC2" s="9">
        <f>AA2+B2</f>
        <v>638400</v>
      </c>
      <c r="AD2" s="9">
        <f>Table1[Total kWh]*0.003412142*3</f>
        <v>6534.9343583999998</v>
      </c>
      <c r="AE2" s="9">
        <v>0</v>
      </c>
      <c r="AF2" s="9">
        <v>0</v>
      </c>
      <c r="AG2" s="9">
        <f>Table1[[#This Row],[Grid Elec Source (MMBTU)]]+Table1[[#This Row],[Generated Elec Source (MMBtu)]]</f>
        <v>6534.9343583999998</v>
      </c>
      <c r="AH2" s="9">
        <f>Table1[[#This Row],[Total Elec Source MMBTU]]+Table1[[#This Row],[Grid NG Non-EG01 Source MMBTU]]</f>
        <v>6534.9343583999998</v>
      </c>
      <c r="AI2" s="9">
        <f>Table1[Total Energy Source MMBTU]+Table1[LS85 Grid Elec Source (MMBTU)]</f>
        <v>9810.5906783999999</v>
      </c>
      <c r="AJ2" s="8"/>
      <c r="AK2" s="8"/>
      <c r="AL2" s="8"/>
    </row>
    <row r="3" spans="1:38" x14ac:dyDescent="0.3">
      <c r="A3" s="9" t="s">
        <v>36</v>
      </c>
      <c r="B3" s="9">
        <v>701400</v>
      </c>
      <c r="C3" s="9">
        <f>Table1[Grid Elec kWh]*0.003412142*3</f>
        <v>7179.8291964</v>
      </c>
      <c r="D3" s="9">
        <f>Table1[Grid Elec kWh]*0.003412142</f>
        <v>2393.2763988000002</v>
      </c>
      <c r="E3" s="9">
        <v>0</v>
      </c>
      <c r="F3" s="9">
        <v>0</v>
      </c>
      <c r="G3" s="9">
        <f t="shared" ref="G3:G66" si="2">C3+F3</f>
        <v>7179.8291964</v>
      </c>
      <c r="H3" s="9">
        <v>297800</v>
      </c>
      <c r="I3" s="9">
        <f t="shared" si="0"/>
        <v>3048.4076627999998</v>
      </c>
      <c r="J3" s="9">
        <f t="shared" si="1"/>
        <v>1016.1358875999999</v>
      </c>
      <c r="K3" s="9">
        <v>16.579999999999998</v>
      </c>
      <c r="L3" s="9">
        <f>Table1[Flow (MGD)]-MIN(Table1[Flow (MGD)])</f>
        <v>4.5769999999999982</v>
      </c>
      <c r="M3" s="9">
        <v>148</v>
      </c>
      <c r="N3" s="9">
        <f>Table1[BOD (mg/L)]-MIN(Table1[BOD (mg/L)])</f>
        <v>92.853333333333325</v>
      </c>
      <c r="O3" s="9">
        <v>0.19625000000000001</v>
      </c>
      <c r="P3" s="9">
        <v>6.28</v>
      </c>
      <c r="Q3" s="9">
        <v>31</v>
      </c>
      <c r="R3" s="9">
        <f>Table1[Billing Days]-MIN(Table1[Billing Days])</f>
        <v>3</v>
      </c>
      <c r="S3" s="9">
        <v>2015</v>
      </c>
      <c r="T3" s="9">
        <v>2015</v>
      </c>
      <c r="U3" s="9">
        <v>54042.5</v>
      </c>
      <c r="V3" s="9">
        <v>26.6</v>
      </c>
      <c r="W3" s="9">
        <v>25249.64</v>
      </c>
      <c r="X3" s="9">
        <f t="shared" ref="X3:X66" si="3">U3+V3+W3</f>
        <v>79318.739999999991</v>
      </c>
      <c r="Y3" s="9">
        <v>90</v>
      </c>
      <c r="Z3" s="9">
        <v>28</v>
      </c>
      <c r="AA3" s="9">
        <v>0</v>
      </c>
      <c r="AB3" s="9">
        <v>0</v>
      </c>
      <c r="AC3" s="9">
        <f>AA3+B3</f>
        <v>701400</v>
      </c>
      <c r="AD3" s="9">
        <f>Table1[Total kWh]*0.003412142*3</f>
        <v>7179.8291964</v>
      </c>
      <c r="AE3" s="9">
        <v>0</v>
      </c>
      <c r="AF3" s="9">
        <v>0</v>
      </c>
      <c r="AG3" s="9">
        <f>Table1[[#This Row],[Grid Elec Source (MMBTU)]]+Table1[[#This Row],[Generated Elec Source (MMBtu)]]</f>
        <v>7179.8291964</v>
      </c>
      <c r="AH3" s="9">
        <f>Table1[[#This Row],[Total Elec Source MMBTU]]+Table1[[#This Row],[Grid NG Non-EG01 Source MMBTU]]</f>
        <v>7179.8291964</v>
      </c>
      <c r="AI3" s="9">
        <f>Table1[Total Energy Source MMBTU]+Table1[LS85 Grid Elec Source (MMBTU)]</f>
        <v>10228.2368592</v>
      </c>
      <c r="AJ3" s="8"/>
      <c r="AK3" s="8"/>
      <c r="AL3" s="8"/>
    </row>
    <row r="4" spans="1:38" x14ac:dyDescent="0.3">
      <c r="A4" s="9" t="s">
        <v>37</v>
      </c>
      <c r="B4" s="9">
        <v>634800</v>
      </c>
      <c r="C4" s="9">
        <f>Table1[Grid Elec kWh]*0.003412142*3</f>
        <v>6498.0832247999997</v>
      </c>
      <c r="D4" s="9">
        <f>Table1[Grid Elec kWh]*0.003412142</f>
        <v>2166.0277415999999</v>
      </c>
      <c r="E4" s="9">
        <v>0</v>
      </c>
      <c r="F4" s="9">
        <v>0</v>
      </c>
      <c r="G4" s="9">
        <f t="shared" si="2"/>
        <v>6498.0832247999997</v>
      </c>
      <c r="H4" s="9">
        <v>308000</v>
      </c>
      <c r="I4" s="9">
        <f t="shared" si="0"/>
        <v>3152.8192079999999</v>
      </c>
      <c r="J4" s="9">
        <f t="shared" si="1"/>
        <v>1050.939736</v>
      </c>
      <c r="K4" s="9">
        <v>15.18</v>
      </c>
      <c r="L4" s="9">
        <f>Table1[Flow (MGD)]-MIN(Table1[Flow (MGD)])</f>
        <v>3.1769999999999996</v>
      </c>
      <c r="M4" s="9">
        <v>159</v>
      </c>
      <c r="N4" s="9">
        <f>Table1[BOD (mg/L)]-MIN(Table1[BOD (mg/L)])</f>
        <v>103.85333333333332</v>
      </c>
      <c r="O4" s="9">
        <v>2.0330000000000001E-2</v>
      </c>
      <c r="P4" s="9">
        <v>0.61</v>
      </c>
      <c r="Q4" s="9">
        <v>29</v>
      </c>
      <c r="R4" s="9">
        <f>Table1[Billing Days]-MIN(Table1[Billing Days])</f>
        <v>1</v>
      </c>
      <c r="S4" s="9">
        <v>2015</v>
      </c>
      <c r="T4" s="9">
        <v>2015</v>
      </c>
      <c r="U4" s="9">
        <v>54333.760000000002</v>
      </c>
      <c r="V4" s="9">
        <v>26.6</v>
      </c>
      <c r="W4" s="9">
        <v>26132.74</v>
      </c>
      <c r="X4" s="9">
        <f t="shared" si="3"/>
        <v>80493.100000000006</v>
      </c>
      <c r="Y4" s="9">
        <v>0</v>
      </c>
      <c r="Z4" s="9">
        <v>319</v>
      </c>
      <c r="AA4" s="9">
        <v>0</v>
      </c>
      <c r="AB4" s="9">
        <v>0</v>
      </c>
      <c r="AC4" s="9">
        <f>AA4+B4</f>
        <v>634800</v>
      </c>
      <c r="AD4" s="9">
        <f>Table1[Total kWh]*0.003412142*3</f>
        <v>6498.0832247999997</v>
      </c>
      <c r="AE4" s="9">
        <v>0</v>
      </c>
      <c r="AF4" s="9">
        <v>0</v>
      </c>
      <c r="AG4" s="9">
        <f>Table1[[#This Row],[Grid Elec Source (MMBTU)]]+Table1[[#This Row],[Generated Elec Source (MMBtu)]]</f>
        <v>6498.0832247999997</v>
      </c>
      <c r="AH4" s="9">
        <f>Table1[[#This Row],[Total Elec Source MMBTU]]+Table1[[#This Row],[Grid NG Non-EG01 Source MMBTU]]</f>
        <v>6498.0832247999997</v>
      </c>
      <c r="AI4" s="9">
        <f>Table1[Total Energy Source MMBTU]+Table1[LS85 Grid Elec Source (MMBTU)]</f>
        <v>9650.9024327999996</v>
      </c>
      <c r="AJ4" s="8"/>
      <c r="AK4" s="8"/>
      <c r="AL4" s="8"/>
    </row>
    <row r="5" spans="1:38" x14ac:dyDescent="0.3">
      <c r="A5" s="9" t="s">
        <v>38</v>
      </c>
      <c r="B5" s="9">
        <v>649200</v>
      </c>
      <c r="C5" s="9">
        <f>Table1[Grid Elec kWh]*0.003412142*3</f>
        <v>6645.4877591999993</v>
      </c>
      <c r="D5" s="9">
        <f>Table1[Grid Elec kWh]*0.003412142</f>
        <v>2215.1625863999998</v>
      </c>
      <c r="E5" s="9">
        <v>0</v>
      </c>
      <c r="F5" s="9">
        <v>0</v>
      </c>
      <c r="G5" s="9">
        <f t="shared" si="2"/>
        <v>6645.4877591999993</v>
      </c>
      <c r="H5" s="9">
        <v>217200</v>
      </c>
      <c r="I5" s="9">
        <f t="shared" si="0"/>
        <v>2223.3517271999999</v>
      </c>
      <c r="J5" s="9">
        <f t="shared" si="1"/>
        <v>741.11724240000001</v>
      </c>
      <c r="K5" s="9">
        <v>14.61</v>
      </c>
      <c r="L5" s="9">
        <f>Table1[Flow (MGD)]-MIN(Table1[Flow (MGD)])</f>
        <v>2.6069999999999993</v>
      </c>
      <c r="M5" s="9">
        <v>169</v>
      </c>
      <c r="N5" s="9">
        <f>Table1[BOD (mg/L)]-MIN(Table1[BOD (mg/L)])</f>
        <v>113.85333333333332</v>
      </c>
      <c r="O5" s="9">
        <v>7.3870900000000003E-2</v>
      </c>
      <c r="P5" s="9">
        <v>2.29</v>
      </c>
      <c r="Q5" s="9">
        <v>30</v>
      </c>
      <c r="R5" s="9">
        <f>Table1[Billing Days]-MIN(Table1[Billing Days])</f>
        <v>2</v>
      </c>
      <c r="S5" s="9">
        <v>2015</v>
      </c>
      <c r="T5" s="9">
        <v>2015</v>
      </c>
      <c r="U5" s="9">
        <v>57365.64</v>
      </c>
      <c r="V5" s="9">
        <v>26.6</v>
      </c>
      <c r="W5" s="9">
        <v>21663.940000000002</v>
      </c>
      <c r="X5" s="9">
        <f t="shared" si="3"/>
        <v>79056.179999999993</v>
      </c>
      <c r="Y5" s="9">
        <v>0</v>
      </c>
      <c r="Z5" s="9">
        <v>470</v>
      </c>
      <c r="AA5" s="9">
        <v>0</v>
      </c>
      <c r="AB5" s="9">
        <v>0</v>
      </c>
      <c r="AC5" s="9">
        <f>AA5+B5</f>
        <v>649200</v>
      </c>
      <c r="AD5" s="9">
        <f>Table1[Total kWh]*0.003412142*3</f>
        <v>6645.4877591999993</v>
      </c>
      <c r="AE5" s="9">
        <v>0</v>
      </c>
      <c r="AF5" s="9">
        <v>0</v>
      </c>
      <c r="AG5" s="9">
        <f>Table1[[#This Row],[Grid Elec Source (MMBTU)]]+Table1[[#This Row],[Generated Elec Source (MMBtu)]]</f>
        <v>6645.4877591999993</v>
      </c>
      <c r="AH5" s="9">
        <f>Table1[[#This Row],[Total Elec Source MMBTU]]+Table1[[#This Row],[Grid NG Non-EG01 Source MMBTU]]</f>
        <v>6645.4877591999993</v>
      </c>
      <c r="AI5" s="9">
        <f>Table1[Total Energy Source MMBTU]+Table1[LS85 Grid Elec Source (MMBTU)]</f>
        <v>8868.8394864000002</v>
      </c>
      <c r="AJ5" s="8"/>
      <c r="AK5" s="8"/>
      <c r="AL5" s="8"/>
    </row>
    <row r="6" spans="1:38" x14ac:dyDescent="0.3">
      <c r="A6" s="9" t="s">
        <v>39</v>
      </c>
      <c r="B6" s="9">
        <v>675000</v>
      </c>
      <c r="C6" s="9">
        <f>Table1[Grid Elec kWh]*0.003412142*3</f>
        <v>6909.5875500000002</v>
      </c>
      <c r="D6" s="9">
        <f>Table1[Grid Elec kWh]*0.003412142</f>
        <v>2303.1958500000001</v>
      </c>
      <c r="E6" s="9">
        <v>0</v>
      </c>
      <c r="F6" s="9">
        <v>0</v>
      </c>
      <c r="G6" s="9">
        <f t="shared" si="2"/>
        <v>6909.5875500000002</v>
      </c>
      <c r="H6" s="9">
        <v>137000</v>
      </c>
      <c r="I6" s="9">
        <f t="shared" si="0"/>
        <v>1402.3903620000001</v>
      </c>
      <c r="J6" s="9">
        <f t="shared" si="1"/>
        <v>467.46345400000001</v>
      </c>
      <c r="K6" s="9">
        <v>14.31</v>
      </c>
      <c r="L6" s="9">
        <f>Table1[Flow (MGD)]-MIN(Table1[Flow (MGD)])</f>
        <v>2.3070000000000004</v>
      </c>
      <c r="M6" s="9">
        <v>167</v>
      </c>
      <c r="N6" s="9">
        <f>Table1[BOD (mg/L)]-MIN(Table1[BOD (mg/L)])</f>
        <v>111.85333333333332</v>
      </c>
      <c r="O6" s="9">
        <v>0.121515</v>
      </c>
      <c r="P6" s="9">
        <v>4.01</v>
      </c>
      <c r="Q6" s="9">
        <v>32</v>
      </c>
      <c r="R6" s="9">
        <f>Table1[Billing Days]-MIN(Table1[Billing Days])</f>
        <v>4</v>
      </c>
      <c r="S6" s="9">
        <v>2015</v>
      </c>
      <c r="T6" s="9">
        <v>2015</v>
      </c>
      <c r="U6" s="9">
        <v>56591.66</v>
      </c>
      <c r="V6" s="9">
        <v>26.6</v>
      </c>
      <c r="W6" s="9">
        <v>10306.01</v>
      </c>
      <c r="X6" s="9">
        <f t="shared" si="3"/>
        <v>66924.27</v>
      </c>
      <c r="Y6" s="9">
        <v>0</v>
      </c>
      <c r="Z6" s="9">
        <v>582</v>
      </c>
      <c r="AA6" s="9">
        <v>0</v>
      </c>
      <c r="AB6" s="9">
        <v>0</v>
      </c>
      <c r="AC6" s="9">
        <f>AA6+B6</f>
        <v>675000</v>
      </c>
      <c r="AD6" s="9">
        <f>Table1[Total kWh]*0.003412142*3</f>
        <v>6909.5875500000002</v>
      </c>
      <c r="AE6" s="9">
        <v>0</v>
      </c>
      <c r="AF6" s="9">
        <v>0</v>
      </c>
      <c r="AG6" s="9">
        <f>Table1[[#This Row],[Grid Elec Source (MMBTU)]]+Table1[[#This Row],[Generated Elec Source (MMBtu)]]</f>
        <v>6909.5875500000002</v>
      </c>
      <c r="AH6" s="9">
        <f>Table1[[#This Row],[Total Elec Source MMBTU]]+Table1[[#This Row],[Grid NG Non-EG01 Source MMBTU]]</f>
        <v>6909.5875500000002</v>
      </c>
      <c r="AI6" s="9">
        <f>Table1[Total Energy Source MMBTU]+Table1[LS85 Grid Elec Source (MMBTU)]</f>
        <v>8311.9779120000003</v>
      </c>
      <c r="AJ6" s="8"/>
      <c r="AK6" s="8"/>
      <c r="AL6" s="8"/>
    </row>
    <row r="7" spans="1:38" x14ac:dyDescent="0.3">
      <c r="A7" s="9" t="s">
        <v>40</v>
      </c>
      <c r="B7" s="9">
        <v>676800</v>
      </c>
      <c r="C7" s="9">
        <f>Table1[Grid Elec kWh]*0.003412142*3</f>
        <v>6928.0131167999998</v>
      </c>
      <c r="D7" s="9">
        <f>Table1[Grid Elec kWh]*0.003412142</f>
        <v>2309.3377055999999</v>
      </c>
      <c r="E7" s="9">
        <v>0</v>
      </c>
      <c r="F7" s="9">
        <v>0</v>
      </c>
      <c r="G7" s="9">
        <f t="shared" si="2"/>
        <v>6928.0131167999998</v>
      </c>
      <c r="H7" s="9">
        <v>122800</v>
      </c>
      <c r="I7" s="9">
        <f t="shared" si="0"/>
        <v>1257.0331128</v>
      </c>
      <c r="J7" s="9">
        <f t="shared" si="1"/>
        <v>419.01103760000001</v>
      </c>
      <c r="K7" s="9">
        <v>15.16</v>
      </c>
      <c r="L7" s="9">
        <f>Table1[Flow (MGD)]-MIN(Table1[Flow (MGD)])</f>
        <v>3.157</v>
      </c>
      <c r="M7" s="9">
        <v>165</v>
      </c>
      <c r="N7" s="9">
        <f>Table1[BOD (mg/L)]-MIN(Table1[BOD (mg/L)])</f>
        <v>109.85333333333332</v>
      </c>
      <c r="O7" s="9">
        <v>0.18132999999999999</v>
      </c>
      <c r="P7" s="9">
        <v>5.44</v>
      </c>
      <c r="Q7" s="9">
        <v>29</v>
      </c>
      <c r="R7" s="9">
        <f>Table1[Billing Days]-MIN(Table1[Billing Days])</f>
        <v>1</v>
      </c>
      <c r="S7" s="9">
        <v>2015</v>
      </c>
      <c r="T7" s="9">
        <v>2015</v>
      </c>
      <c r="U7" s="9">
        <v>57650.03</v>
      </c>
      <c r="V7" s="9">
        <v>26.6</v>
      </c>
      <c r="W7" s="9">
        <v>9996.6200000000008</v>
      </c>
      <c r="X7" s="9">
        <f t="shared" si="3"/>
        <v>67673.25</v>
      </c>
      <c r="Y7" s="9">
        <v>0</v>
      </c>
      <c r="Z7" s="9">
        <v>623</v>
      </c>
      <c r="AA7" s="9">
        <v>0</v>
      </c>
      <c r="AB7" s="9">
        <v>0</v>
      </c>
      <c r="AC7" s="9">
        <f>AA7+B7</f>
        <v>676800</v>
      </c>
      <c r="AD7" s="9">
        <f>Table1[Total kWh]*0.003412142*3</f>
        <v>6928.0131167999998</v>
      </c>
      <c r="AE7" s="9">
        <v>0</v>
      </c>
      <c r="AF7" s="9">
        <v>0</v>
      </c>
      <c r="AG7" s="9">
        <f>Table1[[#This Row],[Grid Elec Source (MMBTU)]]+Table1[[#This Row],[Generated Elec Source (MMBtu)]]</f>
        <v>6928.0131167999998</v>
      </c>
      <c r="AH7" s="9">
        <f>Table1[[#This Row],[Total Elec Source MMBTU]]+Table1[[#This Row],[Grid NG Non-EG01 Source MMBTU]]</f>
        <v>6928.0131167999998</v>
      </c>
      <c r="AI7" s="9">
        <f>Table1[Total Energy Source MMBTU]+Table1[LS85 Grid Elec Source (MMBTU)]</f>
        <v>8185.0462295999996</v>
      </c>
      <c r="AJ7" s="8"/>
      <c r="AK7" s="8"/>
      <c r="AL7" s="8"/>
    </row>
    <row r="8" spans="1:38" x14ac:dyDescent="0.3">
      <c r="A8" s="9" t="s">
        <v>41</v>
      </c>
      <c r="B8" s="9">
        <v>826800</v>
      </c>
      <c r="C8" s="9">
        <f>Table1[Grid Elec kWh]*0.003412142*3</f>
        <v>8463.4770167999995</v>
      </c>
      <c r="D8" s="9">
        <f>Table1[Grid Elec kWh]*0.003412142</f>
        <v>2821.1590056</v>
      </c>
      <c r="E8" s="9">
        <v>0</v>
      </c>
      <c r="F8" s="9">
        <v>0</v>
      </c>
      <c r="G8" s="9">
        <f t="shared" si="2"/>
        <v>8463.4770167999995</v>
      </c>
      <c r="H8" s="9">
        <v>148000</v>
      </c>
      <c r="I8" s="9">
        <f t="shared" si="0"/>
        <v>1514.9910479999999</v>
      </c>
      <c r="J8" s="9">
        <f t="shared" si="1"/>
        <v>504.99701599999997</v>
      </c>
      <c r="K8" s="9">
        <v>20.97</v>
      </c>
      <c r="L8" s="9">
        <f>Table1[Flow (MGD)]-MIN(Table1[Flow (MGD)])</f>
        <v>8.9669999999999987</v>
      </c>
      <c r="M8" s="9">
        <v>126</v>
      </c>
      <c r="N8" s="9">
        <f>Table1[BOD (mg/L)]-MIN(Table1[BOD (mg/L)])</f>
        <v>70.853333333333325</v>
      </c>
      <c r="O8" s="9">
        <v>0.34125</v>
      </c>
      <c r="P8" s="9">
        <v>10.92</v>
      </c>
      <c r="Q8" s="9">
        <v>31</v>
      </c>
      <c r="R8" s="9">
        <f>Table1[Billing Days]-MIN(Table1[Billing Days])</f>
        <v>3</v>
      </c>
      <c r="S8" s="9">
        <v>2015</v>
      </c>
      <c r="T8" s="9">
        <v>2015</v>
      </c>
      <c r="U8" s="9">
        <v>74300.67</v>
      </c>
      <c r="V8" s="9">
        <v>26.6</v>
      </c>
      <c r="W8" s="9">
        <v>17861.86</v>
      </c>
      <c r="X8" s="9">
        <f t="shared" si="3"/>
        <v>92189.13</v>
      </c>
      <c r="Y8" s="9">
        <v>0</v>
      </c>
      <c r="Z8" s="9">
        <v>631</v>
      </c>
      <c r="AA8" s="9">
        <v>0</v>
      </c>
      <c r="AB8" s="9">
        <v>0</v>
      </c>
      <c r="AC8" s="9">
        <f>AA8+B8</f>
        <v>826800</v>
      </c>
      <c r="AD8" s="9">
        <f>Table1[Total kWh]*0.003412142*3</f>
        <v>8463.4770167999995</v>
      </c>
      <c r="AE8" s="9">
        <v>0</v>
      </c>
      <c r="AF8" s="9">
        <v>0</v>
      </c>
      <c r="AG8" s="9">
        <f>Table1[[#This Row],[Grid Elec Source (MMBTU)]]+Table1[[#This Row],[Generated Elec Source (MMBtu)]]</f>
        <v>8463.4770167999995</v>
      </c>
      <c r="AH8" s="9">
        <f>Table1[[#This Row],[Total Elec Source MMBTU]]+Table1[[#This Row],[Grid NG Non-EG01 Source MMBTU]]</f>
        <v>8463.4770167999995</v>
      </c>
      <c r="AI8" s="9">
        <f>Table1[Total Energy Source MMBTU]+Table1[LS85 Grid Elec Source (MMBTU)]</f>
        <v>9978.4680647999994</v>
      </c>
      <c r="AJ8" s="8"/>
      <c r="AK8" s="8"/>
      <c r="AL8" s="8"/>
    </row>
    <row r="9" spans="1:38" x14ac:dyDescent="0.3">
      <c r="A9" s="9" t="s">
        <v>42</v>
      </c>
      <c r="B9" s="9">
        <v>1020000</v>
      </c>
      <c r="C9" s="9">
        <f>Table1[Grid Elec kWh]*0.003412142*3</f>
        <v>10441.15452</v>
      </c>
      <c r="D9" s="9">
        <f>Table1[Grid Elec kWh]*0.003412142</f>
        <v>3480.3848400000002</v>
      </c>
      <c r="E9" s="9">
        <v>0.1</v>
      </c>
      <c r="F9" s="9">
        <v>0.1</v>
      </c>
      <c r="G9" s="9">
        <f t="shared" si="2"/>
        <v>10441.25452</v>
      </c>
      <c r="H9" s="9">
        <v>309600</v>
      </c>
      <c r="I9" s="9">
        <f t="shared" si="0"/>
        <v>3169.1974896000002</v>
      </c>
      <c r="J9" s="9">
        <f t="shared" si="1"/>
        <v>1056.3991632</v>
      </c>
      <c r="K9" s="9">
        <v>30.5</v>
      </c>
      <c r="L9" s="9">
        <f>Table1[Flow (MGD)]-MIN(Table1[Flow (MGD)])</f>
        <v>18.497</v>
      </c>
      <c r="M9" s="9">
        <v>73</v>
      </c>
      <c r="N9" s="9">
        <f>Table1[BOD (mg/L)]-MIN(Table1[BOD (mg/L)])</f>
        <v>17.853333333333332</v>
      </c>
      <c r="O9" s="9">
        <v>0.30625000000000002</v>
      </c>
      <c r="P9" s="9">
        <v>9.8000000000000007</v>
      </c>
      <c r="Q9" s="9">
        <v>31</v>
      </c>
      <c r="R9" s="9">
        <f>Table1[Billing Days]-MIN(Table1[Billing Days])</f>
        <v>3</v>
      </c>
      <c r="S9" s="9">
        <v>2015</v>
      </c>
      <c r="T9" s="9">
        <v>2015</v>
      </c>
      <c r="U9" s="9">
        <v>86431.29</v>
      </c>
      <c r="V9" s="9">
        <v>27.44</v>
      </c>
      <c r="W9" s="9">
        <v>32563.550000000003</v>
      </c>
      <c r="X9" s="9">
        <f t="shared" si="3"/>
        <v>119022.28</v>
      </c>
      <c r="Y9" s="9">
        <v>0</v>
      </c>
      <c r="Z9" s="9">
        <v>667</v>
      </c>
      <c r="AA9" s="9">
        <v>0</v>
      </c>
      <c r="AB9" s="9">
        <v>0</v>
      </c>
      <c r="AC9" s="9">
        <f>AA9+B9</f>
        <v>1020000</v>
      </c>
      <c r="AD9" s="9">
        <f>Table1[Total kWh]*0.003412142*3</f>
        <v>10441.15452</v>
      </c>
      <c r="AE9" s="9">
        <v>0</v>
      </c>
      <c r="AF9" s="9">
        <v>0.1</v>
      </c>
      <c r="AG9" s="9">
        <f>Table1[[#This Row],[Grid Elec Source (MMBTU)]]+Table1[[#This Row],[Generated Elec Source (MMBtu)]]</f>
        <v>10441.15452</v>
      </c>
      <c r="AH9" s="9">
        <f>Table1[[#This Row],[Total Elec Source MMBTU]]+Table1[[#This Row],[Grid NG Non-EG01 Source MMBTU]]</f>
        <v>10441.25452</v>
      </c>
      <c r="AI9" s="9">
        <f>Table1[Total Energy Source MMBTU]+Table1[LS85 Grid Elec Source (MMBTU)]</f>
        <v>13610.452009600001</v>
      </c>
      <c r="AJ9" s="8"/>
      <c r="AK9" s="8"/>
      <c r="AL9" s="8"/>
    </row>
    <row r="10" spans="1:38" x14ac:dyDescent="0.3">
      <c r="A10" s="9" t="s">
        <v>43</v>
      </c>
      <c r="B10" s="9">
        <v>936600</v>
      </c>
      <c r="C10" s="9">
        <f>Table1[Grid Elec kWh]*0.003412142*3</f>
        <v>9587.4365915999988</v>
      </c>
      <c r="D10" s="9">
        <f>Table1[Grid Elec kWh]*0.003412142</f>
        <v>3195.8121971999999</v>
      </c>
      <c r="E10" s="9">
        <v>0</v>
      </c>
      <c r="F10" s="9">
        <v>0</v>
      </c>
      <c r="G10" s="9">
        <f t="shared" si="2"/>
        <v>9587.4365915999988</v>
      </c>
      <c r="H10" s="9">
        <v>231000</v>
      </c>
      <c r="I10" s="9">
        <f t="shared" si="0"/>
        <v>2364.6144059999997</v>
      </c>
      <c r="J10" s="9">
        <f t="shared" si="1"/>
        <v>788.20480199999997</v>
      </c>
      <c r="K10" s="9">
        <v>25.808064516129029</v>
      </c>
      <c r="L10" s="9">
        <f>Table1[Flow (MGD)]-MIN(Table1[Flow (MGD)])</f>
        <v>13.805064516129029</v>
      </c>
      <c r="M10" s="9">
        <v>85.951612903225808</v>
      </c>
      <c r="N10" s="9">
        <f>Table1[BOD (mg/L)]-MIN(Table1[BOD (mg/L)])</f>
        <v>30.80494623655914</v>
      </c>
      <c r="O10" s="9">
        <v>0.1667741935483871</v>
      </c>
      <c r="P10" s="9">
        <v>5.17</v>
      </c>
      <c r="Q10" s="9">
        <v>30</v>
      </c>
      <c r="R10" s="9">
        <f>Table1[Billing Days]-MIN(Table1[Billing Days])</f>
        <v>2</v>
      </c>
      <c r="S10" s="9">
        <v>2015</v>
      </c>
      <c r="T10" s="9">
        <v>2015</v>
      </c>
      <c r="U10" s="9">
        <v>81752.100000000006</v>
      </c>
      <c r="V10" s="9">
        <v>26.6</v>
      </c>
      <c r="W10" s="9">
        <v>22349.74</v>
      </c>
      <c r="X10" s="9">
        <f t="shared" si="3"/>
        <v>104128.44000000002</v>
      </c>
      <c r="Y10" s="9">
        <v>0</v>
      </c>
      <c r="Z10" s="9">
        <v>618</v>
      </c>
      <c r="AA10" s="9">
        <v>0</v>
      </c>
      <c r="AB10" s="9">
        <v>0</v>
      </c>
      <c r="AC10" s="9">
        <f>AA10+B10</f>
        <v>936600</v>
      </c>
      <c r="AD10" s="9">
        <f>Table1[Total kWh]*0.003412142*3</f>
        <v>9587.4365915999988</v>
      </c>
      <c r="AE10" s="9">
        <v>0</v>
      </c>
      <c r="AF10" s="9">
        <v>0</v>
      </c>
      <c r="AG10" s="9">
        <f>Table1[[#This Row],[Grid Elec Source (MMBTU)]]+Table1[[#This Row],[Generated Elec Source (MMBtu)]]</f>
        <v>9587.4365915999988</v>
      </c>
      <c r="AH10" s="9">
        <f>Table1[[#This Row],[Total Elec Source MMBTU]]+Table1[[#This Row],[Grid NG Non-EG01 Source MMBTU]]</f>
        <v>9587.4365915999988</v>
      </c>
      <c r="AI10" s="9">
        <f>Table1[Total Energy Source MMBTU]+Table1[LS85 Grid Elec Source (MMBTU)]</f>
        <v>11952.050997599999</v>
      </c>
      <c r="AJ10" s="8"/>
      <c r="AK10" s="8"/>
      <c r="AL10" s="8"/>
    </row>
    <row r="11" spans="1:38" x14ac:dyDescent="0.3">
      <c r="A11" s="9" t="s">
        <v>44</v>
      </c>
      <c r="B11" s="9">
        <v>692400</v>
      </c>
      <c r="C11" s="9">
        <f>Table1[Grid Elec kWh]*0.003412142*3</f>
        <v>7087.7013623999992</v>
      </c>
      <c r="D11" s="9">
        <f>Table1[Grid Elec kWh]*0.003412142</f>
        <v>2362.5671207999999</v>
      </c>
      <c r="E11" s="9">
        <v>0.1</v>
      </c>
      <c r="F11" s="9">
        <v>0.1</v>
      </c>
      <c r="G11" s="9">
        <f t="shared" si="2"/>
        <v>7087.8013623999996</v>
      </c>
      <c r="H11" s="9">
        <v>145000</v>
      </c>
      <c r="I11" s="9">
        <f t="shared" si="0"/>
        <v>1484.2817700000001</v>
      </c>
      <c r="J11" s="9">
        <f t="shared" si="1"/>
        <v>494.76058999999998</v>
      </c>
      <c r="K11" s="9">
        <v>18.425999999999995</v>
      </c>
      <c r="L11" s="9">
        <f>Table1[Flow (MGD)]-MIN(Table1[Flow (MGD)])</f>
        <v>6.4229999999999947</v>
      </c>
      <c r="M11" s="9">
        <v>136.15</v>
      </c>
      <c r="N11" s="9">
        <f>Table1[BOD (mg/L)]-MIN(Table1[BOD (mg/L)])</f>
        <v>81.00333333333333</v>
      </c>
      <c r="O11" s="9">
        <v>5.7666666666666665E-2</v>
      </c>
      <c r="P11" s="9">
        <v>1.73</v>
      </c>
      <c r="Q11" s="9">
        <v>29</v>
      </c>
      <c r="R11" s="9">
        <f>Table1[Billing Days]-MIN(Table1[Billing Days])</f>
        <v>1</v>
      </c>
      <c r="S11" s="9">
        <v>2015</v>
      </c>
      <c r="T11" s="9">
        <v>2016</v>
      </c>
      <c r="U11" s="9">
        <v>59564.3</v>
      </c>
      <c r="V11" s="9">
        <v>27.37</v>
      </c>
      <c r="W11" s="9">
        <v>13546.41</v>
      </c>
      <c r="X11" s="9">
        <f t="shared" si="3"/>
        <v>73138.080000000002</v>
      </c>
      <c r="Y11" s="9">
        <v>0</v>
      </c>
      <c r="Z11" s="9">
        <v>500</v>
      </c>
      <c r="AA11" s="9">
        <v>0</v>
      </c>
      <c r="AB11" s="9">
        <v>0</v>
      </c>
      <c r="AC11" s="9">
        <f>AA11+B11</f>
        <v>692400</v>
      </c>
      <c r="AD11" s="9">
        <f>Table1[Total kWh]*0.003412142*3</f>
        <v>7087.7013623999992</v>
      </c>
      <c r="AE11" s="9">
        <v>0</v>
      </c>
      <c r="AF11" s="9">
        <v>0.1</v>
      </c>
      <c r="AG11" s="9">
        <f>Table1[[#This Row],[Grid Elec Source (MMBTU)]]+Table1[[#This Row],[Generated Elec Source (MMBtu)]]</f>
        <v>7087.7013623999992</v>
      </c>
      <c r="AH11" s="9">
        <f>Table1[[#This Row],[Total Elec Source MMBTU]]+Table1[[#This Row],[Grid NG Non-EG01 Source MMBTU]]</f>
        <v>7087.8013623999996</v>
      </c>
      <c r="AI11" s="9">
        <f>Table1[Total Energy Source MMBTU]+Table1[LS85 Grid Elec Source (MMBTU)]</f>
        <v>8572.0831323999992</v>
      </c>
      <c r="AJ11" s="8"/>
      <c r="AK11" s="8"/>
      <c r="AL11" s="8"/>
    </row>
    <row r="12" spans="1:38" x14ac:dyDescent="0.3">
      <c r="A12" s="9" t="s">
        <v>45</v>
      </c>
      <c r="B12" s="9">
        <v>801000</v>
      </c>
      <c r="C12" s="9">
        <f>Table1[Grid Elec kWh]*0.003412142*3</f>
        <v>8199.3772260000005</v>
      </c>
      <c r="D12" s="9">
        <f>Table1[Grid Elec kWh]*0.003412142</f>
        <v>2733.1257420000002</v>
      </c>
      <c r="E12" s="9">
        <v>0</v>
      </c>
      <c r="F12" s="9">
        <v>0</v>
      </c>
      <c r="G12" s="9">
        <f t="shared" si="2"/>
        <v>8199.3772260000005</v>
      </c>
      <c r="H12" s="9">
        <v>149000</v>
      </c>
      <c r="I12" s="9">
        <f t="shared" si="0"/>
        <v>1525.227474</v>
      </c>
      <c r="J12" s="9">
        <f t="shared" si="1"/>
        <v>508.40915799999999</v>
      </c>
      <c r="K12" s="9">
        <v>16.60705882352941</v>
      </c>
      <c r="L12" s="9">
        <f>Table1[Flow (MGD)]-MIN(Table1[Flow (MGD)])</f>
        <v>4.6040588235294102</v>
      </c>
      <c r="M12" s="9">
        <v>150.29411764705881</v>
      </c>
      <c r="N12" s="9">
        <f>Table1[BOD (mg/L)]-MIN(Table1[BOD (mg/L)])</f>
        <v>95.147450980392136</v>
      </c>
      <c r="O12" s="9">
        <v>4.2941176470588233E-2</v>
      </c>
      <c r="P12" s="9">
        <v>1.46</v>
      </c>
      <c r="Q12" s="9">
        <v>33</v>
      </c>
      <c r="R12" s="9">
        <f>Table1[Billing Days]-MIN(Table1[Billing Days])</f>
        <v>5</v>
      </c>
      <c r="S12" s="9">
        <v>2015</v>
      </c>
      <c r="T12" s="9">
        <v>2016</v>
      </c>
      <c r="U12" s="9">
        <v>64091.13</v>
      </c>
      <c r="V12" s="9">
        <v>26.6</v>
      </c>
      <c r="W12" s="9">
        <v>15434.26</v>
      </c>
      <c r="X12" s="9">
        <f t="shared" si="3"/>
        <v>79551.989999999991</v>
      </c>
      <c r="Y12" s="9">
        <v>3</v>
      </c>
      <c r="Z12" s="9">
        <v>368</v>
      </c>
      <c r="AA12" s="9">
        <v>0</v>
      </c>
      <c r="AB12" s="9">
        <v>0</v>
      </c>
      <c r="AC12" s="9">
        <f>AA12+B12</f>
        <v>801000</v>
      </c>
      <c r="AD12" s="9">
        <f>Table1[Total kWh]*0.003412142*3</f>
        <v>8199.3772260000005</v>
      </c>
      <c r="AE12" s="9">
        <v>0</v>
      </c>
      <c r="AF12" s="9">
        <v>0</v>
      </c>
      <c r="AG12" s="9">
        <f>Table1[[#This Row],[Grid Elec Source (MMBTU)]]+Table1[[#This Row],[Generated Elec Source (MMBtu)]]</f>
        <v>8199.3772260000005</v>
      </c>
      <c r="AH12" s="9">
        <f>Table1[[#This Row],[Total Elec Source MMBTU]]+Table1[[#This Row],[Grid NG Non-EG01 Source MMBTU]]</f>
        <v>8199.3772260000005</v>
      </c>
      <c r="AI12" s="9">
        <f>Table1[Total Energy Source MMBTU]+Table1[LS85 Grid Elec Source (MMBTU)]</f>
        <v>9724.6046999999999</v>
      </c>
      <c r="AJ12" s="8"/>
      <c r="AK12" s="8"/>
      <c r="AL12" s="8"/>
    </row>
    <row r="13" spans="1:38" x14ac:dyDescent="0.3">
      <c r="A13" s="9" t="s">
        <v>46</v>
      </c>
      <c r="B13" s="9">
        <v>694800</v>
      </c>
      <c r="C13" s="9">
        <f>Table1[Grid Elec kWh]*0.003412142*3</f>
        <v>7112.2687848000005</v>
      </c>
      <c r="D13" s="9">
        <f>Table1[Grid Elec kWh]*0.003412142</f>
        <v>2370.7562616</v>
      </c>
      <c r="E13" s="9">
        <v>0</v>
      </c>
      <c r="F13" s="9">
        <v>0</v>
      </c>
      <c r="G13" s="9">
        <f t="shared" si="2"/>
        <v>7112.2687848000005</v>
      </c>
      <c r="H13" s="9">
        <v>121600</v>
      </c>
      <c r="I13" s="9">
        <f t="shared" si="0"/>
        <v>1244.7494016000001</v>
      </c>
      <c r="J13" s="9">
        <f t="shared" si="1"/>
        <v>414.9164672</v>
      </c>
      <c r="K13" s="9">
        <v>14.78161290322581</v>
      </c>
      <c r="L13" s="9">
        <f>Table1[Flow (MGD)]-MIN(Table1[Flow (MGD)])</f>
        <v>2.7786129032258096</v>
      </c>
      <c r="M13" s="9">
        <v>166.45161290322579</v>
      </c>
      <c r="N13" s="9">
        <f>Table1[BOD (mg/L)]-MIN(Table1[BOD (mg/L)])</f>
        <v>111.30494623655912</v>
      </c>
      <c r="O13" s="9">
        <v>2.6129032258064518E-2</v>
      </c>
      <c r="P13" s="9">
        <v>0.81</v>
      </c>
      <c r="Q13" s="9">
        <v>30</v>
      </c>
      <c r="R13" s="9">
        <f>Table1[Billing Days]-MIN(Table1[Billing Days])</f>
        <v>2</v>
      </c>
      <c r="S13" s="9">
        <v>2015</v>
      </c>
      <c r="T13" s="9">
        <v>2016</v>
      </c>
      <c r="U13" s="9">
        <v>52984.62</v>
      </c>
      <c r="V13" s="9">
        <v>26.6</v>
      </c>
      <c r="W13" s="9">
        <v>10650.37</v>
      </c>
      <c r="X13" s="9">
        <f t="shared" si="3"/>
        <v>63661.590000000004</v>
      </c>
      <c r="Y13" s="9">
        <v>8</v>
      </c>
      <c r="Z13" s="9">
        <v>253</v>
      </c>
      <c r="AA13" s="9">
        <v>0</v>
      </c>
      <c r="AB13" s="9">
        <v>0</v>
      </c>
      <c r="AC13" s="9">
        <f>AA13+B13</f>
        <v>694800</v>
      </c>
      <c r="AD13" s="9">
        <f>Table1[Total kWh]*0.003412142*3</f>
        <v>7112.2687848000005</v>
      </c>
      <c r="AE13" s="9">
        <v>0</v>
      </c>
      <c r="AF13" s="9">
        <v>0</v>
      </c>
      <c r="AG13" s="9">
        <f>Table1[[#This Row],[Grid Elec Source (MMBTU)]]+Table1[[#This Row],[Generated Elec Source (MMBtu)]]</f>
        <v>7112.2687848000005</v>
      </c>
      <c r="AH13" s="9">
        <f>Table1[[#This Row],[Total Elec Source MMBTU]]+Table1[[#This Row],[Grid NG Non-EG01 Source MMBTU]]</f>
        <v>7112.2687848000005</v>
      </c>
      <c r="AI13" s="9">
        <f>Table1[Total Energy Source MMBTU]+Table1[LS85 Grid Elec Source (MMBTU)]</f>
        <v>8357.0181864000006</v>
      </c>
      <c r="AJ13" s="8"/>
      <c r="AK13" s="8"/>
      <c r="AL13" s="8"/>
    </row>
    <row r="14" spans="1:38" x14ac:dyDescent="0.3">
      <c r="A14" s="9" t="s">
        <v>47</v>
      </c>
      <c r="B14" s="9">
        <v>732600</v>
      </c>
      <c r="C14" s="9">
        <f>Table1[Grid Elec kWh]*0.003412142*3</f>
        <v>7499.2056876000006</v>
      </c>
      <c r="D14" s="9">
        <f>Table1[Grid Elec kWh]*0.003412142</f>
        <v>2499.7352292</v>
      </c>
      <c r="E14" s="9">
        <v>0</v>
      </c>
      <c r="F14" s="9">
        <v>0</v>
      </c>
      <c r="G14" s="9">
        <f t="shared" si="2"/>
        <v>7499.2056876000006</v>
      </c>
      <c r="H14" s="9">
        <v>113400</v>
      </c>
      <c r="I14" s="9">
        <f t="shared" si="0"/>
        <v>1160.8107083999998</v>
      </c>
      <c r="J14" s="9">
        <f t="shared" si="1"/>
        <v>386.93690279999998</v>
      </c>
      <c r="K14" s="9">
        <v>17.908787878787876</v>
      </c>
      <c r="L14" s="9">
        <f>Table1[Flow (MGD)]-MIN(Table1[Flow (MGD)])</f>
        <v>5.9057878787878764</v>
      </c>
      <c r="M14" s="9">
        <v>150.30303030303031</v>
      </c>
      <c r="N14" s="9">
        <f>Table1[BOD (mg/L)]-MIN(Table1[BOD (mg/L)])</f>
        <v>95.156363636363636</v>
      </c>
      <c r="O14" s="9">
        <v>0.29090909090909089</v>
      </c>
      <c r="P14" s="9">
        <v>9.6</v>
      </c>
      <c r="Q14" s="9">
        <v>32</v>
      </c>
      <c r="R14" s="9">
        <f>Table1[Billing Days]-MIN(Table1[Billing Days])</f>
        <v>4</v>
      </c>
      <c r="S14" s="9">
        <v>2016</v>
      </c>
      <c r="T14" s="9">
        <v>2016</v>
      </c>
      <c r="U14" s="9">
        <v>56967.25</v>
      </c>
      <c r="V14" s="9">
        <v>26.6</v>
      </c>
      <c r="W14" s="9">
        <v>9319.2999999999993</v>
      </c>
      <c r="X14" s="9">
        <f t="shared" si="3"/>
        <v>66313.149999999994</v>
      </c>
      <c r="Y14" s="9">
        <v>100</v>
      </c>
      <c r="Z14" s="9">
        <v>49</v>
      </c>
      <c r="AA14" s="9">
        <v>0</v>
      </c>
      <c r="AB14" s="9">
        <v>0</v>
      </c>
      <c r="AC14" s="9">
        <f>AA14+B14</f>
        <v>732600</v>
      </c>
      <c r="AD14" s="9">
        <f>Table1[Total kWh]*0.003412142*3</f>
        <v>7499.2056876000006</v>
      </c>
      <c r="AE14" s="9">
        <v>0</v>
      </c>
      <c r="AF14" s="9">
        <v>0</v>
      </c>
      <c r="AG14" s="9">
        <f>Table1[[#This Row],[Grid Elec Source (MMBTU)]]+Table1[[#This Row],[Generated Elec Source (MMBtu)]]</f>
        <v>7499.2056876000006</v>
      </c>
      <c r="AH14" s="9">
        <f>Table1[[#This Row],[Total Elec Source MMBTU]]+Table1[[#This Row],[Grid NG Non-EG01 Source MMBTU]]</f>
        <v>7499.2056876000006</v>
      </c>
      <c r="AI14" s="9">
        <f>Table1[Total Energy Source MMBTU]+Table1[LS85 Grid Elec Source (MMBTU)]</f>
        <v>8660.0163960000009</v>
      </c>
      <c r="AJ14" s="8"/>
      <c r="AK14" s="8"/>
      <c r="AL14" s="8"/>
    </row>
    <row r="15" spans="1:38" x14ac:dyDescent="0.3">
      <c r="A15" s="9" t="s">
        <v>48</v>
      </c>
      <c r="B15" s="9">
        <v>738600</v>
      </c>
      <c r="C15" s="9">
        <f>Table1[Grid Elec kWh]*0.003412142*3</f>
        <v>7560.6242435999993</v>
      </c>
      <c r="D15" s="9">
        <f>Table1[Grid Elec kWh]*0.003412142</f>
        <v>2520.2080811999999</v>
      </c>
      <c r="E15" s="9">
        <v>0.1</v>
      </c>
      <c r="F15" s="9">
        <v>0.1</v>
      </c>
      <c r="G15" s="9">
        <f t="shared" si="2"/>
        <v>7560.7242435999997</v>
      </c>
      <c r="H15" s="9">
        <v>125600</v>
      </c>
      <c r="I15" s="9">
        <f t="shared" si="0"/>
        <v>1285.6951056</v>
      </c>
      <c r="J15" s="9">
        <f t="shared" si="1"/>
        <v>428.56503520000001</v>
      </c>
      <c r="K15" s="9">
        <v>19.78833333333333</v>
      </c>
      <c r="L15" s="9">
        <f>Table1[Flow (MGD)]-MIN(Table1[Flow (MGD)])</f>
        <v>7.7853333333333303</v>
      </c>
      <c r="M15" s="9">
        <v>159.83333333333334</v>
      </c>
      <c r="N15" s="9">
        <f>Table1[BOD (mg/L)]-MIN(Table1[BOD (mg/L)])</f>
        <v>104.68666666666667</v>
      </c>
      <c r="O15" s="9">
        <v>0.13733333333333334</v>
      </c>
      <c r="P15" s="9">
        <v>4.12</v>
      </c>
      <c r="Q15" s="9">
        <v>29</v>
      </c>
      <c r="R15" s="9">
        <f>Table1[Billing Days]-MIN(Table1[Billing Days])</f>
        <v>1</v>
      </c>
      <c r="S15" s="9">
        <v>2016</v>
      </c>
      <c r="T15" s="9">
        <v>2016</v>
      </c>
      <c r="U15" s="9">
        <v>57798.17</v>
      </c>
      <c r="V15" s="9">
        <v>27.36</v>
      </c>
      <c r="W15" s="9">
        <v>11732.55</v>
      </c>
      <c r="X15" s="9">
        <f t="shared" si="3"/>
        <v>69558.080000000002</v>
      </c>
      <c r="Y15" s="9">
        <v>74</v>
      </c>
      <c r="Z15" s="9">
        <v>74</v>
      </c>
      <c r="AA15" s="9">
        <v>0</v>
      </c>
      <c r="AB15" s="9">
        <v>0</v>
      </c>
      <c r="AC15" s="9">
        <f>AA15+B15</f>
        <v>738600</v>
      </c>
      <c r="AD15" s="9">
        <f>Table1[Total kWh]*0.003412142*3</f>
        <v>7560.6242435999993</v>
      </c>
      <c r="AE15" s="9">
        <v>0</v>
      </c>
      <c r="AF15" s="9">
        <v>0.1</v>
      </c>
      <c r="AG15" s="9">
        <f>Table1[[#This Row],[Grid Elec Source (MMBTU)]]+Table1[[#This Row],[Generated Elec Source (MMBtu)]]</f>
        <v>7560.6242435999993</v>
      </c>
      <c r="AH15" s="9">
        <f>Table1[[#This Row],[Total Elec Source MMBTU]]+Table1[[#This Row],[Grid NG Non-EG01 Source MMBTU]]</f>
        <v>7560.7242435999997</v>
      </c>
      <c r="AI15" s="9">
        <f>Table1[Total Energy Source MMBTU]+Table1[LS85 Grid Elec Source (MMBTU)]</f>
        <v>8846.4193491999995</v>
      </c>
      <c r="AJ15" s="8"/>
      <c r="AK15" s="8"/>
      <c r="AL15" s="8"/>
    </row>
    <row r="16" spans="1:38" x14ac:dyDescent="0.3">
      <c r="A16" s="9" t="s">
        <v>49</v>
      </c>
      <c r="B16" s="9">
        <v>762600</v>
      </c>
      <c r="C16" s="9">
        <f>Table1[Grid Elec kWh]*0.003412142*3</f>
        <v>7806.2984675999996</v>
      </c>
      <c r="D16" s="9">
        <f>Table1[Grid Elec kWh]*0.003412142</f>
        <v>2602.0994891999999</v>
      </c>
      <c r="E16" s="9">
        <v>0</v>
      </c>
      <c r="F16" s="9">
        <v>0</v>
      </c>
      <c r="G16" s="9">
        <f t="shared" si="2"/>
        <v>7806.2984675999996</v>
      </c>
      <c r="H16" s="9">
        <v>114000</v>
      </c>
      <c r="I16" s="9">
        <f t="shared" si="0"/>
        <v>1166.9525640000002</v>
      </c>
      <c r="J16" s="9">
        <f t="shared" si="1"/>
        <v>388.98418800000002</v>
      </c>
      <c r="K16" s="9">
        <v>17.656774193548383</v>
      </c>
      <c r="L16" s="9">
        <f>Table1[Flow (MGD)]-MIN(Table1[Flow (MGD)])</f>
        <v>5.653774193548383</v>
      </c>
      <c r="M16" s="9">
        <v>180</v>
      </c>
      <c r="N16" s="9">
        <f>Table1[BOD (mg/L)]-MIN(Table1[BOD (mg/L)])</f>
        <v>124.85333333333332</v>
      </c>
      <c r="O16" s="9">
        <v>0.10161290322580646</v>
      </c>
      <c r="P16" s="9">
        <v>3.1500000000000004</v>
      </c>
      <c r="Q16" s="9">
        <v>30</v>
      </c>
      <c r="R16" s="9">
        <f>Table1[Billing Days]-MIN(Table1[Billing Days])</f>
        <v>2</v>
      </c>
      <c r="S16" s="9">
        <v>2016</v>
      </c>
      <c r="T16" s="9">
        <v>2016</v>
      </c>
      <c r="U16" s="9">
        <v>53909.22</v>
      </c>
      <c r="V16" s="9">
        <v>0</v>
      </c>
      <c r="W16" s="9">
        <v>10401.959999999999</v>
      </c>
      <c r="X16" s="9">
        <f t="shared" si="3"/>
        <v>64311.18</v>
      </c>
      <c r="Y16" s="9">
        <v>2</v>
      </c>
      <c r="Z16" s="9">
        <v>274</v>
      </c>
      <c r="AA16" s="9">
        <v>0</v>
      </c>
      <c r="AB16" s="9">
        <v>0</v>
      </c>
      <c r="AC16" s="9">
        <f>AA16+B16</f>
        <v>762600</v>
      </c>
      <c r="AD16" s="9">
        <f>Table1[Total kWh]*0.003412142*3</f>
        <v>7806.2984675999996</v>
      </c>
      <c r="AE16" s="9">
        <v>0</v>
      </c>
      <c r="AF16" s="9">
        <v>0</v>
      </c>
      <c r="AG16" s="9">
        <f>Table1[[#This Row],[Grid Elec Source (MMBTU)]]+Table1[[#This Row],[Generated Elec Source (MMBtu)]]</f>
        <v>7806.2984675999996</v>
      </c>
      <c r="AH16" s="9">
        <f>Table1[[#This Row],[Total Elec Source MMBTU]]+Table1[[#This Row],[Grid NG Non-EG01 Source MMBTU]]</f>
        <v>7806.2984675999996</v>
      </c>
      <c r="AI16" s="9">
        <f>Table1[Total Energy Source MMBTU]+Table1[LS85 Grid Elec Source (MMBTU)]</f>
        <v>8973.2510316000007</v>
      </c>
      <c r="AJ16" s="8"/>
      <c r="AK16" s="8"/>
      <c r="AL16" s="8"/>
    </row>
    <row r="17" spans="1:38" x14ac:dyDescent="0.3">
      <c r="A17" s="9" t="s">
        <v>50</v>
      </c>
      <c r="B17" s="9">
        <v>825600</v>
      </c>
      <c r="C17" s="9">
        <f>Table1[Grid Elec kWh]*0.003412142*3</f>
        <v>8451.1933055999998</v>
      </c>
      <c r="D17" s="9">
        <f>Table1[Grid Elec kWh]*0.003412142</f>
        <v>2817.0644351999999</v>
      </c>
      <c r="E17" s="9">
        <v>0</v>
      </c>
      <c r="F17" s="9">
        <v>0</v>
      </c>
      <c r="G17" s="9">
        <f t="shared" si="2"/>
        <v>8451.1933055999998</v>
      </c>
      <c r="H17" s="9">
        <v>113200</v>
      </c>
      <c r="I17" s="9">
        <f t="shared" si="0"/>
        <v>1158.7634232</v>
      </c>
      <c r="J17" s="9">
        <f t="shared" si="1"/>
        <v>386.25447439999999</v>
      </c>
      <c r="K17" s="9">
        <v>16.264545456857395</v>
      </c>
      <c r="L17" s="9">
        <f>Table1[Flow (MGD)]-MIN(Table1[Flow (MGD)])</f>
        <v>4.2615454568573945</v>
      </c>
      <c r="M17" s="9">
        <v>160.90909090909091</v>
      </c>
      <c r="N17" s="9">
        <f>Table1[BOD (mg/L)]-MIN(Table1[BOD (mg/L)])</f>
        <v>105.76242424242423</v>
      </c>
      <c r="O17" s="9">
        <v>5.9090909090909097E-2</v>
      </c>
      <c r="P17" s="9">
        <v>1.9500000000000002</v>
      </c>
      <c r="Q17" s="9">
        <v>32</v>
      </c>
      <c r="R17" s="9">
        <f>Table1[Billing Days]-MIN(Table1[Billing Days])</f>
        <v>4</v>
      </c>
      <c r="S17" s="9">
        <v>2016</v>
      </c>
      <c r="T17" s="9">
        <v>2016</v>
      </c>
      <c r="U17" s="9">
        <v>58208.22</v>
      </c>
      <c r="V17" s="9">
        <v>0</v>
      </c>
      <c r="W17" s="9">
        <v>9231.67</v>
      </c>
      <c r="X17" s="9">
        <f t="shared" si="3"/>
        <v>67439.89</v>
      </c>
      <c r="Y17" s="9">
        <v>0</v>
      </c>
      <c r="Z17" s="9">
        <v>366</v>
      </c>
      <c r="AA17" s="9">
        <v>0</v>
      </c>
      <c r="AB17" s="9">
        <v>0</v>
      </c>
      <c r="AC17" s="9">
        <f>AA17+B17</f>
        <v>825600</v>
      </c>
      <c r="AD17" s="9">
        <f>Table1[Total kWh]*0.003412142*3</f>
        <v>8451.1933055999998</v>
      </c>
      <c r="AE17" s="9">
        <v>0</v>
      </c>
      <c r="AF17" s="9">
        <v>0</v>
      </c>
      <c r="AG17" s="9">
        <f>Table1[[#This Row],[Grid Elec Source (MMBTU)]]+Table1[[#This Row],[Generated Elec Source (MMBtu)]]</f>
        <v>8451.1933055999998</v>
      </c>
      <c r="AH17" s="9">
        <f>Table1[[#This Row],[Total Elec Source MMBTU]]+Table1[[#This Row],[Grid NG Non-EG01 Source MMBTU]]</f>
        <v>8451.1933055999998</v>
      </c>
      <c r="AI17" s="9">
        <f>Table1[Total Energy Source MMBTU]+Table1[LS85 Grid Elec Source (MMBTU)]</f>
        <v>9609.9567287999998</v>
      </c>
      <c r="AJ17" s="8"/>
      <c r="AK17" s="8"/>
      <c r="AL17" s="8"/>
    </row>
    <row r="18" spans="1:38" x14ac:dyDescent="0.3">
      <c r="A18" s="9" t="s">
        <v>51</v>
      </c>
      <c r="B18" s="9">
        <v>792000</v>
      </c>
      <c r="C18" s="9">
        <f>Table1[Grid Elec kWh]*0.003412142*3</f>
        <v>8107.2493919999997</v>
      </c>
      <c r="D18" s="9">
        <f>Table1[Grid Elec kWh]*0.003412142</f>
        <v>2702.4164639999999</v>
      </c>
      <c r="E18" s="9">
        <v>0</v>
      </c>
      <c r="F18" s="9">
        <v>0</v>
      </c>
      <c r="G18" s="9">
        <f t="shared" si="2"/>
        <v>8107.2493919999997</v>
      </c>
      <c r="H18" s="9">
        <v>106000</v>
      </c>
      <c r="I18" s="9">
        <f t="shared" si="0"/>
        <v>1085.061156</v>
      </c>
      <c r="J18" s="9">
        <f t="shared" si="1"/>
        <v>361.68705199999999</v>
      </c>
      <c r="K18" s="9">
        <v>16.013709624505811</v>
      </c>
      <c r="L18" s="9">
        <f>Table1[Flow (MGD)]-MIN(Table1[Flow (MGD)])</f>
        <v>4.0107096245058109</v>
      </c>
      <c r="M18" s="9">
        <v>150</v>
      </c>
      <c r="N18" s="9">
        <f>Table1[BOD (mg/L)]-MIN(Table1[BOD (mg/L)])</f>
        <v>94.853333333333325</v>
      </c>
      <c r="O18" s="9">
        <v>0.17516129032258063</v>
      </c>
      <c r="P18" s="9">
        <v>5.43</v>
      </c>
      <c r="Q18" s="9">
        <v>30</v>
      </c>
      <c r="R18" s="9">
        <f>Table1[Billing Days]-MIN(Table1[Billing Days])</f>
        <v>2</v>
      </c>
      <c r="S18" s="9">
        <v>2016</v>
      </c>
      <c r="T18" s="9">
        <v>2016</v>
      </c>
      <c r="U18" s="9">
        <v>58388.88</v>
      </c>
      <c r="V18" s="9">
        <v>0</v>
      </c>
      <c r="W18" s="9">
        <v>10759.37</v>
      </c>
      <c r="X18" s="9">
        <f t="shared" si="3"/>
        <v>69148.25</v>
      </c>
      <c r="Y18" s="9">
        <v>0</v>
      </c>
      <c r="Z18" s="9">
        <v>513</v>
      </c>
      <c r="AA18" s="9">
        <v>0</v>
      </c>
      <c r="AB18" s="9">
        <v>0</v>
      </c>
      <c r="AC18" s="9">
        <f>AA18+B18</f>
        <v>792000</v>
      </c>
      <c r="AD18" s="9">
        <f>Table1[Total kWh]*0.003412142*3</f>
        <v>8107.2493919999997</v>
      </c>
      <c r="AE18" s="9">
        <v>0</v>
      </c>
      <c r="AF18" s="9">
        <v>0</v>
      </c>
      <c r="AG18" s="9">
        <f>Table1[[#This Row],[Grid Elec Source (MMBTU)]]+Table1[[#This Row],[Generated Elec Source (MMBtu)]]</f>
        <v>8107.2493919999997</v>
      </c>
      <c r="AH18" s="9">
        <f>Table1[[#This Row],[Total Elec Source MMBTU]]+Table1[[#This Row],[Grid NG Non-EG01 Source MMBTU]]</f>
        <v>8107.2493919999997</v>
      </c>
      <c r="AI18" s="9">
        <f>Table1[Total Energy Source MMBTU]+Table1[LS85 Grid Elec Source (MMBTU)]</f>
        <v>9192.3105479999995</v>
      </c>
      <c r="AJ18" s="8"/>
      <c r="AK18" s="8"/>
      <c r="AL18" s="8"/>
    </row>
    <row r="19" spans="1:38" x14ac:dyDescent="0.3">
      <c r="A19" s="9" t="s">
        <v>52</v>
      </c>
      <c r="B19" s="9">
        <v>1025400</v>
      </c>
      <c r="C19" s="9">
        <f>Table1[Grid Elec kWh]*0.003412142*3</f>
        <v>10496.4312204</v>
      </c>
      <c r="D19" s="9">
        <f>Table1[Grid Elec kWh]*0.003412142</f>
        <v>3498.8104067999998</v>
      </c>
      <c r="E19" s="9">
        <v>0</v>
      </c>
      <c r="F19" s="9">
        <v>0</v>
      </c>
      <c r="G19" s="9">
        <f t="shared" si="2"/>
        <v>10496.4312204</v>
      </c>
      <c r="H19" s="9">
        <v>195200</v>
      </c>
      <c r="I19" s="9">
        <f t="shared" si="0"/>
        <v>1998.1503551999999</v>
      </c>
      <c r="J19" s="9">
        <f t="shared" si="1"/>
        <v>666.05011839999997</v>
      </c>
      <c r="K19" s="9">
        <v>24.622258064516132</v>
      </c>
      <c r="L19" s="9">
        <f>Table1[Flow (MGD)]-MIN(Table1[Flow (MGD)])</f>
        <v>12.619258064516131</v>
      </c>
      <c r="M19" s="9">
        <v>100.64516129032258</v>
      </c>
      <c r="N19" s="9">
        <f>Table1[BOD (mg/L)]-MIN(Table1[BOD (mg/L)])</f>
        <v>45.498494623655908</v>
      </c>
      <c r="O19" s="9">
        <v>0.37935483870967746</v>
      </c>
      <c r="P19" s="9">
        <v>11.760000000000002</v>
      </c>
      <c r="Q19" s="9">
        <v>30</v>
      </c>
      <c r="R19" s="9">
        <f>Table1[Billing Days]-MIN(Table1[Billing Days])</f>
        <v>2</v>
      </c>
      <c r="S19" s="9">
        <v>2016</v>
      </c>
      <c r="T19" s="9">
        <v>2016</v>
      </c>
      <c r="U19" s="9">
        <v>80137.899999999994</v>
      </c>
      <c r="V19" s="9">
        <v>0</v>
      </c>
      <c r="W19" s="9">
        <v>22031.47</v>
      </c>
      <c r="X19" s="9">
        <f t="shared" si="3"/>
        <v>102169.37</v>
      </c>
      <c r="Y19" s="9">
        <v>0</v>
      </c>
      <c r="Z19" s="9">
        <v>593</v>
      </c>
      <c r="AA19" s="9">
        <v>0</v>
      </c>
      <c r="AB19" s="9">
        <v>0</v>
      </c>
      <c r="AC19" s="9">
        <f>AA19+B19</f>
        <v>1025400</v>
      </c>
      <c r="AD19" s="9">
        <f>Table1[Total kWh]*0.003412142*3</f>
        <v>10496.4312204</v>
      </c>
      <c r="AE19" s="9">
        <v>0</v>
      </c>
      <c r="AF19" s="9">
        <v>0</v>
      </c>
      <c r="AG19" s="9">
        <f>Table1[[#This Row],[Grid Elec Source (MMBTU)]]+Table1[[#This Row],[Generated Elec Source (MMBtu)]]</f>
        <v>10496.4312204</v>
      </c>
      <c r="AH19" s="9">
        <f>Table1[[#This Row],[Total Elec Source MMBTU]]+Table1[[#This Row],[Grid NG Non-EG01 Source MMBTU]]</f>
        <v>10496.4312204</v>
      </c>
      <c r="AI19" s="9">
        <f>Table1[Total Energy Source MMBTU]+Table1[LS85 Grid Elec Source (MMBTU)]</f>
        <v>12494.581575599999</v>
      </c>
      <c r="AJ19" s="8"/>
      <c r="AK19" s="8"/>
      <c r="AL19" s="8"/>
    </row>
    <row r="20" spans="1:38" x14ac:dyDescent="0.3">
      <c r="A20" s="9" t="s">
        <v>53</v>
      </c>
      <c r="B20" s="9">
        <v>885000</v>
      </c>
      <c r="C20" s="9">
        <f>Table1[Grid Elec kWh]*0.003412142*3</f>
        <v>9059.2370099999989</v>
      </c>
      <c r="D20" s="9">
        <f>Table1[Grid Elec kWh]*0.003412142</f>
        <v>3019.7456699999998</v>
      </c>
      <c r="E20" s="9">
        <v>0</v>
      </c>
      <c r="F20" s="9">
        <v>0</v>
      </c>
      <c r="G20" s="9">
        <f t="shared" si="2"/>
        <v>9059.2370099999989</v>
      </c>
      <c r="H20" s="9">
        <v>128200</v>
      </c>
      <c r="I20" s="9">
        <f t="shared" si="0"/>
        <v>1312.3098132</v>
      </c>
      <c r="J20" s="9">
        <f t="shared" si="1"/>
        <v>437.43660440000002</v>
      </c>
      <c r="K20" s="9">
        <v>17.370272727272724</v>
      </c>
      <c r="L20" s="9">
        <f>Table1[Flow (MGD)]-MIN(Table1[Flow (MGD)])</f>
        <v>5.3672727272727236</v>
      </c>
      <c r="M20" s="9">
        <v>145.69696969696969</v>
      </c>
      <c r="N20" s="9">
        <f>Table1[BOD (mg/L)]-MIN(Table1[BOD (mg/L)])</f>
        <v>90.550303030303013</v>
      </c>
      <c r="O20" s="9">
        <v>0.19696969696969699</v>
      </c>
      <c r="P20" s="9">
        <v>6.5000000000000009</v>
      </c>
      <c r="Q20" s="9">
        <v>32</v>
      </c>
      <c r="R20" s="9">
        <f>Table1[Billing Days]-MIN(Table1[Billing Days])</f>
        <v>4</v>
      </c>
      <c r="S20" s="9">
        <v>2016</v>
      </c>
      <c r="T20" s="9">
        <v>2016</v>
      </c>
      <c r="U20" s="9">
        <v>63121.48</v>
      </c>
      <c r="V20" s="9">
        <v>0</v>
      </c>
      <c r="W20" s="9">
        <v>12066.460000000001</v>
      </c>
      <c r="X20" s="9">
        <f t="shared" si="3"/>
        <v>75187.94</v>
      </c>
      <c r="Y20" s="9">
        <v>0</v>
      </c>
      <c r="Z20" s="9">
        <v>708</v>
      </c>
      <c r="AA20" s="9">
        <v>0</v>
      </c>
      <c r="AB20" s="9">
        <v>0</v>
      </c>
      <c r="AC20" s="9">
        <f>AA20+B20</f>
        <v>885000</v>
      </c>
      <c r="AD20" s="9">
        <f>Table1[Total kWh]*0.003412142*3</f>
        <v>9059.2370099999989</v>
      </c>
      <c r="AE20" s="9">
        <v>0</v>
      </c>
      <c r="AF20" s="9">
        <v>0</v>
      </c>
      <c r="AG20" s="9">
        <f>Table1[[#This Row],[Grid Elec Source (MMBTU)]]+Table1[[#This Row],[Generated Elec Source (MMBtu)]]</f>
        <v>9059.2370099999989</v>
      </c>
      <c r="AH20" s="9">
        <f>Table1[[#This Row],[Total Elec Source MMBTU]]+Table1[[#This Row],[Grid NG Non-EG01 Source MMBTU]]</f>
        <v>9059.2370099999989</v>
      </c>
      <c r="AI20" s="9">
        <f>Table1[Total Energy Source MMBTU]+Table1[LS85 Grid Elec Source (MMBTU)]</f>
        <v>10371.546823199998</v>
      </c>
      <c r="AJ20" s="8"/>
      <c r="AK20" s="8"/>
      <c r="AL20" s="8"/>
    </row>
    <row r="21" spans="1:38" x14ac:dyDescent="0.3">
      <c r="A21" s="9" t="s">
        <v>54</v>
      </c>
      <c r="B21" s="9">
        <v>1057800</v>
      </c>
      <c r="C21" s="9">
        <f>Table1[Grid Elec kWh]*0.003412142*3</f>
        <v>10828.0914228</v>
      </c>
      <c r="D21" s="9">
        <f>Table1[Grid Elec kWh]*0.003412142</f>
        <v>3609.3638075999997</v>
      </c>
      <c r="E21" s="9">
        <v>0</v>
      </c>
      <c r="F21" s="9">
        <v>0</v>
      </c>
      <c r="G21" s="9">
        <f t="shared" si="2"/>
        <v>10828.0914228</v>
      </c>
      <c r="H21" s="9">
        <v>195600</v>
      </c>
      <c r="I21" s="9">
        <f t="shared" si="0"/>
        <v>2002.2449256</v>
      </c>
      <c r="J21" s="9">
        <f t="shared" si="1"/>
        <v>667.41497519999996</v>
      </c>
      <c r="K21" s="9">
        <v>28.225766666666662</v>
      </c>
      <c r="L21" s="9">
        <f>Table1[Flow (MGD)]-MIN(Table1[Flow (MGD)])</f>
        <v>16.222766666666661</v>
      </c>
      <c r="M21" s="9">
        <v>66.183333333333337</v>
      </c>
      <c r="N21" s="9">
        <f>Table1[BOD (mg/L)]-MIN(Table1[BOD (mg/L)])</f>
        <v>11.036666666666669</v>
      </c>
      <c r="O21" s="9">
        <v>0.72299999999999998</v>
      </c>
      <c r="P21" s="9">
        <v>21.689999999999998</v>
      </c>
      <c r="Q21" s="9">
        <v>29</v>
      </c>
      <c r="R21" s="9">
        <f>Table1[Billing Days]-MIN(Table1[Billing Days])</f>
        <v>1</v>
      </c>
      <c r="S21" s="9">
        <v>2016</v>
      </c>
      <c r="T21" s="9">
        <v>2016</v>
      </c>
      <c r="U21" s="9">
        <v>84802.39</v>
      </c>
      <c r="V21" s="9">
        <v>0</v>
      </c>
      <c r="W21" s="9">
        <v>22678.61</v>
      </c>
      <c r="X21" s="9">
        <f t="shared" si="3"/>
        <v>107481</v>
      </c>
      <c r="Y21" s="9">
        <v>0</v>
      </c>
      <c r="Z21" s="9">
        <v>594</v>
      </c>
      <c r="AA21" s="9">
        <v>0</v>
      </c>
      <c r="AB21" s="9">
        <v>0</v>
      </c>
      <c r="AC21" s="9">
        <f>AA21+B21</f>
        <v>1057800</v>
      </c>
      <c r="AD21" s="9">
        <f>Table1[Total kWh]*0.003412142*3</f>
        <v>10828.0914228</v>
      </c>
      <c r="AE21" s="9">
        <v>0</v>
      </c>
      <c r="AF21" s="9">
        <v>0</v>
      </c>
      <c r="AG21" s="9">
        <f>Table1[[#This Row],[Grid Elec Source (MMBTU)]]+Table1[[#This Row],[Generated Elec Source (MMBtu)]]</f>
        <v>10828.0914228</v>
      </c>
      <c r="AH21" s="9">
        <f>Table1[[#This Row],[Total Elec Source MMBTU]]+Table1[[#This Row],[Grid NG Non-EG01 Source MMBTU]]</f>
        <v>10828.0914228</v>
      </c>
      <c r="AI21" s="9">
        <f>Table1[Total Energy Source MMBTU]+Table1[LS85 Grid Elec Source (MMBTU)]</f>
        <v>12830.3363484</v>
      </c>
      <c r="AJ21" s="8"/>
      <c r="AK21" s="8"/>
      <c r="AL21" s="8"/>
    </row>
    <row r="22" spans="1:38" x14ac:dyDescent="0.3">
      <c r="A22" s="9" t="s">
        <v>55</v>
      </c>
      <c r="B22" s="9">
        <v>1296600</v>
      </c>
      <c r="C22" s="9">
        <f>Table1[Grid Elec kWh]*0.003412142*3</f>
        <v>13272.549951599998</v>
      </c>
      <c r="D22" s="9">
        <f>Table1[Grid Elec kWh]*0.003412142</f>
        <v>4424.1833171999997</v>
      </c>
      <c r="E22" s="9">
        <v>0</v>
      </c>
      <c r="F22" s="9">
        <v>0</v>
      </c>
      <c r="G22" s="9">
        <f t="shared" si="2"/>
        <v>13272.549951599998</v>
      </c>
      <c r="H22" s="9">
        <v>356400</v>
      </c>
      <c r="I22" s="9">
        <f t="shared" si="0"/>
        <v>3648.2622264000001</v>
      </c>
      <c r="J22" s="9">
        <f t="shared" si="1"/>
        <v>1216.0874088</v>
      </c>
      <c r="K22" s="9">
        <v>33.193400000000004</v>
      </c>
      <c r="L22" s="9">
        <f>Table1[Flow (MGD)]-MIN(Table1[Flow (MGD)])</f>
        <v>21.190400000000004</v>
      </c>
      <c r="M22" s="9">
        <v>55.146666666666668</v>
      </c>
      <c r="N22" s="9">
        <f>Table1[BOD (mg/L)]-MIN(Table1[BOD (mg/L)])</f>
        <v>0</v>
      </c>
      <c r="O22" s="9">
        <v>0.54833333333333334</v>
      </c>
      <c r="P22" s="9">
        <v>16.45</v>
      </c>
      <c r="Q22" s="9">
        <v>29</v>
      </c>
      <c r="R22" s="9">
        <f>Table1[Billing Days]-MIN(Table1[Billing Days])</f>
        <v>1</v>
      </c>
      <c r="S22" s="9">
        <v>2016</v>
      </c>
      <c r="T22" s="9">
        <v>2016</v>
      </c>
      <c r="U22" s="9">
        <v>100013.81</v>
      </c>
      <c r="V22" s="9">
        <v>0</v>
      </c>
      <c r="W22" s="9">
        <v>34308.130000000005</v>
      </c>
      <c r="X22" s="9">
        <f t="shared" si="3"/>
        <v>134321.94</v>
      </c>
      <c r="Y22" s="9">
        <v>0</v>
      </c>
      <c r="Z22" s="9">
        <v>614</v>
      </c>
      <c r="AA22" s="9">
        <v>0</v>
      </c>
      <c r="AB22" s="9">
        <v>0</v>
      </c>
      <c r="AC22" s="9">
        <f>AA22+B22</f>
        <v>1296600</v>
      </c>
      <c r="AD22" s="9">
        <f>Table1[Total kWh]*0.003412142*3</f>
        <v>13272.549951599998</v>
      </c>
      <c r="AE22" s="9">
        <v>0</v>
      </c>
      <c r="AF22" s="9">
        <v>0</v>
      </c>
      <c r="AG22" s="9">
        <f>Table1[[#This Row],[Grid Elec Source (MMBTU)]]+Table1[[#This Row],[Generated Elec Source (MMBtu)]]</f>
        <v>13272.549951599998</v>
      </c>
      <c r="AH22" s="9">
        <f>Table1[[#This Row],[Total Elec Source MMBTU]]+Table1[[#This Row],[Grid NG Non-EG01 Source MMBTU]]</f>
        <v>13272.549951599998</v>
      </c>
      <c r="AI22" s="9">
        <f>Table1[Total Energy Source MMBTU]+Table1[LS85 Grid Elec Source (MMBTU)]</f>
        <v>16920.812178</v>
      </c>
      <c r="AJ22" s="8"/>
      <c r="AK22" s="8"/>
      <c r="AL22" s="8"/>
    </row>
    <row r="23" spans="1:38" x14ac:dyDescent="0.3">
      <c r="A23" s="9" t="s">
        <v>56</v>
      </c>
      <c r="B23" s="9">
        <v>819600</v>
      </c>
      <c r="C23" s="9">
        <f>Table1[Grid Elec kWh]*0.003412142*3</f>
        <v>8389.7747496000011</v>
      </c>
      <c r="D23" s="9">
        <f>Table1[Grid Elec kWh]*0.003412142</f>
        <v>2796.5915832000001</v>
      </c>
      <c r="E23" s="9">
        <v>0</v>
      </c>
      <c r="F23" s="9">
        <v>0</v>
      </c>
      <c r="G23" s="9">
        <f t="shared" si="2"/>
        <v>8389.7747496000011</v>
      </c>
      <c r="H23" s="9">
        <v>139400</v>
      </c>
      <c r="I23" s="9">
        <f t="shared" si="0"/>
        <v>1426.9577844</v>
      </c>
      <c r="J23" s="9">
        <f t="shared" si="1"/>
        <v>475.65259479999997</v>
      </c>
      <c r="K23" s="9">
        <v>19.849500000000003</v>
      </c>
      <c r="L23" s="9">
        <f>Table1[Flow (MGD)]-MIN(Table1[Flow (MGD)])</f>
        <v>7.8465000000000025</v>
      </c>
      <c r="M23" s="9">
        <v>114.81666666666666</v>
      </c>
      <c r="N23" s="9">
        <f>Table1[BOD (mg/L)]-MIN(Table1[BOD (mg/L)])</f>
        <v>59.669999999999995</v>
      </c>
      <c r="O23" s="9">
        <v>9.8000000000000004E-2</v>
      </c>
      <c r="P23" s="9">
        <v>2.94</v>
      </c>
      <c r="Q23" s="9">
        <v>29</v>
      </c>
      <c r="R23" s="9">
        <f>Table1[Billing Days]-MIN(Table1[Billing Days])</f>
        <v>1</v>
      </c>
      <c r="S23" s="9">
        <v>2016</v>
      </c>
      <c r="T23" s="9">
        <v>2017</v>
      </c>
      <c r="U23" s="9">
        <v>61945.59</v>
      </c>
      <c r="V23" s="9">
        <v>0</v>
      </c>
      <c r="W23" s="9">
        <v>12912</v>
      </c>
      <c r="X23" s="9">
        <f t="shared" si="3"/>
        <v>74857.59</v>
      </c>
      <c r="Y23" s="9">
        <v>0</v>
      </c>
      <c r="Z23" s="9">
        <v>470</v>
      </c>
      <c r="AA23" s="9">
        <v>0</v>
      </c>
      <c r="AB23" s="9">
        <v>0</v>
      </c>
      <c r="AC23" s="9">
        <f>AA23+B23</f>
        <v>819600</v>
      </c>
      <c r="AD23" s="9">
        <f>Table1[Total kWh]*0.003412142*3</f>
        <v>8389.7747496000011</v>
      </c>
      <c r="AE23" s="9">
        <v>0</v>
      </c>
      <c r="AF23" s="9">
        <v>0</v>
      </c>
      <c r="AG23" s="9">
        <f>Table1[[#This Row],[Grid Elec Source (MMBTU)]]+Table1[[#This Row],[Generated Elec Source (MMBtu)]]</f>
        <v>8389.7747496000011</v>
      </c>
      <c r="AH23" s="9">
        <f>Table1[[#This Row],[Total Elec Source MMBTU]]+Table1[[#This Row],[Grid NG Non-EG01 Source MMBTU]]</f>
        <v>8389.7747496000011</v>
      </c>
      <c r="AI23" s="9">
        <f>Table1[Total Energy Source MMBTU]+Table1[LS85 Grid Elec Source (MMBTU)]</f>
        <v>9816.7325340000007</v>
      </c>
      <c r="AJ23" s="8"/>
      <c r="AK23" s="8"/>
      <c r="AL23" s="8"/>
    </row>
    <row r="24" spans="1:38" x14ac:dyDescent="0.3">
      <c r="A24" s="9" t="s">
        <v>57</v>
      </c>
      <c r="B24" s="9">
        <v>832200</v>
      </c>
      <c r="C24" s="9">
        <f>Table1[Grid Elec kWh]*0.003412142*3</f>
        <v>8518.7537172000011</v>
      </c>
      <c r="D24" s="9">
        <f>Table1[Grid Elec kWh]*0.003412142</f>
        <v>2839.5845724000001</v>
      </c>
      <c r="E24" s="9">
        <v>0</v>
      </c>
      <c r="F24" s="9">
        <v>0</v>
      </c>
      <c r="G24" s="9">
        <f t="shared" si="2"/>
        <v>8518.7537172000011</v>
      </c>
      <c r="H24" s="9">
        <v>100400</v>
      </c>
      <c r="I24" s="9">
        <f t="shared" si="0"/>
        <v>1027.7371704</v>
      </c>
      <c r="J24" s="9">
        <f t="shared" si="1"/>
        <v>342.57905679999999</v>
      </c>
      <c r="K24" s="9">
        <v>14.640852941176474</v>
      </c>
      <c r="L24" s="9">
        <f>Table1[Flow (MGD)]-MIN(Table1[Flow (MGD)])</f>
        <v>2.6378529411764742</v>
      </c>
      <c r="M24" s="9">
        <v>165.44117647058823</v>
      </c>
      <c r="N24" s="9">
        <f>Table1[BOD (mg/L)]-MIN(Table1[BOD (mg/L)])</f>
        <v>110.29450980392156</v>
      </c>
      <c r="O24" s="9">
        <v>1.4705882352941176E-3</v>
      </c>
      <c r="P24" s="9">
        <v>0.05</v>
      </c>
      <c r="Q24" s="9">
        <v>33</v>
      </c>
      <c r="R24" s="9">
        <f>Table1[Billing Days]-MIN(Table1[Billing Days])</f>
        <v>5</v>
      </c>
      <c r="S24" s="9">
        <v>2016</v>
      </c>
      <c r="T24" s="9">
        <v>2017</v>
      </c>
      <c r="U24" s="9">
        <v>57868.88</v>
      </c>
      <c r="V24" s="9">
        <v>0</v>
      </c>
      <c r="W24" s="9">
        <v>8672.66</v>
      </c>
      <c r="X24" s="9">
        <f t="shared" si="3"/>
        <v>66541.539999999994</v>
      </c>
      <c r="Y24" s="9">
        <v>5</v>
      </c>
      <c r="Z24" s="9">
        <v>250</v>
      </c>
      <c r="AA24" s="9">
        <v>0</v>
      </c>
      <c r="AB24" s="9">
        <v>0</v>
      </c>
      <c r="AC24" s="9">
        <f>AA24+B24</f>
        <v>832200</v>
      </c>
      <c r="AD24" s="9">
        <f>Table1[Total kWh]*0.003412142*3</f>
        <v>8518.7537172000011</v>
      </c>
      <c r="AE24" s="9">
        <v>0</v>
      </c>
      <c r="AF24" s="9">
        <v>0</v>
      </c>
      <c r="AG24" s="9">
        <f>Table1[[#This Row],[Grid Elec Source (MMBTU)]]+Table1[[#This Row],[Generated Elec Source (MMBtu)]]</f>
        <v>8518.7537172000011</v>
      </c>
      <c r="AH24" s="9">
        <f>Table1[[#This Row],[Total Elec Source MMBTU]]+Table1[[#This Row],[Grid NG Non-EG01 Source MMBTU]]</f>
        <v>8518.7537172000011</v>
      </c>
      <c r="AI24" s="9">
        <f>Table1[Total Energy Source MMBTU]+Table1[LS85 Grid Elec Source (MMBTU)]</f>
        <v>9546.4908876000009</v>
      </c>
      <c r="AJ24" s="8"/>
      <c r="AK24" s="8"/>
      <c r="AL24" s="8"/>
    </row>
    <row r="25" spans="1:38" x14ac:dyDescent="0.3">
      <c r="A25" s="9" t="s">
        <v>58</v>
      </c>
      <c r="B25" s="9">
        <v>757200</v>
      </c>
      <c r="C25" s="9">
        <f>Table1[Grid Elec kWh]*0.003412142*3</f>
        <v>7751.0217671999999</v>
      </c>
      <c r="D25" s="9">
        <f>Table1[Grid Elec kWh]*0.003412142</f>
        <v>2583.6739223999998</v>
      </c>
      <c r="E25" s="9">
        <v>0</v>
      </c>
      <c r="F25" s="9">
        <v>0</v>
      </c>
      <c r="G25" s="9">
        <f t="shared" si="2"/>
        <v>7751.0217671999999</v>
      </c>
      <c r="H25" s="9">
        <v>106600</v>
      </c>
      <c r="I25" s="9">
        <f t="shared" si="0"/>
        <v>1091.2030115999999</v>
      </c>
      <c r="J25" s="9">
        <f t="shared" si="1"/>
        <v>363.73433719999997</v>
      </c>
      <c r="K25" s="9">
        <v>13.54516129032258</v>
      </c>
      <c r="L25" s="9">
        <f>Table1[Flow (MGD)]-MIN(Table1[Flow (MGD)])</f>
        <v>1.5421612903225803</v>
      </c>
      <c r="M25" s="9">
        <v>179.67741935483872</v>
      </c>
      <c r="N25" s="9">
        <f>Table1[BOD (mg/L)]-MIN(Table1[BOD (mg/L)])</f>
        <v>124.53075268817204</v>
      </c>
      <c r="O25" s="9">
        <v>1.7741935483870968E-2</v>
      </c>
      <c r="P25" s="9">
        <v>0.55000000000000004</v>
      </c>
      <c r="Q25" s="9">
        <v>30</v>
      </c>
      <c r="R25" s="9">
        <f>Table1[Billing Days]-MIN(Table1[Billing Days])</f>
        <v>2</v>
      </c>
      <c r="S25" s="9">
        <v>2016</v>
      </c>
      <c r="T25" s="9">
        <v>2017</v>
      </c>
      <c r="U25" s="9">
        <v>65831.509999999995</v>
      </c>
      <c r="V25" s="9">
        <v>0</v>
      </c>
      <c r="W25" s="9">
        <v>8575.0400000000009</v>
      </c>
      <c r="X25" s="9">
        <f t="shared" si="3"/>
        <v>74406.549999999988</v>
      </c>
      <c r="Y25" s="9">
        <v>11</v>
      </c>
      <c r="Z25" s="9">
        <v>213</v>
      </c>
      <c r="AA25" s="9">
        <v>0</v>
      </c>
      <c r="AB25" s="9">
        <v>0</v>
      </c>
      <c r="AC25" s="9">
        <f>AA25+B25</f>
        <v>757200</v>
      </c>
      <c r="AD25" s="9">
        <f>Table1[Total kWh]*0.003412142*3</f>
        <v>7751.0217671999999</v>
      </c>
      <c r="AE25" s="9">
        <v>0</v>
      </c>
      <c r="AF25" s="9">
        <v>0</v>
      </c>
      <c r="AG25" s="9">
        <f>Table1[[#This Row],[Grid Elec Source (MMBTU)]]+Table1[[#This Row],[Generated Elec Source (MMBtu)]]</f>
        <v>7751.0217671999999</v>
      </c>
      <c r="AH25" s="9">
        <f>Table1[[#This Row],[Total Elec Source MMBTU]]+Table1[[#This Row],[Grid NG Non-EG01 Source MMBTU]]</f>
        <v>7751.0217671999999</v>
      </c>
      <c r="AI25" s="9">
        <f>Table1[Total Energy Source MMBTU]+Table1[LS85 Grid Elec Source (MMBTU)]</f>
        <v>8842.2247788000004</v>
      </c>
      <c r="AJ25" s="8"/>
      <c r="AK25" s="8"/>
      <c r="AL25" s="8"/>
    </row>
    <row r="26" spans="1:38" x14ac:dyDescent="0.3">
      <c r="A26" s="9" t="s">
        <v>59</v>
      </c>
      <c r="B26" s="9">
        <v>803400</v>
      </c>
      <c r="C26" s="9">
        <f>Table1[Grid Elec kWh]*0.003412142*3</f>
        <v>8223.9446484</v>
      </c>
      <c r="D26" s="9">
        <f>Table1[Grid Elec kWh]*0.003412142</f>
        <v>2741.3148827999999</v>
      </c>
      <c r="E26" s="9">
        <v>0</v>
      </c>
      <c r="F26" s="9">
        <v>0</v>
      </c>
      <c r="G26" s="9">
        <f t="shared" si="2"/>
        <v>8223.9446484</v>
      </c>
      <c r="H26" s="9">
        <v>84600</v>
      </c>
      <c r="I26" s="9">
        <f t="shared" si="0"/>
        <v>866.00163959999998</v>
      </c>
      <c r="J26" s="9">
        <f t="shared" si="1"/>
        <v>288.66721319999999</v>
      </c>
      <c r="K26" s="9">
        <v>13.29705882352941</v>
      </c>
      <c r="L26" s="9">
        <f>Table1[Flow (MGD)]-MIN(Table1[Flow (MGD)])</f>
        <v>1.2940588235294097</v>
      </c>
      <c r="M26" s="9">
        <v>194.41176470588235</v>
      </c>
      <c r="N26" s="9">
        <f>Table1[BOD (mg/L)]-MIN(Table1[BOD (mg/L)])</f>
        <v>139.26509803921567</v>
      </c>
      <c r="O26" s="9">
        <v>3.9705882352941181E-2</v>
      </c>
      <c r="P26" s="9">
        <v>1.35</v>
      </c>
      <c r="Q26" s="9">
        <v>33</v>
      </c>
      <c r="R26" s="9">
        <f>Table1[Billing Days]-MIN(Table1[Billing Days])</f>
        <v>5</v>
      </c>
      <c r="S26" s="9">
        <v>2017</v>
      </c>
      <c r="T26" s="9">
        <v>2017</v>
      </c>
      <c r="U26" s="9">
        <v>65362.74</v>
      </c>
      <c r="V26" s="9">
        <v>0</v>
      </c>
      <c r="W26" s="9">
        <v>7714.2300000000005</v>
      </c>
      <c r="X26" s="9">
        <f t="shared" si="3"/>
        <v>73076.97</v>
      </c>
      <c r="Y26" s="9">
        <v>58</v>
      </c>
      <c r="Z26" s="9">
        <v>135</v>
      </c>
      <c r="AA26" s="9">
        <v>0</v>
      </c>
      <c r="AB26" s="9">
        <v>0</v>
      </c>
      <c r="AC26" s="9">
        <f>AA26+B26</f>
        <v>803400</v>
      </c>
      <c r="AD26" s="9">
        <f>Table1[Total kWh]*0.003412142*3</f>
        <v>8223.9446484</v>
      </c>
      <c r="AE26" s="9">
        <v>0</v>
      </c>
      <c r="AF26" s="9">
        <v>0</v>
      </c>
      <c r="AG26" s="9">
        <f>Table1[[#This Row],[Grid Elec Source (MMBTU)]]+Table1[[#This Row],[Generated Elec Source (MMBtu)]]</f>
        <v>8223.9446484</v>
      </c>
      <c r="AH26" s="9">
        <f>Table1[[#This Row],[Total Elec Source MMBTU]]+Table1[[#This Row],[Grid NG Non-EG01 Source MMBTU]]</f>
        <v>8223.9446484</v>
      </c>
      <c r="AI26" s="9">
        <f>Table1[Total Energy Source MMBTU]+Table1[LS85 Grid Elec Source (MMBTU)]</f>
        <v>9089.9462879999992</v>
      </c>
      <c r="AJ26" s="8"/>
      <c r="AK26" s="8"/>
      <c r="AL26" s="8"/>
    </row>
    <row r="27" spans="1:38" x14ac:dyDescent="0.3">
      <c r="A27" s="9" t="s">
        <v>60</v>
      </c>
      <c r="B27" s="9">
        <v>726600</v>
      </c>
      <c r="C27" s="9">
        <f>Table1[Grid Elec kWh]*0.003412142*3</f>
        <v>7437.7871316000001</v>
      </c>
      <c r="D27" s="9">
        <f>Table1[Grid Elec kWh]*0.003412142</f>
        <v>2479.2623772000002</v>
      </c>
      <c r="E27" s="9">
        <v>0</v>
      </c>
      <c r="F27" s="9">
        <v>0</v>
      </c>
      <c r="G27" s="9">
        <f t="shared" si="2"/>
        <v>7437.7871316000001</v>
      </c>
      <c r="H27" s="9">
        <v>84400</v>
      </c>
      <c r="I27" s="9">
        <f t="shared" si="0"/>
        <v>863.95435440000006</v>
      </c>
      <c r="J27" s="9">
        <f t="shared" si="1"/>
        <v>287.9847848</v>
      </c>
      <c r="K27" s="9">
        <v>13.262880000000001</v>
      </c>
      <c r="L27" s="9">
        <f>Table1[Flow (MGD)]-MIN(Table1[Flow (MGD)])</f>
        <v>1.2598800000000008</v>
      </c>
      <c r="M27" s="9">
        <v>201.33333333333334</v>
      </c>
      <c r="N27" s="9">
        <f>Table1[BOD (mg/L)]-MIN(Table1[BOD (mg/L)])</f>
        <v>146.18666666666667</v>
      </c>
      <c r="O27" s="9">
        <v>4.2333333333333334E-2</v>
      </c>
      <c r="P27" s="9">
        <v>1.27</v>
      </c>
      <c r="Q27" s="9">
        <v>29</v>
      </c>
      <c r="R27" s="9">
        <f>Table1[Billing Days]-MIN(Table1[Billing Days])</f>
        <v>1</v>
      </c>
      <c r="S27" s="9">
        <v>2017</v>
      </c>
      <c r="T27" s="9">
        <v>2017</v>
      </c>
      <c r="U27" s="9">
        <v>61872.97</v>
      </c>
      <c r="V27" s="9">
        <v>0</v>
      </c>
      <c r="W27" s="9">
        <v>7446.15</v>
      </c>
      <c r="X27" s="9">
        <f t="shared" si="3"/>
        <v>69319.12</v>
      </c>
      <c r="Y27" s="9">
        <v>2</v>
      </c>
      <c r="Z27" s="9">
        <v>160</v>
      </c>
      <c r="AA27" s="9">
        <v>0</v>
      </c>
      <c r="AB27" s="9">
        <v>0</v>
      </c>
      <c r="AC27" s="9">
        <f>AA27+B27</f>
        <v>726600</v>
      </c>
      <c r="AD27" s="9">
        <f>Table1[Total kWh]*0.003412142*3</f>
        <v>7437.7871316000001</v>
      </c>
      <c r="AE27" s="9">
        <v>0</v>
      </c>
      <c r="AF27" s="9">
        <v>0</v>
      </c>
      <c r="AG27" s="9">
        <f>Table1[[#This Row],[Grid Elec Source (MMBTU)]]+Table1[[#This Row],[Generated Elec Source (MMBtu)]]</f>
        <v>7437.7871316000001</v>
      </c>
      <c r="AH27" s="9">
        <f>Table1[[#This Row],[Total Elec Source MMBTU]]+Table1[[#This Row],[Grid NG Non-EG01 Source MMBTU]]</f>
        <v>7437.7871316000001</v>
      </c>
      <c r="AI27" s="9">
        <f>Table1[Total Energy Source MMBTU]+Table1[LS85 Grid Elec Source (MMBTU)]</f>
        <v>8301.7414860000008</v>
      </c>
      <c r="AJ27" s="8"/>
      <c r="AK27" s="8"/>
      <c r="AL27" s="8"/>
    </row>
    <row r="28" spans="1:38" x14ac:dyDescent="0.3">
      <c r="A28" s="9" t="s">
        <v>61</v>
      </c>
      <c r="B28" s="9">
        <v>784800</v>
      </c>
      <c r="C28" s="9">
        <f>Table1[Grid Elec kWh]*0.003412142*3</f>
        <v>8033.5471247999994</v>
      </c>
      <c r="D28" s="9">
        <f>Table1[Grid Elec kWh]*0.003412142</f>
        <v>2677.8490416</v>
      </c>
      <c r="E28" s="9">
        <v>0</v>
      </c>
      <c r="F28" s="9">
        <v>0</v>
      </c>
      <c r="G28" s="9">
        <f t="shared" si="2"/>
        <v>8033.5471247999994</v>
      </c>
      <c r="H28" s="9">
        <v>86800</v>
      </c>
      <c r="I28" s="9">
        <f t="shared" si="0"/>
        <v>888.5217768</v>
      </c>
      <c r="J28" s="9">
        <f t="shared" si="1"/>
        <v>296.17392560000002</v>
      </c>
      <c r="K28" s="9">
        <v>13.151433333333335</v>
      </c>
      <c r="L28" s="9">
        <f>Table1[Flow (MGD)]-MIN(Table1[Flow (MGD)])</f>
        <v>1.148433333333335</v>
      </c>
      <c r="M28" s="9">
        <v>193</v>
      </c>
      <c r="N28" s="9">
        <f>Table1[BOD (mg/L)]-MIN(Table1[BOD (mg/L)])</f>
        <v>137.85333333333332</v>
      </c>
      <c r="O28" s="9">
        <v>6.3E-2</v>
      </c>
      <c r="P28" s="9">
        <v>1.8900000000000001</v>
      </c>
      <c r="Q28" s="9">
        <v>29</v>
      </c>
      <c r="R28" s="9">
        <f>Table1[Billing Days]-MIN(Table1[Billing Days])</f>
        <v>1</v>
      </c>
      <c r="S28" s="9">
        <v>2017</v>
      </c>
      <c r="T28" s="9">
        <v>2017</v>
      </c>
      <c r="U28" s="9">
        <v>64836.89</v>
      </c>
      <c r="V28" s="9">
        <v>0</v>
      </c>
      <c r="W28" s="9">
        <v>7964.1</v>
      </c>
      <c r="X28" s="9">
        <f t="shared" si="3"/>
        <v>72800.990000000005</v>
      </c>
      <c r="Y28" s="9">
        <v>17</v>
      </c>
      <c r="Z28" s="9">
        <v>218</v>
      </c>
      <c r="AA28" s="9">
        <v>0</v>
      </c>
      <c r="AB28" s="9">
        <v>0</v>
      </c>
      <c r="AC28" s="9">
        <f>AA28+B28</f>
        <v>784800</v>
      </c>
      <c r="AD28" s="9">
        <f>Table1[Total kWh]*0.003412142*3</f>
        <v>8033.5471247999994</v>
      </c>
      <c r="AE28" s="9">
        <v>0</v>
      </c>
      <c r="AF28" s="9">
        <v>0</v>
      </c>
      <c r="AG28" s="9">
        <f>Table1[[#This Row],[Grid Elec Source (MMBTU)]]+Table1[[#This Row],[Generated Elec Source (MMBtu)]]</f>
        <v>8033.5471247999994</v>
      </c>
      <c r="AH28" s="9">
        <f>Table1[[#This Row],[Total Elec Source MMBTU]]+Table1[[#This Row],[Grid NG Non-EG01 Source MMBTU]]</f>
        <v>8033.5471247999994</v>
      </c>
      <c r="AI28" s="9">
        <f>Table1[Total Energy Source MMBTU]+Table1[LS85 Grid Elec Source (MMBTU)]</f>
        <v>8922.0689015999997</v>
      </c>
      <c r="AJ28" s="8"/>
      <c r="AK28" s="8"/>
      <c r="AL28" s="8"/>
    </row>
    <row r="29" spans="1:38" x14ac:dyDescent="0.3">
      <c r="A29" s="9" t="s">
        <v>62</v>
      </c>
      <c r="B29" s="9">
        <v>924000</v>
      </c>
      <c r="C29" s="9">
        <f>Table1[Grid Elec kWh]*0.003412142*3</f>
        <v>9458.4576239999988</v>
      </c>
      <c r="D29" s="9">
        <f>Table1[Grid Elec kWh]*0.003412142</f>
        <v>3152.8192079999999</v>
      </c>
      <c r="E29" s="9">
        <v>0</v>
      </c>
      <c r="F29" s="9">
        <v>0</v>
      </c>
      <c r="G29" s="9">
        <f t="shared" si="2"/>
        <v>9458.4576239999988</v>
      </c>
      <c r="H29" s="9">
        <v>84400</v>
      </c>
      <c r="I29" s="9">
        <f t="shared" si="0"/>
        <v>863.95435440000006</v>
      </c>
      <c r="J29" s="9">
        <f t="shared" si="1"/>
        <v>287.9847848</v>
      </c>
      <c r="K29" s="9">
        <v>12.989393939393938</v>
      </c>
      <c r="L29" s="9">
        <f>Table1[Flow (MGD)]-MIN(Table1[Flow (MGD)])</f>
        <v>0.98639393939393827</v>
      </c>
      <c r="M29" s="9">
        <v>166.06060606060606</v>
      </c>
      <c r="N29" s="9">
        <f>Table1[BOD (mg/L)]-MIN(Table1[BOD (mg/L)])</f>
        <v>110.91393939393939</v>
      </c>
      <c r="O29" s="9">
        <v>4.8181818181818187E-2</v>
      </c>
      <c r="P29" s="9">
        <v>1.59</v>
      </c>
      <c r="Q29" s="9">
        <v>32</v>
      </c>
      <c r="R29" s="9">
        <f>Table1[Billing Days]-MIN(Table1[Billing Days])</f>
        <v>4</v>
      </c>
      <c r="S29" s="9">
        <v>2017</v>
      </c>
      <c r="T29" s="9">
        <v>2017</v>
      </c>
      <c r="U29" s="9">
        <v>73900.58</v>
      </c>
      <c r="V29" s="9">
        <v>0</v>
      </c>
      <c r="W29" s="9">
        <v>8271.1</v>
      </c>
      <c r="X29" s="9">
        <f t="shared" si="3"/>
        <v>82171.680000000008</v>
      </c>
      <c r="Y29" s="9">
        <v>0</v>
      </c>
      <c r="Z29" s="9">
        <v>383</v>
      </c>
      <c r="AA29" s="9">
        <v>0</v>
      </c>
      <c r="AB29" s="9">
        <v>0</v>
      </c>
      <c r="AC29" s="9">
        <f>AA29+B29</f>
        <v>924000</v>
      </c>
      <c r="AD29" s="9">
        <f>Table1[Total kWh]*0.003412142*3</f>
        <v>9458.4576239999988</v>
      </c>
      <c r="AE29" s="9">
        <v>0</v>
      </c>
      <c r="AF29" s="9">
        <v>0</v>
      </c>
      <c r="AG29" s="9">
        <f>Table1[[#This Row],[Grid Elec Source (MMBTU)]]+Table1[[#This Row],[Generated Elec Source (MMBtu)]]</f>
        <v>9458.4576239999988</v>
      </c>
      <c r="AH29" s="9">
        <f>Table1[[#This Row],[Total Elec Source MMBTU]]+Table1[[#This Row],[Grid NG Non-EG01 Source MMBTU]]</f>
        <v>9458.4576239999988</v>
      </c>
      <c r="AI29" s="9">
        <f>Table1[Total Energy Source MMBTU]+Table1[LS85 Grid Elec Source (MMBTU)]</f>
        <v>10322.411978399999</v>
      </c>
      <c r="AJ29" s="8"/>
      <c r="AK29" s="8"/>
      <c r="AL29" s="8"/>
    </row>
    <row r="30" spans="1:38" x14ac:dyDescent="0.3">
      <c r="A30" s="9" t="s">
        <v>63</v>
      </c>
      <c r="B30" s="9">
        <v>849000</v>
      </c>
      <c r="C30" s="9">
        <f>Table1[Grid Elec kWh]*0.003412142*3</f>
        <v>8690.7256740000012</v>
      </c>
      <c r="D30" s="9">
        <f>Table1[Grid Elec kWh]*0.003412142</f>
        <v>2896.9085580000001</v>
      </c>
      <c r="E30" s="9">
        <v>0</v>
      </c>
      <c r="F30" s="9">
        <v>0</v>
      </c>
      <c r="G30" s="9">
        <f t="shared" si="2"/>
        <v>8690.7256740000012</v>
      </c>
      <c r="H30" s="9">
        <v>85400</v>
      </c>
      <c r="I30" s="9">
        <f t="shared" si="0"/>
        <v>874.19078039999999</v>
      </c>
      <c r="J30" s="9">
        <f t="shared" si="1"/>
        <v>291.39692680000002</v>
      </c>
      <c r="K30" s="9">
        <v>14.094451612903228</v>
      </c>
      <c r="L30" s="9">
        <f>Table1[Flow (MGD)]-MIN(Table1[Flow (MGD)])</f>
        <v>2.0914516129032279</v>
      </c>
      <c r="M30" s="9">
        <v>166.61290322580646</v>
      </c>
      <c r="N30" s="9">
        <f>Table1[BOD (mg/L)]-MIN(Table1[BOD (mg/L)])</f>
        <v>111.46623655913979</v>
      </c>
      <c r="O30" s="9">
        <v>8.0967741935483867E-2</v>
      </c>
      <c r="P30" s="9">
        <v>2.5099999999999998</v>
      </c>
      <c r="Q30" s="9">
        <v>30</v>
      </c>
      <c r="R30" s="9">
        <f>Table1[Billing Days]-MIN(Table1[Billing Days])</f>
        <v>2</v>
      </c>
      <c r="S30" s="9">
        <v>2017</v>
      </c>
      <c r="T30" s="9">
        <v>2017</v>
      </c>
      <c r="U30" s="9">
        <v>69381.38</v>
      </c>
      <c r="V30" s="9">
        <v>0</v>
      </c>
      <c r="W30" s="9">
        <v>8685.26</v>
      </c>
      <c r="X30" s="9">
        <f t="shared" si="3"/>
        <v>78066.64</v>
      </c>
      <c r="Y30" s="9">
        <v>0</v>
      </c>
      <c r="Z30" s="9">
        <v>513</v>
      </c>
      <c r="AA30" s="9">
        <v>0</v>
      </c>
      <c r="AB30" s="9">
        <v>0</v>
      </c>
      <c r="AC30" s="9">
        <f>AA30+B30</f>
        <v>849000</v>
      </c>
      <c r="AD30" s="9">
        <f>Table1[Total kWh]*0.003412142*3</f>
        <v>8690.7256740000012</v>
      </c>
      <c r="AE30" s="9">
        <v>0</v>
      </c>
      <c r="AF30" s="9">
        <v>0</v>
      </c>
      <c r="AG30" s="9">
        <f>Table1[[#This Row],[Grid Elec Source (MMBTU)]]+Table1[[#This Row],[Generated Elec Source (MMBtu)]]</f>
        <v>8690.7256740000012</v>
      </c>
      <c r="AH30" s="9">
        <f>Table1[[#This Row],[Total Elec Source MMBTU]]+Table1[[#This Row],[Grid NG Non-EG01 Source MMBTU]]</f>
        <v>8690.7256740000012</v>
      </c>
      <c r="AI30" s="9">
        <f>Table1[Total Energy Source MMBTU]+Table1[LS85 Grid Elec Source (MMBTU)]</f>
        <v>9564.9164544000014</v>
      </c>
      <c r="AJ30" s="8"/>
      <c r="AK30" s="8"/>
      <c r="AL30" s="8"/>
    </row>
    <row r="31" spans="1:38" x14ac:dyDescent="0.3">
      <c r="A31" s="9" t="s">
        <v>64</v>
      </c>
      <c r="B31" s="9">
        <v>806400</v>
      </c>
      <c r="C31" s="9">
        <f>Table1[Grid Elec kWh]*0.003412142*3</f>
        <v>8254.6539263999985</v>
      </c>
      <c r="D31" s="9">
        <f>Table1[Grid Elec kWh]*0.003412142</f>
        <v>2751.5513087999998</v>
      </c>
      <c r="E31" s="9">
        <v>0</v>
      </c>
      <c r="F31" s="9">
        <v>0</v>
      </c>
      <c r="G31" s="9">
        <f t="shared" si="2"/>
        <v>8254.6539263999985</v>
      </c>
      <c r="H31" s="9">
        <v>102400</v>
      </c>
      <c r="I31" s="9">
        <f t="shared" si="0"/>
        <v>1048.2100224000001</v>
      </c>
      <c r="J31" s="9">
        <f t="shared" si="1"/>
        <v>349.40334080000002</v>
      </c>
      <c r="K31" s="9">
        <v>15.831566666666667</v>
      </c>
      <c r="L31" s="9">
        <f>Table1[Flow (MGD)]-MIN(Table1[Flow (MGD)])</f>
        <v>3.8285666666666671</v>
      </c>
      <c r="M31" s="9">
        <v>148.5</v>
      </c>
      <c r="N31" s="9">
        <f>Table1[BOD (mg/L)]-MIN(Table1[BOD (mg/L)])</f>
        <v>93.353333333333325</v>
      </c>
      <c r="O31" s="9">
        <v>0.3</v>
      </c>
      <c r="P31" s="9">
        <v>9</v>
      </c>
      <c r="Q31" s="9">
        <v>29</v>
      </c>
      <c r="R31" s="9">
        <f>Table1[Billing Days]-MIN(Table1[Billing Days])</f>
        <v>1</v>
      </c>
      <c r="S31" s="9">
        <v>2017</v>
      </c>
      <c r="T31" s="9">
        <v>2017</v>
      </c>
      <c r="U31" s="9">
        <v>72087.350000000006</v>
      </c>
      <c r="V31" s="9">
        <v>0</v>
      </c>
      <c r="W31" s="9">
        <v>9926.6799999999985</v>
      </c>
      <c r="X31" s="9">
        <f t="shared" si="3"/>
        <v>82014.03</v>
      </c>
      <c r="Y31" s="9">
        <v>0</v>
      </c>
      <c r="Z31" s="9">
        <v>597</v>
      </c>
      <c r="AA31" s="9">
        <v>0</v>
      </c>
      <c r="AB31" s="9">
        <v>0</v>
      </c>
      <c r="AC31" s="9">
        <f>AA31+B31</f>
        <v>806400</v>
      </c>
      <c r="AD31" s="9">
        <f>Table1[Total kWh]*0.003412142*3</f>
        <v>8254.6539263999985</v>
      </c>
      <c r="AE31" s="9">
        <v>0</v>
      </c>
      <c r="AF31" s="9">
        <v>0</v>
      </c>
      <c r="AG31" s="9">
        <f>Table1[[#This Row],[Grid Elec Source (MMBTU)]]+Table1[[#This Row],[Generated Elec Source (MMBtu)]]</f>
        <v>8254.6539263999985</v>
      </c>
      <c r="AH31" s="9">
        <f>Table1[[#This Row],[Total Elec Source MMBTU]]+Table1[[#This Row],[Grid NG Non-EG01 Source MMBTU]]</f>
        <v>8254.6539263999985</v>
      </c>
      <c r="AI31" s="9">
        <f>Table1[Total Energy Source MMBTU]+Table1[LS85 Grid Elec Source (MMBTU)]</f>
        <v>9302.863948799999</v>
      </c>
      <c r="AJ31" s="8"/>
      <c r="AK31" s="8"/>
      <c r="AL31" s="8"/>
    </row>
    <row r="32" spans="1:38" x14ac:dyDescent="0.3">
      <c r="A32" s="9" t="s">
        <v>65</v>
      </c>
      <c r="B32" s="9">
        <v>978000</v>
      </c>
      <c r="C32" s="9">
        <f>Table1[Grid Elec kWh]*0.003412142*3</f>
        <v>10011.224628</v>
      </c>
      <c r="D32" s="9">
        <f>Table1[Grid Elec kWh]*0.003412142</f>
        <v>3337.0748760000001</v>
      </c>
      <c r="E32" s="9">
        <v>0</v>
      </c>
      <c r="F32" s="9">
        <v>0</v>
      </c>
      <c r="G32" s="9">
        <f t="shared" si="2"/>
        <v>10011.224628</v>
      </c>
      <c r="H32" s="9">
        <v>115800</v>
      </c>
      <c r="I32" s="9">
        <f t="shared" si="0"/>
        <v>1185.3781308</v>
      </c>
      <c r="J32" s="9">
        <f t="shared" si="1"/>
        <v>395.1260436</v>
      </c>
      <c r="K32" s="9">
        <v>18.723424242424244</v>
      </c>
      <c r="L32" s="9">
        <f>Table1[Flow (MGD)]-MIN(Table1[Flow (MGD)])</f>
        <v>6.7204242424242437</v>
      </c>
      <c r="M32" s="9">
        <v>134.24242424242425</v>
      </c>
      <c r="N32" s="9">
        <f>Table1[BOD (mg/L)]-MIN(Table1[BOD (mg/L)])</f>
        <v>79.095757575757574</v>
      </c>
      <c r="O32" s="9">
        <v>0.26515151515151514</v>
      </c>
      <c r="P32" s="9">
        <v>8.75</v>
      </c>
      <c r="Q32" s="9">
        <v>32</v>
      </c>
      <c r="R32" s="9">
        <f>Table1[Billing Days]-MIN(Table1[Billing Days])</f>
        <v>4</v>
      </c>
      <c r="S32" s="9">
        <v>2017</v>
      </c>
      <c r="T32" s="9">
        <v>2017</v>
      </c>
      <c r="U32" s="9">
        <v>86971.72</v>
      </c>
      <c r="V32" s="9">
        <v>0</v>
      </c>
      <c r="W32" s="9">
        <v>13023.42</v>
      </c>
      <c r="X32" s="9">
        <f t="shared" si="3"/>
        <v>99995.14</v>
      </c>
      <c r="Y32" s="9">
        <v>0</v>
      </c>
      <c r="Z32" s="9">
        <v>705</v>
      </c>
      <c r="AA32" s="9">
        <v>0</v>
      </c>
      <c r="AB32" s="9">
        <v>0</v>
      </c>
      <c r="AC32" s="9">
        <f>AA32+B32</f>
        <v>978000</v>
      </c>
      <c r="AD32" s="9">
        <f>Table1[Total kWh]*0.003412142*3</f>
        <v>10011.224628</v>
      </c>
      <c r="AE32" s="9">
        <v>0</v>
      </c>
      <c r="AF32" s="9">
        <v>0</v>
      </c>
      <c r="AG32" s="9">
        <f>Table1[[#This Row],[Grid Elec Source (MMBTU)]]+Table1[[#This Row],[Generated Elec Source (MMBtu)]]</f>
        <v>10011.224628</v>
      </c>
      <c r="AH32" s="9">
        <f>Table1[[#This Row],[Total Elec Source MMBTU]]+Table1[[#This Row],[Grid NG Non-EG01 Source MMBTU]]</f>
        <v>10011.224628</v>
      </c>
      <c r="AI32" s="9">
        <f>Table1[Total Energy Source MMBTU]+Table1[LS85 Grid Elec Source (MMBTU)]</f>
        <v>11196.6027588</v>
      </c>
      <c r="AJ32" s="8"/>
      <c r="AK32" s="8"/>
      <c r="AL32" s="8"/>
    </row>
    <row r="33" spans="1:38" x14ac:dyDescent="0.3">
      <c r="A33" s="9" t="s">
        <v>66</v>
      </c>
      <c r="B33" s="9">
        <v>948600</v>
      </c>
      <c r="C33" s="9">
        <f>Table1[Grid Elec kWh]*0.003412142*3</f>
        <v>9710.2737035999999</v>
      </c>
      <c r="D33" s="9">
        <f>Table1[Grid Elec kWh]*0.003412142</f>
        <v>3236.7579012000001</v>
      </c>
      <c r="E33" s="9">
        <v>0</v>
      </c>
      <c r="F33" s="9">
        <v>0</v>
      </c>
      <c r="G33" s="9">
        <f t="shared" si="2"/>
        <v>9710.2737035999999</v>
      </c>
      <c r="H33" s="9">
        <v>141200</v>
      </c>
      <c r="I33" s="9">
        <f t="shared" si="0"/>
        <v>1445.3833512000001</v>
      </c>
      <c r="J33" s="9">
        <f t="shared" si="1"/>
        <v>481.79445040000002</v>
      </c>
      <c r="K33" s="9">
        <v>24.092533333333336</v>
      </c>
      <c r="L33" s="9">
        <f>Table1[Flow (MGD)]-MIN(Table1[Flow (MGD)])</f>
        <v>12.089533333333335</v>
      </c>
      <c r="M33" s="9">
        <v>121.33333333333333</v>
      </c>
      <c r="N33" s="9">
        <f>Table1[BOD (mg/L)]-MIN(Table1[BOD (mg/L)])</f>
        <v>66.186666666666667</v>
      </c>
      <c r="O33" s="9">
        <v>0.23499999999999999</v>
      </c>
      <c r="P33" s="9">
        <v>7.05</v>
      </c>
      <c r="Q33" s="9">
        <v>29</v>
      </c>
      <c r="R33" s="9">
        <f>Table1[Billing Days]-MIN(Table1[Billing Days])</f>
        <v>1</v>
      </c>
      <c r="S33" s="9">
        <v>2017</v>
      </c>
      <c r="T33" s="9">
        <v>2017</v>
      </c>
      <c r="U33" s="9">
        <v>87650.4</v>
      </c>
      <c r="V33" s="9">
        <v>0</v>
      </c>
      <c r="W33" s="9">
        <v>17582.129999999997</v>
      </c>
      <c r="X33" s="9">
        <f t="shared" si="3"/>
        <v>105232.53</v>
      </c>
      <c r="Y33" s="9">
        <v>0</v>
      </c>
      <c r="Z33" s="9">
        <v>701</v>
      </c>
      <c r="AA33" s="9">
        <v>0</v>
      </c>
      <c r="AB33" s="9">
        <v>0</v>
      </c>
      <c r="AC33" s="9">
        <f>AA33+B33</f>
        <v>948600</v>
      </c>
      <c r="AD33" s="9">
        <f>Table1[Total kWh]*0.003412142*3</f>
        <v>9710.2737035999999</v>
      </c>
      <c r="AE33" s="9">
        <v>0</v>
      </c>
      <c r="AF33" s="9">
        <v>0</v>
      </c>
      <c r="AG33" s="9">
        <f>Table1[[#This Row],[Grid Elec Source (MMBTU)]]+Table1[[#This Row],[Generated Elec Source (MMBtu)]]</f>
        <v>9710.2737035999999</v>
      </c>
      <c r="AH33" s="9">
        <f>Table1[[#This Row],[Total Elec Source MMBTU]]+Table1[[#This Row],[Grid NG Non-EG01 Source MMBTU]]</f>
        <v>9710.2737035999999</v>
      </c>
      <c r="AI33" s="9">
        <f>Table1[Total Energy Source MMBTU]+Table1[LS85 Grid Elec Source (MMBTU)]</f>
        <v>11155.6570548</v>
      </c>
      <c r="AJ33" s="8"/>
      <c r="AK33" s="8"/>
      <c r="AL33" s="8"/>
    </row>
    <row r="34" spans="1:38" x14ac:dyDescent="0.3">
      <c r="A34" s="9" t="s">
        <v>67</v>
      </c>
      <c r="B34" s="9">
        <v>930600</v>
      </c>
      <c r="C34" s="9">
        <f>Table1[Grid Elec kWh]*0.003412142*3</f>
        <v>9526.0180356000001</v>
      </c>
      <c r="D34" s="9">
        <f>Table1[Grid Elec kWh]*0.003412142</f>
        <v>3175.3393452</v>
      </c>
      <c r="E34" s="9">
        <v>0</v>
      </c>
      <c r="F34" s="9">
        <v>0</v>
      </c>
      <c r="G34" s="9">
        <f t="shared" si="2"/>
        <v>9526.0180356000001</v>
      </c>
      <c r="H34" s="9">
        <v>164000</v>
      </c>
      <c r="I34" s="9">
        <f t="shared" si="0"/>
        <v>1678.7738639999998</v>
      </c>
      <c r="J34" s="9">
        <f t="shared" si="1"/>
        <v>559.59128799999996</v>
      </c>
      <c r="K34" s="9">
        <v>23.274516129032257</v>
      </c>
      <c r="L34" s="9">
        <f>Table1[Flow (MGD)]-MIN(Table1[Flow (MGD)])</f>
        <v>11.271516129032257</v>
      </c>
      <c r="M34" s="9">
        <v>107.01612903225806</v>
      </c>
      <c r="N34" s="9">
        <f>Table1[BOD (mg/L)]-MIN(Table1[BOD (mg/L)])</f>
        <v>51.869462365591396</v>
      </c>
      <c r="O34" s="9">
        <v>0.16516129032258065</v>
      </c>
      <c r="P34" s="9">
        <v>5.12</v>
      </c>
      <c r="Q34" s="9">
        <v>30</v>
      </c>
      <c r="R34" s="9">
        <f>Table1[Billing Days]-MIN(Table1[Billing Days])</f>
        <v>2</v>
      </c>
      <c r="S34" s="9">
        <v>2017</v>
      </c>
      <c r="T34" s="9">
        <v>2017</v>
      </c>
      <c r="U34" s="9">
        <v>80955.97</v>
      </c>
      <c r="V34" s="9">
        <v>0</v>
      </c>
      <c r="W34" s="9">
        <v>18777.82</v>
      </c>
      <c r="X34" s="9">
        <f t="shared" si="3"/>
        <v>99733.790000000008</v>
      </c>
      <c r="Y34" s="9">
        <v>0</v>
      </c>
      <c r="Z34" s="9">
        <v>634</v>
      </c>
      <c r="AA34" s="9">
        <v>0</v>
      </c>
      <c r="AB34" s="9">
        <v>0</v>
      </c>
      <c r="AC34" s="9">
        <f>AA34+B34</f>
        <v>930600</v>
      </c>
      <c r="AD34" s="9">
        <f>Table1[Total kWh]*0.003412142*3</f>
        <v>9526.0180356000001</v>
      </c>
      <c r="AE34" s="9">
        <v>0</v>
      </c>
      <c r="AF34" s="9">
        <v>0</v>
      </c>
      <c r="AG34" s="9">
        <f>Table1[[#This Row],[Grid Elec Source (MMBTU)]]+Table1[[#This Row],[Generated Elec Source (MMBtu)]]</f>
        <v>9526.0180356000001</v>
      </c>
      <c r="AH34" s="9">
        <f>Table1[[#This Row],[Total Elec Source MMBTU]]+Table1[[#This Row],[Grid NG Non-EG01 Source MMBTU]]</f>
        <v>9526.0180356000001</v>
      </c>
      <c r="AI34" s="9">
        <f>Table1[Total Energy Source MMBTU]+Table1[LS85 Grid Elec Source (MMBTU)]</f>
        <v>11204.791899600001</v>
      </c>
      <c r="AJ34" s="8"/>
      <c r="AK34" s="8"/>
      <c r="AL34" s="8"/>
    </row>
    <row r="35" spans="1:38" x14ac:dyDescent="0.3">
      <c r="A35" s="9" t="s">
        <v>68</v>
      </c>
      <c r="B35" s="9">
        <v>913800</v>
      </c>
      <c r="C35" s="9">
        <f>Table1[Grid Elec kWh]*0.003412142*3</f>
        <v>9354.0460788</v>
      </c>
      <c r="D35" s="9">
        <f>Table1[Grid Elec kWh]*0.003412142</f>
        <v>3118.0153596</v>
      </c>
      <c r="E35" s="9">
        <v>0</v>
      </c>
      <c r="F35" s="9">
        <v>0</v>
      </c>
      <c r="G35" s="9">
        <f t="shared" si="2"/>
        <v>9354.0460788</v>
      </c>
      <c r="H35" s="9">
        <v>102600</v>
      </c>
      <c r="I35" s="9">
        <f t="shared" si="0"/>
        <v>1050.2573076000001</v>
      </c>
      <c r="J35" s="9">
        <f t="shared" si="1"/>
        <v>350.08576920000002</v>
      </c>
      <c r="K35" s="9">
        <v>17.376562500000002</v>
      </c>
      <c r="L35" s="9">
        <f>Table1[Flow (MGD)]-MIN(Table1[Flow (MGD)])</f>
        <v>5.373562500000002</v>
      </c>
      <c r="M35" s="9">
        <v>132.28125</v>
      </c>
      <c r="N35" s="9">
        <f>Table1[BOD (mg/L)]-MIN(Table1[BOD (mg/L)])</f>
        <v>77.134583333333325</v>
      </c>
      <c r="O35" s="9">
        <v>9.9375000000000005E-2</v>
      </c>
      <c r="P35" s="9">
        <v>3.18</v>
      </c>
      <c r="Q35" s="9">
        <v>31</v>
      </c>
      <c r="R35" s="9">
        <f>Table1[Billing Days]-MIN(Table1[Billing Days])</f>
        <v>3</v>
      </c>
      <c r="S35" s="9">
        <v>2017</v>
      </c>
      <c r="T35" s="9">
        <v>2018</v>
      </c>
      <c r="U35" s="9">
        <v>74791.98</v>
      </c>
      <c r="V35" s="9">
        <v>0</v>
      </c>
      <c r="W35" s="9">
        <v>10404.539999999999</v>
      </c>
      <c r="X35" s="9">
        <f t="shared" si="3"/>
        <v>85196.51999999999</v>
      </c>
      <c r="Y35" s="9">
        <v>1</v>
      </c>
      <c r="Z35" s="9">
        <v>473</v>
      </c>
      <c r="AA35" s="9">
        <v>0</v>
      </c>
      <c r="AB35" s="9">
        <v>0</v>
      </c>
      <c r="AC35" s="9">
        <f>AA35+B35</f>
        <v>913800</v>
      </c>
      <c r="AD35" s="9">
        <f>Table1[Total kWh]*0.003412142*3</f>
        <v>9354.0460788</v>
      </c>
      <c r="AE35" s="9">
        <v>0</v>
      </c>
      <c r="AF35" s="9">
        <v>0</v>
      </c>
      <c r="AG35" s="9">
        <f>Table1[[#This Row],[Grid Elec Source (MMBTU)]]+Table1[[#This Row],[Generated Elec Source (MMBtu)]]</f>
        <v>9354.0460788</v>
      </c>
      <c r="AH35" s="9">
        <f>Table1[[#This Row],[Total Elec Source MMBTU]]+Table1[[#This Row],[Grid NG Non-EG01 Source MMBTU]]</f>
        <v>9354.0460788</v>
      </c>
      <c r="AI35" s="9">
        <f>Table1[Total Energy Source MMBTU]+Table1[LS85 Grid Elec Source (MMBTU)]</f>
        <v>10404.303386400001</v>
      </c>
      <c r="AJ35" s="8"/>
      <c r="AK35" s="8"/>
      <c r="AL35" s="8"/>
    </row>
    <row r="36" spans="1:38" x14ac:dyDescent="0.3">
      <c r="A36" s="9" t="s">
        <v>69</v>
      </c>
      <c r="B36" s="9">
        <v>804000</v>
      </c>
      <c r="C36" s="9">
        <f>Table1[Grid Elec kWh]*0.003412142*3</f>
        <v>8230.0865040000008</v>
      </c>
      <c r="D36" s="9">
        <f>Table1[Grid Elec kWh]*0.003412142</f>
        <v>2743.3621680000001</v>
      </c>
      <c r="E36" s="9">
        <v>0</v>
      </c>
      <c r="F36" s="9">
        <v>0</v>
      </c>
      <c r="G36" s="9">
        <f t="shared" si="2"/>
        <v>8230.0865040000008</v>
      </c>
      <c r="H36" s="9">
        <v>85400</v>
      </c>
      <c r="I36" s="9">
        <f t="shared" si="0"/>
        <v>874.19078039999999</v>
      </c>
      <c r="J36" s="9">
        <f t="shared" si="1"/>
        <v>291.39692680000002</v>
      </c>
      <c r="K36" s="9">
        <v>14.831129032258062</v>
      </c>
      <c r="L36" s="9">
        <f>Table1[Flow (MGD)]-MIN(Table1[Flow (MGD)])</f>
        <v>2.8281290322580617</v>
      </c>
      <c r="M36" s="9">
        <v>161.61290322580646</v>
      </c>
      <c r="N36" s="9">
        <f>Table1[BOD (mg/L)]-MIN(Table1[BOD (mg/L)])</f>
        <v>106.46623655913979</v>
      </c>
      <c r="O36" s="9">
        <v>2.5806451612903226E-2</v>
      </c>
      <c r="P36" s="9">
        <v>0.8</v>
      </c>
      <c r="Q36" s="9">
        <v>30</v>
      </c>
      <c r="R36" s="9">
        <f>Table1[Billing Days]-MIN(Table1[Billing Days])</f>
        <v>2</v>
      </c>
      <c r="S36" s="9">
        <v>2017</v>
      </c>
      <c r="T36" s="9">
        <v>2018</v>
      </c>
      <c r="U36" s="9">
        <v>64970.82</v>
      </c>
      <c r="V36" s="9">
        <v>0</v>
      </c>
      <c r="W36" s="9">
        <v>7549.5999999999995</v>
      </c>
      <c r="X36" s="9">
        <f t="shared" si="3"/>
        <v>72520.42</v>
      </c>
      <c r="Y36" s="9">
        <v>0</v>
      </c>
      <c r="Z36" s="9">
        <v>274</v>
      </c>
      <c r="AA36" s="9">
        <v>0</v>
      </c>
      <c r="AB36" s="9">
        <v>0</v>
      </c>
      <c r="AC36" s="9">
        <f>AA36+B36</f>
        <v>804000</v>
      </c>
      <c r="AD36" s="9">
        <f>Table1[Total kWh]*0.003412142*3</f>
        <v>8230.0865040000008</v>
      </c>
      <c r="AE36" s="9">
        <v>0</v>
      </c>
      <c r="AF36" s="9">
        <v>0</v>
      </c>
      <c r="AG36" s="9">
        <f>Table1[[#This Row],[Grid Elec Source (MMBTU)]]+Table1[[#This Row],[Generated Elec Source (MMBtu)]]</f>
        <v>8230.0865040000008</v>
      </c>
      <c r="AH36" s="9">
        <f>Table1[[#This Row],[Total Elec Source MMBTU]]+Table1[[#This Row],[Grid NG Non-EG01 Source MMBTU]]</f>
        <v>8230.0865040000008</v>
      </c>
      <c r="AI36" s="9">
        <f>Table1[Total Energy Source MMBTU]+Table1[LS85 Grid Elec Source (MMBTU)]</f>
        <v>9104.277284400001</v>
      </c>
      <c r="AJ36" s="8"/>
      <c r="AK36" s="8"/>
      <c r="AL36" s="8"/>
    </row>
    <row r="37" spans="1:38" x14ac:dyDescent="0.3">
      <c r="A37" s="9" t="s">
        <v>70</v>
      </c>
      <c r="B37" s="9">
        <v>814200</v>
      </c>
      <c r="C37" s="9">
        <f>Table1[Grid Elec kWh]*0.003412142*3</f>
        <v>8334.4980491999995</v>
      </c>
      <c r="D37" s="9">
        <f>Table1[Grid Elec kWh]*0.003412142</f>
        <v>2778.1660164</v>
      </c>
      <c r="E37" s="9">
        <v>0</v>
      </c>
      <c r="F37" s="9">
        <v>0</v>
      </c>
      <c r="G37" s="9">
        <f t="shared" si="2"/>
        <v>8334.4980491999995</v>
      </c>
      <c r="H37" s="9">
        <v>85200</v>
      </c>
      <c r="I37" s="9">
        <f t="shared" si="0"/>
        <v>872.14349519999996</v>
      </c>
      <c r="J37" s="9">
        <f t="shared" si="1"/>
        <v>290.71449839999997</v>
      </c>
      <c r="K37" s="9">
        <v>13.544032258064519</v>
      </c>
      <c r="L37" s="9">
        <f>Table1[Flow (MGD)]-MIN(Table1[Flow (MGD)])</f>
        <v>1.5410322580645186</v>
      </c>
      <c r="M37" s="9">
        <v>183.2258064516129</v>
      </c>
      <c r="N37" s="9">
        <f>Table1[BOD (mg/L)]-MIN(Table1[BOD (mg/L)])</f>
        <v>128.07913978494622</v>
      </c>
      <c r="O37" s="9">
        <v>0.03</v>
      </c>
      <c r="P37" s="9">
        <v>0.92999999999999994</v>
      </c>
      <c r="Q37" s="9">
        <v>30</v>
      </c>
      <c r="R37" s="9">
        <f>Table1[Billing Days]-MIN(Table1[Billing Days])</f>
        <v>2</v>
      </c>
      <c r="S37" s="9">
        <v>2017</v>
      </c>
      <c r="T37" s="9">
        <v>2018</v>
      </c>
      <c r="U37" s="9">
        <v>70308.009999999995</v>
      </c>
      <c r="V37" s="9">
        <v>0</v>
      </c>
      <c r="W37" s="9">
        <v>7357.03</v>
      </c>
      <c r="X37" s="9">
        <f t="shared" si="3"/>
        <v>77665.039999999994</v>
      </c>
      <c r="Y37" s="9">
        <v>29</v>
      </c>
      <c r="Z37" s="9">
        <v>177</v>
      </c>
      <c r="AA37" s="9">
        <v>0</v>
      </c>
      <c r="AB37" s="9">
        <v>0</v>
      </c>
      <c r="AC37" s="9">
        <f>AA37+B37</f>
        <v>814200</v>
      </c>
      <c r="AD37" s="9">
        <f>Table1[Total kWh]*0.003412142*3</f>
        <v>8334.4980491999995</v>
      </c>
      <c r="AE37" s="9">
        <v>0</v>
      </c>
      <c r="AF37" s="9">
        <v>0</v>
      </c>
      <c r="AG37" s="9">
        <f>Table1[[#This Row],[Grid Elec Source (MMBTU)]]+Table1[[#This Row],[Generated Elec Source (MMBtu)]]</f>
        <v>8334.4980491999995</v>
      </c>
      <c r="AH37" s="9">
        <f>Table1[[#This Row],[Total Elec Source MMBTU]]+Table1[[#This Row],[Grid NG Non-EG01 Source MMBTU]]</f>
        <v>8334.4980491999995</v>
      </c>
      <c r="AI37" s="9">
        <f>Table1[Total Energy Source MMBTU]+Table1[LS85 Grid Elec Source (MMBTU)]</f>
        <v>9206.6415443999995</v>
      </c>
      <c r="AJ37" s="8"/>
      <c r="AK37" s="8"/>
      <c r="AL37" s="8"/>
    </row>
    <row r="38" spans="1:38" x14ac:dyDescent="0.3">
      <c r="A38" s="9" t="s">
        <v>71</v>
      </c>
      <c r="B38" s="9">
        <v>877200</v>
      </c>
      <c r="C38" s="9">
        <f>Table1[Grid Elec kWh]*0.003412142*3</f>
        <v>8979.3928871999997</v>
      </c>
      <c r="D38" s="9">
        <f>Table1[Grid Elec kWh]*0.003412142</f>
        <v>2993.1309624</v>
      </c>
      <c r="E38" s="9">
        <v>0</v>
      </c>
      <c r="F38" s="9">
        <v>0</v>
      </c>
      <c r="G38" s="9">
        <f t="shared" si="2"/>
        <v>8979.3928871999997</v>
      </c>
      <c r="H38" s="9">
        <v>89600</v>
      </c>
      <c r="I38" s="9">
        <f t="shared" si="0"/>
        <v>917.18376960000001</v>
      </c>
      <c r="J38" s="9">
        <f t="shared" si="1"/>
        <v>305.72792320000002</v>
      </c>
      <c r="K38" s="9">
        <v>13.607432352941174</v>
      </c>
      <c r="L38" s="9">
        <f>Table1[Flow (MGD)]-MIN(Table1[Flow (MGD)])</f>
        <v>1.6044323529411741</v>
      </c>
      <c r="M38" s="9">
        <v>204.41176470588235</v>
      </c>
      <c r="N38" s="9">
        <f>Table1[BOD (mg/L)]-MIN(Table1[BOD (mg/L)])</f>
        <v>149.26509803921567</v>
      </c>
      <c r="O38" s="9">
        <v>0.12058823529411766</v>
      </c>
      <c r="P38" s="9">
        <v>4.1000000000000005</v>
      </c>
      <c r="Q38" s="9">
        <v>33</v>
      </c>
      <c r="R38" s="9">
        <f>Table1[Billing Days]-MIN(Table1[Billing Days])</f>
        <v>5</v>
      </c>
      <c r="S38" s="9">
        <v>2018</v>
      </c>
      <c r="T38" s="9">
        <v>2018</v>
      </c>
      <c r="U38" s="9">
        <v>75348.69</v>
      </c>
      <c r="V38" s="9">
        <v>0</v>
      </c>
      <c r="W38" s="9">
        <v>7935.09</v>
      </c>
      <c r="X38" s="9">
        <f t="shared" si="3"/>
        <v>83283.78</v>
      </c>
      <c r="Y38" s="9">
        <v>176</v>
      </c>
      <c r="Z38" s="9">
        <v>36</v>
      </c>
      <c r="AA38" s="9">
        <v>0</v>
      </c>
      <c r="AB38" s="9">
        <v>0</v>
      </c>
      <c r="AC38" s="9">
        <f>AA38+B38</f>
        <v>877200</v>
      </c>
      <c r="AD38" s="9">
        <f>Table1[Total kWh]*0.003412142*3</f>
        <v>8979.3928871999997</v>
      </c>
      <c r="AE38" s="9">
        <v>0</v>
      </c>
      <c r="AF38" s="9">
        <v>0</v>
      </c>
      <c r="AG38" s="9">
        <f>Table1[[#This Row],[Grid Elec Source (MMBTU)]]+Table1[[#This Row],[Generated Elec Source (MMBtu)]]</f>
        <v>8979.3928871999997</v>
      </c>
      <c r="AH38" s="9">
        <f>Table1[[#This Row],[Total Elec Source MMBTU]]+Table1[[#This Row],[Grid NG Non-EG01 Source MMBTU]]</f>
        <v>8979.3928871999997</v>
      </c>
      <c r="AI38" s="9">
        <f>Table1[Total Energy Source MMBTU]+Table1[LS85 Grid Elec Source (MMBTU)]</f>
        <v>9896.5766567999999</v>
      </c>
      <c r="AJ38" s="8"/>
      <c r="AK38" s="8"/>
      <c r="AL38" s="8"/>
    </row>
    <row r="39" spans="1:38" x14ac:dyDescent="0.3">
      <c r="A39" s="9" t="s">
        <v>72</v>
      </c>
      <c r="B39" s="9">
        <v>876600</v>
      </c>
      <c r="C39" s="9">
        <f>Table1[Grid Elec kWh]*0.003412142*3</f>
        <v>8973.2510315999989</v>
      </c>
      <c r="D39" s="9">
        <f>Table1[Grid Elec kWh]*0.003412142</f>
        <v>2991.0836771999998</v>
      </c>
      <c r="E39" s="9">
        <v>0</v>
      </c>
      <c r="F39" s="9">
        <v>0</v>
      </c>
      <c r="G39" s="9">
        <f t="shared" si="2"/>
        <v>8973.2510315999989</v>
      </c>
      <c r="H39" s="9">
        <v>89200</v>
      </c>
      <c r="I39" s="9">
        <f t="shared" si="0"/>
        <v>913.08919919999994</v>
      </c>
      <c r="J39" s="9">
        <f t="shared" si="1"/>
        <v>304.36306639999998</v>
      </c>
      <c r="K39" s="9">
        <v>14.583129032258066</v>
      </c>
      <c r="L39" s="9">
        <f>Table1[Flow (MGD)]-MIN(Table1[Flow (MGD)])</f>
        <v>2.5801290322580659</v>
      </c>
      <c r="M39" s="9">
        <v>177.09677419354838</v>
      </c>
      <c r="N39" s="9">
        <f>Table1[BOD (mg/L)]-MIN(Table1[BOD (mg/L)])</f>
        <v>121.95010752688171</v>
      </c>
      <c r="O39" s="9">
        <v>5.2258064516129035E-2</v>
      </c>
      <c r="P39" s="9">
        <v>1.62</v>
      </c>
      <c r="Q39" s="9">
        <v>30</v>
      </c>
      <c r="R39" s="9">
        <f>Table1[Billing Days]-MIN(Table1[Billing Days])</f>
        <v>2</v>
      </c>
      <c r="S39" s="9">
        <v>2018</v>
      </c>
      <c r="T39" s="9">
        <v>2018</v>
      </c>
      <c r="U39" s="9">
        <v>75819.25</v>
      </c>
      <c r="V39" s="9">
        <v>0</v>
      </c>
      <c r="W39" s="9">
        <v>8686.51</v>
      </c>
      <c r="X39" s="9">
        <f t="shared" si="3"/>
        <v>84505.76</v>
      </c>
      <c r="Y39" s="9">
        <v>1</v>
      </c>
      <c r="Z39" s="9">
        <v>278</v>
      </c>
      <c r="AA39" s="9">
        <v>0</v>
      </c>
      <c r="AB39" s="9">
        <v>0</v>
      </c>
      <c r="AC39" s="9">
        <f>AA39+B39</f>
        <v>876600</v>
      </c>
      <c r="AD39" s="9">
        <f>Table1[Total kWh]*0.003412142*3</f>
        <v>8973.2510315999989</v>
      </c>
      <c r="AE39" s="9">
        <v>0</v>
      </c>
      <c r="AF39" s="9">
        <v>0</v>
      </c>
      <c r="AG39" s="9">
        <f>Table1[[#This Row],[Grid Elec Source (MMBTU)]]+Table1[[#This Row],[Generated Elec Source (MMBtu)]]</f>
        <v>8973.2510315999989</v>
      </c>
      <c r="AH39" s="9">
        <f>Table1[[#This Row],[Total Elec Source MMBTU]]+Table1[[#This Row],[Grid NG Non-EG01 Source MMBTU]]</f>
        <v>8973.2510315999989</v>
      </c>
      <c r="AI39" s="9">
        <f>Table1[Total Energy Source MMBTU]+Table1[LS85 Grid Elec Source (MMBTU)]</f>
        <v>9886.3402307999986</v>
      </c>
      <c r="AJ39" s="8"/>
      <c r="AK39" s="8"/>
      <c r="AL39" s="8"/>
    </row>
    <row r="40" spans="1:38" x14ac:dyDescent="0.3">
      <c r="A40" s="9" t="s">
        <v>73</v>
      </c>
      <c r="B40" s="9">
        <v>933000</v>
      </c>
      <c r="C40" s="9">
        <f>Table1[Grid Elec kWh]*0.003412142*3</f>
        <v>9550.5854580000014</v>
      </c>
      <c r="D40" s="9">
        <f>Table1[Grid Elec kWh]*0.003412142</f>
        <v>3183.5284860000002</v>
      </c>
      <c r="E40" s="9">
        <v>0</v>
      </c>
      <c r="F40" s="9">
        <v>0</v>
      </c>
      <c r="G40" s="9">
        <f t="shared" si="2"/>
        <v>9550.5854580000014</v>
      </c>
      <c r="H40" s="9">
        <v>88200</v>
      </c>
      <c r="I40" s="9">
        <f t="shared" si="0"/>
        <v>902.8527732</v>
      </c>
      <c r="J40" s="9">
        <f t="shared" si="1"/>
        <v>300.95092440000002</v>
      </c>
      <c r="K40" s="9">
        <v>13.691060606060606</v>
      </c>
      <c r="L40" s="9">
        <f>Table1[Flow (MGD)]-MIN(Table1[Flow (MGD)])</f>
        <v>1.6880606060606063</v>
      </c>
      <c r="M40" s="9">
        <v>199.39393939393941</v>
      </c>
      <c r="N40" s="9">
        <f>Table1[BOD (mg/L)]-MIN(Table1[BOD (mg/L)])</f>
        <v>144.24727272727273</v>
      </c>
      <c r="O40" s="9">
        <v>5.8181818181818189E-2</v>
      </c>
      <c r="P40" s="9">
        <v>1.9200000000000002</v>
      </c>
      <c r="Q40" s="9">
        <v>32</v>
      </c>
      <c r="R40" s="9">
        <f>Table1[Billing Days]-MIN(Table1[Billing Days])</f>
        <v>4</v>
      </c>
      <c r="S40" s="9">
        <v>2018</v>
      </c>
      <c r="T40" s="9">
        <v>2018</v>
      </c>
      <c r="U40" s="9">
        <v>79269.240000000005</v>
      </c>
      <c r="V40" s="9">
        <v>0</v>
      </c>
      <c r="W40" s="9">
        <v>9935.32</v>
      </c>
      <c r="X40" s="9">
        <f t="shared" si="3"/>
        <v>89204.56</v>
      </c>
      <c r="Y40" s="9">
        <v>19</v>
      </c>
      <c r="Z40" s="9">
        <v>155</v>
      </c>
      <c r="AA40" s="9">
        <v>0</v>
      </c>
      <c r="AB40" s="9">
        <v>0</v>
      </c>
      <c r="AC40" s="9">
        <f>AA40+B40</f>
        <v>933000</v>
      </c>
      <c r="AD40" s="9">
        <f>Table1[Total kWh]*0.003412142*3</f>
        <v>9550.5854580000014</v>
      </c>
      <c r="AE40" s="9">
        <v>0</v>
      </c>
      <c r="AF40" s="9">
        <v>0</v>
      </c>
      <c r="AG40" s="9">
        <f>Table1[[#This Row],[Grid Elec Source (MMBTU)]]+Table1[[#This Row],[Generated Elec Source (MMBtu)]]</f>
        <v>9550.5854580000014</v>
      </c>
      <c r="AH40" s="9">
        <f>Table1[[#This Row],[Total Elec Source MMBTU]]+Table1[[#This Row],[Grid NG Non-EG01 Source MMBTU]]</f>
        <v>9550.5854580000014</v>
      </c>
      <c r="AI40" s="9">
        <f>Table1[Total Energy Source MMBTU]+Table1[LS85 Grid Elec Source (MMBTU)]</f>
        <v>10453.438231200002</v>
      </c>
      <c r="AJ40" s="8"/>
      <c r="AK40" s="8"/>
      <c r="AL40" s="8"/>
    </row>
    <row r="41" spans="1:38" x14ac:dyDescent="0.3">
      <c r="A41" s="9" t="s">
        <v>74</v>
      </c>
      <c r="B41" s="9">
        <v>898200</v>
      </c>
      <c r="C41" s="9">
        <f>Table1[Grid Elec kWh]*0.003412142*3</f>
        <v>9194.3578331999997</v>
      </c>
      <c r="D41" s="9">
        <f>Table1[Grid Elec kWh]*0.003412142</f>
        <v>3064.7859444000001</v>
      </c>
      <c r="E41" s="9">
        <v>0</v>
      </c>
      <c r="F41" s="9">
        <v>0</v>
      </c>
      <c r="G41" s="9">
        <f t="shared" si="2"/>
        <v>9194.3578331999997</v>
      </c>
      <c r="H41" s="9">
        <v>82600</v>
      </c>
      <c r="I41" s="9">
        <f t="shared" si="0"/>
        <v>845.52878759999999</v>
      </c>
      <c r="J41" s="9">
        <f t="shared" si="1"/>
        <v>281.84292920000001</v>
      </c>
      <c r="K41" s="9">
        <v>13.807033333333333</v>
      </c>
      <c r="L41" s="9">
        <f>Table1[Flow (MGD)]-MIN(Table1[Flow (MGD)])</f>
        <v>1.8040333333333329</v>
      </c>
      <c r="M41" s="9">
        <v>174.33333333333334</v>
      </c>
      <c r="N41" s="9">
        <f>Table1[BOD (mg/L)]-MIN(Table1[BOD (mg/L)])</f>
        <v>119.18666666666667</v>
      </c>
      <c r="O41" s="9">
        <v>9.2333333333333337E-2</v>
      </c>
      <c r="P41" s="9">
        <v>2.77</v>
      </c>
      <c r="Q41" s="9">
        <v>29</v>
      </c>
      <c r="R41" s="9">
        <f>Table1[Billing Days]-MIN(Table1[Billing Days])</f>
        <v>1</v>
      </c>
      <c r="S41" s="9">
        <v>2018</v>
      </c>
      <c r="T41" s="9">
        <v>2018</v>
      </c>
      <c r="U41" s="9">
        <v>77368.649999999994</v>
      </c>
      <c r="V41" s="9">
        <v>0</v>
      </c>
      <c r="W41" s="9">
        <v>8461.69</v>
      </c>
      <c r="X41" s="9">
        <f t="shared" si="3"/>
        <v>85830.34</v>
      </c>
      <c r="Y41" s="9">
        <v>0</v>
      </c>
      <c r="Z41" s="9">
        <v>358</v>
      </c>
      <c r="AA41" s="9">
        <v>0</v>
      </c>
      <c r="AB41" s="9">
        <v>0</v>
      </c>
      <c r="AC41" s="9">
        <f>AA41+B41</f>
        <v>898200</v>
      </c>
      <c r="AD41" s="9">
        <f>Table1[Total kWh]*0.003412142*3</f>
        <v>9194.3578331999997</v>
      </c>
      <c r="AE41" s="9">
        <v>0</v>
      </c>
      <c r="AF41" s="9">
        <v>0</v>
      </c>
      <c r="AG41" s="9">
        <f>Table1[[#This Row],[Grid Elec Source (MMBTU)]]+Table1[[#This Row],[Generated Elec Source (MMBtu)]]</f>
        <v>9194.3578331999997</v>
      </c>
      <c r="AH41" s="9">
        <f>Table1[[#This Row],[Total Elec Source MMBTU]]+Table1[[#This Row],[Grid NG Non-EG01 Source MMBTU]]</f>
        <v>9194.3578331999997</v>
      </c>
      <c r="AI41" s="9">
        <f>Table1[Total Energy Source MMBTU]+Table1[LS85 Grid Elec Source (MMBTU)]</f>
        <v>10039.8866208</v>
      </c>
      <c r="AJ41" s="8"/>
      <c r="AK41" s="8"/>
      <c r="AL41" s="8"/>
    </row>
    <row r="42" spans="1:38" x14ac:dyDescent="0.3">
      <c r="A42" s="9" t="s">
        <v>75</v>
      </c>
      <c r="B42" s="9">
        <v>928200</v>
      </c>
      <c r="C42" s="9">
        <f>Table1[Grid Elec kWh]*0.003412142*3</f>
        <v>9501.4506131999988</v>
      </c>
      <c r="D42" s="9">
        <f>Table1[Grid Elec kWh]*0.003412142</f>
        <v>3167.1502043999999</v>
      </c>
      <c r="E42" s="9">
        <v>0</v>
      </c>
      <c r="F42" s="9">
        <v>0</v>
      </c>
      <c r="G42" s="9">
        <f t="shared" si="2"/>
        <v>9501.4506131999988</v>
      </c>
      <c r="H42" s="9">
        <v>84800</v>
      </c>
      <c r="I42" s="9">
        <f t="shared" si="0"/>
        <v>868.0489247999999</v>
      </c>
      <c r="J42" s="9">
        <f t="shared" si="1"/>
        <v>289.34964159999998</v>
      </c>
      <c r="K42" s="9">
        <v>15.613129032258065</v>
      </c>
      <c r="L42" s="9">
        <f>Table1[Flow (MGD)]-MIN(Table1[Flow (MGD)])</f>
        <v>3.6101290322580653</v>
      </c>
      <c r="M42" s="9">
        <v>161.21290322580646</v>
      </c>
      <c r="N42" s="9">
        <f>Table1[BOD (mg/L)]-MIN(Table1[BOD (mg/L)])</f>
        <v>106.06623655913978</v>
      </c>
      <c r="O42" s="9">
        <v>0.22225806451612903</v>
      </c>
      <c r="P42" s="9">
        <v>6.89</v>
      </c>
      <c r="Q42" s="9">
        <v>30</v>
      </c>
      <c r="R42" s="9">
        <f>Table1[Billing Days]-MIN(Table1[Billing Days])</f>
        <v>2</v>
      </c>
      <c r="S42" s="9">
        <v>2018</v>
      </c>
      <c r="T42" s="9">
        <v>2018</v>
      </c>
      <c r="U42" s="9">
        <v>82517.350000000006</v>
      </c>
      <c r="V42" s="9">
        <v>0</v>
      </c>
      <c r="W42" s="9">
        <v>9765.7799999999988</v>
      </c>
      <c r="X42" s="9">
        <f t="shared" si="3"/>
        <v>92283.13</v>
      </c>
      <c r="Y42" s="9">
        <v>0</v>
      </c>
      <c r="Z42" s="9">
        <v>486</v>
      </c>
      <c r="AA42" s="9">
        <v>0</v>
      </c>
      <c r="AB42" s="9">
        <v>0</v>
      </c>
      <c r="AC42" s="9">
        <f>AA42+B42</f>
        <v>928200</v>
      </c>
      <c r="AD42" s="9">
        <f>Table1[Total kWh]*0.003412142*3</f>
        <v>9501.4506131999988</v>
      </c>
      <c r="AE42" s="9">
        <v>0</v>
      </c>
      <c r="AF42" s="9">
        <v>0</v>
      </c>
      <c r="AG42" s="9">
        <f>Table1[[#This Row],[Grid Elec Source (MMBTU)]]+Table1[[#This Row],[Generated Elec Source (MMBtu)]]</f>
        <v>9501.4506131999988</v>
      </c>
      <c r="AH42" s="9">
        <f>Table1[[#This Row],[Total Elec Source MMBTU]]+Table1[[#This Row],[Grid NG Non-EG01 Source MMBTU]]</f>
        <v>9501.4506131999988</v>
      </c>
      <c r="AI42" s="9">
        <f>Table1[Total Energy Source MMBTU]+Table1[LS85 Grid Elec Source (MMBTU)]</f>
        <v>10369.499537999998</v>
      </c>
      <c r="AJ42" s="8"/>
      <c r="AK42" s="8"/>
      <c r="AL42" s="8"/>
    </row>
    <row r="43" spans="1:38" x14ac:dyDescent="0.3">
      <c r="A43" s="9" t="s">
        <v>76</v>
      </c>
      <c r="B43" s="9">
        <v>963600</v>
      </c>
      <c r="C43" s="9">
        <f>Table1[Grid Elec kWh]*0.003412142*3</f>
        <v>9863.8200935999994</v>
      </c>
      <c r="D43" s="9">
        <f>Table1[Grid Elec kWh]*0.003412142</f>
        <v>3287.9400311999998</v>
      </c>
      <c r="E43" s="9">
        <v>0</v>
      </c>
      <c r="F43" s="9">
        <v>0</v>
      </c>
      <c r="G43" s="9">
        <f t="shared" si="2"/>
        <v>9863.8200935999994</v>
      </c>
      <c r="H43" s="9">
        <v>113000</v>
      </c>
      <c r="I43" s="9">
        <f t="shared" si="0"/>
        <v>1156.716138</v>
      </c>
      <c r="J43" s="9">
        <f t="shared" si="1"/>
        <v>385.572046</v>
      </c>
      <c r="K43" s="9">
        <v>17.012656249999996</v>
      </c>
      <c r="L43" s="9">
        <f>Table1[Flow (MGD)]-MIN(Table1[Flow (MGD)])</f>
        <v>5.0096562499999955</v>
      </c>
      <c r="M43" s="9">
        <v>129.59375</v>
      </c>
      <c r="N43" s="9">
        <f>Table1[BOD (mg/L)]-MIN(Table1[BOD (mg/L)])</f>
        <v>74.447083333333325</v>
      </c>
      <c r="O43" s="9">
        <v>0.19687500000000002</v>
      </c>
      <c r="P43" s="9">
        <v>6.3000000000000007</v>
      </c>
      <c r="Q43" s="9">
        <v>31</v>
      </c>
      <c r="R43" s="9">
        <f>Table1[Billing Days]-MIN(Table1[Billing Days])</f>
        <v>3</v>
      </c>
      <c r="S43" s="9">
        <v>2018</v>
      </c>
      <c r="T43" s="9">
        <v>2018</v>
      </c>
      <c r="U43" s="9">
        <v>83375.42</v>
      </c>
      <c r="V43" s="9">
        <v>0</v>
      </c>
      <c r="W43" s="9">
        <v>11754.85</v>
      </c>
      <c r="X43" s="9">
        <f t="shared" si="3"/>
        <v>95130.27</v>
      </c>
      <c r="Y43" s="9">
        <v>0</v>
      </c>
      <c r="Z43" s="9">
        <v>628</v>
      </c>
      <c r="AA43" s="9">
        <v>0</v>
      </c>
      <c r="AB43" s="9">
        <v>0</v>
      </c>
      <c r="AC43" s="9">
        <f>AA43+B43</f>
        <v>963600</v>
      </c>
      <c r="AD43" s="9">
        <f>Table1[Total kWh]*0.003412142*3</f>
        <v>9863.8200935999994</v>
      </c>
      <c r="AE43" s="9">
        <v>0</v>
      </c>
      <c r="AF43" s="9">
        <v>0</v>
      </c>
      <c r="AG43" s="9">
        <f>Table1[[#This Row],[Grid Elec Source (MMBTU)]]+Table1[[#This Row],[Generated Elec Source (MMBtu)]]</f>
        <v>9863.8200935999994</v>
      </c>
      <c r="AH43" s="9">
        <f>Table1[[#This Row],[Total Elec Source MMBTU]]+Table1[[#This Row],[Grid NG Non-EG01 Source MMBTU]]</f>
        <v>9863.8200935999994</v>
      </c>
      <c r="AI43" s="9">
        <f>Table1[Total Energy Source MMBTU]+Table1[LS85 Grid Elec Source (MMBTU)]</f>
        <v>11020.536231599999</v>
      </c>
      <c r="AJ43" s="8"/>
      <c r="AK43" s="8"/>
      <c r="AL43" s="8"/>
    </row>
    <row r="44" spans="1:38" x14ac:dyDescent="0.3">
      <c r="A44" s="9" t="s">
        <v>77</v>
      </c>
      <c r="B44" s="9">
        <v>939000</v>
      </c>
      <c r="C44" s="9">
        <f>Table1[Grid Elec kWh]*0.003412142*3</f>
        <v>9612.0040140000001</v>
      </c>
      <c r="D44" s="9">
        <f>Table1[Grid Elec kWh]*0.003412142</f>
        <v>3204.001338</v>
      </c>
      <c r="E44" s="9">
        <v>0</v>
      </c>
      <c r="F44" s="9">
        <v>0</v>
      </c>
      <c r="G44" s="9">
        <f t="shared" si="2"/>
        <v>9612.0040140000001</v>
      </c>
      <c r="H44" s="9">
        <v>101000</v>
      </c>
      <c r="I44" s="9">
        <f t="shared" si="0"/>
        <v>1033.8790260000001</v>
      </c>
      <c r="J44" s="9">
        <f t="shared" si="1"/>
        <v>344.62634200000002</v>
      </c>
      <c r="K44" s="9">
        <v>17.815396774193548</v>
      </c>
      <c r="L44" s="9">
        <f>Table1[Flow (MGD)]-MIN(Table1[Flow (MGD)])</f>
        <v>5.8123967741935481</v>
      </c>
      <c r="M44" s="9">
        <v>120.35483870967742</v>
      </c>
      <c r="N44" s="9">
        <f>Table1[BOD (mg/L)]-MIN(Table1[BOD (mg/L)])</f>
        <v>65.208172043010762</v>
      </c>
      <c r="O44" s="9">
        <v>0.18258064516129033</v>
      </c>
      <c r="P44" s="9">
        <v>5.66</v>
      </c>
      <c r="Q44" s="9">
        <v>30</v>
      </c>
      <c r="R44" s="9">
        <f>Table1[Billing Days]-MIN(Table1[Billing Days])</f>
        <v>2</v>
      </c>
      <c r="S44" s="9">
        <v>2018</v>
      </c>
      <c r="T44" s="9">
        <v>2018</v>
      </c>
      <c r="U44" s="9">
        <v>82259.7</v>
      </c>
      <c r="V44" s="9">
        <v>0</v>
      </c>
      <c r="W44" s="9">
        <v>10906.15</v>
      </c>
      <c r="X44" s="9">
        <f t="shared" si="3"/>
        <v>93165.849999999991</v>
      </c>
      <c r="Y44" s="9">
        <v>0</v>
      </c>
      <c r="Z44" s="9">
        <v>660</v>
      </c>
      <c r="AA44" s="9">
        <v>0</v>
      </c>
      <c r="AB44" s="9">
        <v>0</v>
      </c>
      <c r="AC44" s="9">
        <f>AA44+B44</f>
        <v>939000</v>
      </c>
      <c r="AD44" s="9">
        <f>Table1[Total kWh]*0.003412142*3</f>
        <v>9612.0040140000001</v>
      </c>
      <c r="AE44" s="9">
        <v>0</v>
      </c>
      <c r="AF44" s="9">
        <v>0</v>
      </c>
      <c r="AG44" s="9">
        <f>Table1[[#This Row],[Grid Elec Source (MMBTU)]]+Table1[[#This Row],[Generated Elec Source (MMBtu)]]</f>
        <v>9612.0040140000001</v>
      </c>
      <c r="AH44" s="9">
        <f>Table1[[#This Row],[Total Elec Source MMBTU]]+Table1[[#This Row],[Grid NG Non-EG01 Source MMBTU]]</f>
        <v>9612.0040140000001</v>
      </c>
      <c r="AI44" s="9">
        <f>Table1[Total Energy Source MMBTU]+Table1[LS85 Grid Elec Source (MMBTU)]</f>
        <v>10645.883040000001</v>
      </c>
      <c r="AJ44" s="8"/>
      <c r="AK44" s="8"/>
      <c r="AL44" s="8"/>
    </row>
    <row r="45" spans="1:38" x14ac:dyDescent="0.3">
      <c r="A45" s="9" t="s">
        <v>78</v>
      </c>
      <c r="B45" s="9">
        <v>892200</v>
      </c>
      <c r="C45" s="9">
        <f>Table1[Grid Elec kWh]*0.003412142*3</f>
        <v>9132.9392771999992</v>
      </c>
      <c r="D45" s="9">
        <f>Table1[Grid Elec kWh]*0.003412142</f>
        <v>3044.3130923999997</v>
      </c>
      <c r="E45" s="9">
        <v>0</v>
      </c>
      <c r="F45" s="9">
        <v>0</v>
      </c>
      <c r="G45" s="9">
        <f t="shared" si="2"/>
        <v>9132.9392771999992</v>
      </c>
      <c r="H45" s="9">
        <v>98600</v>
      </c>
      <c r="I45" s="9">
        <f t="shared" si="0"/>
        <v>1009.3116036</v>
      </c>
      <c r="J45" s="9">
        <f t="shared" si="1"/>
        <v>336.4372012</v>
      </c>
      <c r="K45" s="9">
        <v>17.969033333333332</v>
      </c>
      <c r="L45" s="9">
        <f>Table1[Flow (MGD)]-MIN(Table1[Flow (MGD)])</f>
        <v>5.966033333333332</v>
      </c>
      <c r="M45" s="9">
        <v>120.66666666666667</v>
      </c>
      <c r="N45" s="9">
        <f>Table1[BOD (mg/L)]-MIN(Table1[BOD (mg/L)])</f>
        <v>65.52000000000001</v>
      </c>
      <c r="O45" s="9">
        <v>0.26533333333333331</v>
      </c>
      <c r="P45" s="9">
        <v>7.96</v>
      </c>
      <c r="Q45" s="9">
        <v>29</v>
      </c>
      <c r="R45" s="9">
        <f>Table1[Billing Days]-MIN(Table1[Billing Days])</f>
        <v>1</v>
      </c>
      <c r="S45" s="9">
        <v>2018</v>
      </c>
      <c r="T45" s="9">
        <v>2018</v>
      </c>
      <c r="U45" s="9">
        <v>84071.4</v>
      </c>
      <c r="V45" s="9">
        <v>0</v>
      </c>
      <c r="W45" s="9">
        <v>9928.48</v>
      </c>
      <c r="X45" s="9">
        <f t="shared" si="3"/>
        <v>93999.87999999999</v>
      </c>
      <c r="Y45" s="9">
        <v>0</v>
      </c>
      <c r="Z45" s="9">
        <v>661</v>
      </c>
      <c r="AA45" s="9">
        <v>0</v>
      </c>
      <c r="AB45" s="9">
        <v>0</v>
      </c>
      <c r="AC45" s="9">
        <f>AA45+B45</f>
        <v>892200</v>
      </c>
      <c r="AD45" s="9">
        <f>Table1[Total kWh]*0.003412142*3</f>
        <v>9132.9392771999992</v>
      </c>
      <c r="AE45" s="9">
        <v>0</v>
      </c>
      <c r="AF45" s="9">
        <v>0</v>
      </c>
      <c r="AG45" s="9">
        <f>Table1[[#This Row],[Grid Elec Source (MMBTU)]]+Table1[[#This Row],[Generated Elec Source (MMBtu)]]</f>
        <v>9132.9392771999992</v>
      </c>
      <c r="AH45" s="9">
        <f>Table1[[#This Row],[Total Elec Source MMBTU]]+Table1[[#This Row],[Grid NG Non-EG01 Source MMBTU]]</f>
        <v>9132.9392771999992</v>
      </c>
      <c r="AI45" s="9">
        <f>Table1[Total Energy Source MMBTU]+Table1[LS85 Grid Elec Source (MMBTU)]</f>
        <v>10142.250880799998</v>
      </c>
      <c r="AJ45" s="8"/>
      <c r="AK45" s="8"/>
      <c r="AL45" s="8"/>
    </row>
    <row r="46" spans="1:38" x14ac:dyDescent="0.3">
      <c r="A46" s="9" t="s">
        <v>79</v>
      </c>
      <c r="B46" s="9">
        <v>1092000</v>
      </c>
      <c r="C46" s="9">
        <f>Table1[Grid Elec kWh]*0.003412142*3</f>
        <v>11178.177191999999</v>
      </c>
      <c r="D46" s="9">
        <f>Table1[Grid Elec kWh]*0.003412142</f>
        <v>3726.059064</v>
      </c>
      <c r="E46" s="9">
        <v>0</v>
      </c>
      <c r="F46" s="9">
        <v>0</v>
      </c>
      <c r="G46" s="9">
        <f t="shared" si="2"/>
        <v>11178.177191999999</v>
      </c>
      <c r="H46" s="9">
        <v>133000</v>
      </c>
      <c r="I46" s="9">
        <f t="shared" si="0"/>
        <v>1361.4446579999999</v>
      </c>
      <c r="J46" s="9">
        <f t="shared" si="1"/>
        <v>453.814886</v>
      </c>
      <c r="K46" s="9">
        <v>19.526181818181815</v>
      </c>
      <c r="L46" s="9">
        <f>Table1[Flow (MGD)]-MIN(Table1[Flow (MGD)])</f>
        <v>7.5231818181818149</v>
      </c>
      <c r="M46" s="9">
        <v>113.57575757575758</v>
      </c>
      <c r="N46" s="9">
        <f>Table1[BOD (mg/L)]-MIN(Table1[BOD (mg/L)])</f>
        <v>58.42909090909091</v>
      </c>
      <c r="O46" s="9">
        <v>0.12242424242424242</v>
      </c>
      <c r="P46" s="9">
        <v>4.04</v>
      </c>
      <c r="Q46" s="9">
        <v>32</v>
      </c>
      <c r="R46" s="9">
        <f>Table1[Billing Days]-MIN(Table1[Billing Days])</f>
        <v>4</v>
      </c>
      <c r="S46" s="9">
        <v>2018</v>
      </c>
      <c r="T46" s="9">
        <v>2018</v>
      </c>
      <c r="U46" s="9">
        <v>95729.58</v>
      </c>
      <c r="V46" s="9">
        <v>0</v>
      </c>
      <c r="W46" s="9">
        <v>14877.939999999999</v>
      </c>
      <c r="X46" s="9">
        <f t="shared" si="3"/>
        <v>110607.52</v>
      </c>
      <c r="Y46" s="9">
        <v>0</v>
      </c>
      <c r="Z46" s="9">
        <v>650</v>
      </c>
      <c r="AA46" s="9">
        <v>0</v>
      </c>
      <c r="AB46" s="9">
        <v>0</v>
      </c>
      <c r="AC46" s="9">
        <f>AA46+B46</f>
        <v>1092000</v>
      </c>
      <c r="AD46" s="9">
        <f>Table1[Total kWh]*0.003412142*3</f>
        <v>11178.177191999999</v>
      </c>
      <c r="AE46" s="9">
        <v>0</v>
      </c>
      <c r="AF46" s="9">
        <v>0</v>
      </c>
      <c r="AG46" s="9">
        <f>Table1[[#This Row],[Grid Elec Source (MMBTU)]]+Table1[[#This Row],[Generated Elec Source (MMBtu)]]</f>
        <v>11178.177191999999</v>
      </c>
      <c r="AH46" s="9">
        <f>Table1[[#This Row],[Total Elec Source MMBTU]]+Table1[[#This Row],[Grid NG Non-EG01 Source MMBTU]]</f>
        <v>11178.177191999999</v>
      </c>
      <c r="AI46" s="9">
        <f>Table1[Total Energy Source MMBTU]+Table1[LS85 Grid Elec Source (MMBTU)]</f>
        <v>12539.62185</v>
      </c>
      <c r="AJ46" s="8"/>
      <c r="AK46" s="8"/>
      <c r="AL46" s="8"/>
    </row>
    <row r="47" spans="1:38" x14ac:dyDescent="0.3">
      <c r="A47" s="9" t="s">
        <v>80</v>
      </c>
      <c r="B47" s="9">
        <v>841800</v>
      </c>
      <c r="C47" s="9">
        <f>Table1[Grid Elec kWh]*0.003412142*3</f>
        <v>8617.0234068000009</v>
      </c>
      <c r="D47" s="9">
        <f>Table1[Grid Elec kWh]*0.003412142</f>
        <v>2872.3411356000001</v>
      </c>
      <c r="E47" s="9">
        <v>0</v>
      </c>
      <c r="F47" s="9">
        <v>0</v>
      </c>
      <c r="G47" s="9">
        <f t="shared" si="2"/>
        <v>8617.0234068000009</v>
      </c>
      <c r="H47" s="9">
        <v>89400</v>
      </c>
      <c r="I47" s="9">
        <f t="shared" si="0"/>
        <v>915.13648439999997</v>
      </c>
      <c r="J47" s="9">
        <f t="shared" si="1"/>
        <v>305.04549479999997</v>
      </c>
      <c r="K47" s="9">
        <v>14.409166666666666</v>
      </c>
      <c r="L47" s="9">
        <f>Table1[Flow (MGD)]-MIN(Table1[Flow (MGD)])</f>
        <v>2.4061666666666657</v>
      </c>
      <c r="M47" s="9">
        <v>133.5</v>
      </c>
      <c r="N47" s="9">
        <f>Table1[BOD (mg/L)]-MIN(Table1[BOD (mg/L)])</f>
        <v>78.353333333333325</v>
      </c>
      <c r="O47" s="9">
        <v>3.2333333333333332E-2</v>
      </c>
      <c r="P47" s="9">
        <v>0.97</v>
      </c>
      <c r="Q47" s="9">
        <v>29</v>
      </c>
      <c r="R47" s="9">
        <f>Table1[Billing Days]-MIN(Table1[Billing Days])</f>
        <v>1</v>
      </c>
      <c r="S47" s="9">
        <v>2018</v>
      </c>
      <c r="T47" s="9">
        <v>2019</v>
      </c>
      <c r="U47" s="9">
        <v>76462.97</v>
      </c>
      <c r="V47" s="9">
        <v>0</v>
      </c>
      <c r="W47" s="9">
        <v>8557.3700000000008</v>
      </c>
      <c r="X47" s="9">
        <f t="shared" si="3"/>
        <v>85020.34</v>
      </c>
      <c r="Y47" s="9">
        <v>0</v>
      </c>
      <c r="Z47" s="9">
        <v>568</v>
      </c>
      <c r="AA47" s="9">
        <v>0</v>
      </c>
      <c r="AB47" s="9">
        <v>0</v>
      </c>
      <c r="AC47" s="9">
        <f>AA47+B47</f>
        <v>841800</v>
      </c>
      <c r="AD47" s="9">
        <f>Table1[Total kWh]*0.003412142*3</f>
        <v>8617.0234068000009</v>
      </c>
      <c r="AE47" s="9">
        <v>0</v>
      </c>
      <c r="AF47" s="9">
        <v>0</v>
      </c>
      <c r="AG47" s="9">
        <f>Table1[[#This Row],[Grid Elec Source (MMBTU)]]+Table1[[#This Row],[Generated Elec Source (MMBtu)]]</f>
        <v>8617.0234068000009</v>
      </c>
      <c r="AH47" s="9">
        <f>Table1[[#This Row],[Total Elec Source MMBTU]]+Table1[[#This Row],[Grid NG Non-EG01 Source MMBTU]]</f>
        <v>8617.0234068000009</v>
      </c>
      <c r="AI47" s="9">
        <f>Table1[Total Energy Source MMBTU]+Table1[LS85 Grid Elec Source (MMBTU)]</f>
        <v>9532.1598912000009</v>
      </c>
      <c r="AJ47" s="8"/>
      <c r="AK47" s="8"/>
      <c r="AL47" s="8"/>
    </row>
    <row r="48" spans="1:38" x14ac:dyDescent="0.3">
      <c r="A48" s="9" t="s">
        <v>81</v>
      </c>
      <c r="B48" s="9">
        <v>816600</v>
      </c>
      <c r="C48" s="9">
        <f>Table1[Grid Elec kWh]*0.003412142*3</f>
        <v>8359.0654716000008</v>
      </c>
      <c r="D48" s="9">
        <f>Table1[Grid Elec kWh]*0.003412142</f>
        <v>2786.3551572000001</v>
      </c>
      <c r="E48" s="9">
        <v>36.330000000000005</v>
      </c>
      <c r="F48" s="9">
        <v>23.009000000000004</v>
      </c>
      <c r="G48" s="9">
        <f t="shared" si="2"/>
        <v>8382.0744716000008</v>
      </c>
      <c r="H48" s="9">
        <v>89000</v>
      </c>
      <c r="I48" s="9">
        <f t="shared" si="0"/>
        <v>911.04191399999991</v>
      </c>
      <c r="J48" s="9">
        <f t="shared" si="1"/>
        <v>303.68063799999999</v>
      </c>
      <c r="K48" s="9">
        <v>13.175609677419356</v>
      </c>
      <c r="L48" s="9">
        <f>Table1[Flow (MGD)]-MIN(Table1[Flow (MGD)])</f>
        <v>1.1726096774193557</v>
      </c>
      <c r="M48" s="9">
        <v>163.87096774193549</v>
      </c>
      <c r="N48" s="9">
        <f>Table1[BOD (mg/L)]-MIN(Table1[BOD (mg/L)])</f>
        <v>108.72430107526881</v>
      </c>
      <c r="O48" s="9">
        <v>5.4838709677419356E-2</v>
      </c>
      <c r="P48" s="9">
        <v>1.7</v>
      </c>
      <c r="Q48" s="9">
        <v>30</v>
      </c>
      <c r="R48" s="9">
        <f>Table1[Billing Days]-MIN(Table1[Billing Days])</f>
        <v>2</v>
      </c>
      <c r="S48" s="9">
        <v>2018</v>
      </c>
      <c r="T48" s="9">
        <v>2019</v>
      </c>
      <c r="U48" s="9">
        <v>75801.84</v>
      </c>
      <c r="V48" s="9">
        <v>666.8</v>
      </c>
      <c r="W48" s="9">
        <v>8086.91</v>
      </c>
      <c r="X48" s="9">
        <f t="shared" si="3"/>
        <v>84555.55</v>
      </c>
      <c r="Y48" s="9">
        <v>21</v>
      </c>
      <c r="Z48" s="9">
        <v>285</v>
      </c>
      <c r="AA48" s="9">
        <v>0</v>
      </c>
      <c r="AB48" s="9">
        <v>0</v>
      </c>
      <c r="AC48" s="9">
        <f>AA48+B48</f>
        <v>816600</v>
      </c>
      <c r="AD48" s="9">
        <f>Table1[Total kWh]*0.003412142*3</f>
        <v>8359.0654716000008</v>
      </c>
      <c r="AE48" s="9">
        <v>0</v>
      </c>
      <c r="AF48" s="9">
        <f>Table1[[#This Row],[NG Aligned to Electricity Billing Period (MMBTU)]]-Table1[EG1 MMBtu]</f>
        <v>23.009000000000004</v>
      </c>
      <c r="AG48" s="9">
        <f>Table1[[#This Row],[Grid Elec Source (MMBTU)]]+Table1[[#This Row],[Generated Elec Source (MMBtu)]]</f>
        <v>8359.0654716000008</v>
      </c>
      <c r="AH48" s="9">
        <f>Table1[[#This Row],[Total Elec Source MMBTU]]+Table1[[#This Row],[Grid NG Non-EG01 Source MMBTU]]</f>
        <v>8382.0744716000008</v>
      </c>
      <c r="AI48" s="9">
        <f>Table1[Total Energy Source MMBTU]+Table1[LS85 Grid Elec Source (MMBTU)]</f>
        <v>9293.1163856000003</v>
      </c>
      <c r="AJ48" s="8"/>
      <c r="AK48" s="8"/>
      <c r="AL48" s="8"/>
    </row>
    <row r="49" spans="1:38" x14ac:dyDescent="0.3">
      <c r="A49" s="9" t="s">
        <v>82</v>
      </c>
      <c r="B49" s="9">
        <v>907800</v>
      </c>
      <c r="C49" s="9">
        <f>Table1[Grid Elec kWh]*0.003412142*3</f>
        <v>9292.6275228000013</v>
      </c>
      <c r="D49" s="9">
        <f>Table1[Grid Elec kWh]*0.003412142</f>
        <v>3097.5425076000001</v>
      </c>
      <c r="E49" s="9">
        <v>43.760000000000005</v>
      </c>
      <c r="F49" s="9">
        <v>40.973750000000003</v>
      </c>
      <c r="G49" s="9">
        <f t="shared" si="2"/>
        <v>9333.6012728000005</v>
      </c>
      <c r="H49" s="9">
        <v>82200</v>
      </c>
      <c r="I49" s="9">
        <f t="shared" si="0"/>
        <v>841.43421719999992</v>
      </c>
      <c r="J49" s="9">
        <f t="shared" si="1"/>
        <v>280.47807239999997</v>
      </c>
      <c r="K49" s="9">
        <v>15.006424242424236</v>
      </c>
      <c r="L49" s="9">
        <f>Table1[Flow (MGD)]-MIN(Table1[Flow (MGD)])</f>
        <v>3.0034242424242361</v>
      </c>
      <c r="M49" s="9">
        <v>203.93939393939394</v>
      </c>
      <c r="N49" s="9">
        <f>Table1[BOD (mg/L)]-MIN(Table1[BOD (mg/L)])</f>
        <v>148.79272727272726</v>
      </c>
      <c r="O49" s="9">
        <v>0.14515151515151514</v>
      </c>
      <c r="P49" s="9">
        <v>4.79</v>
      </c>
      <c r="Q49" s="9">
        <v>32</v>
      </c>
      <c r="R49" s="9">
        <f>Table1[Billing Days]-MIN(Table1[Billing Days])</f>
        <v>4</v>
      </c>
      <c r="S49" s="9">
        <v>2018</v>
      </c>
      <c r="T49" s="9">
        <v>2019</v>
      </c>
      <c r="U49" s="9">
        <v>79078.8</v>
      </c>
      <c r="V49" s="9">
        <v>578.54</v>
      </c>
      <c r="W49" s="9">
        <v>9151.5</v>
      </c>
      <c r="X49" s="9">
        <f t="shared" si="3"/>
        <v>88808.84</v>
      </c>
      <c r="Y49" s="9">
        <v>41</v>
      </c>
      <c r="Z49" s="9">
        <v>136</v>
      </c>
      <c r="AA49" s="9">
        <v>0</v>
      </c>
      <c r="AB49" s="9">
        <v>0</v>
      </c>
      <c r="AC49" s="9">
        <f>AA49+B49</f>
        <v>907800</v>
      </c>
      <c r="AD49" s="9">
        <f>Table1[Total kWh]*0.003412142*3</f>
        <v>9292.6275228000013</v>
      </c>
      <c r="AE49" s="9">
        <v>0</v>
      </c>
      <c r="AF49" s="9">
        <f>Table1[[#This Row],[NG Aligned to Electricity Billing Period (MMBTU)]]-Table1[EG1 MMBtu]</f>
        <v>40.973750000000003</v>
      </c>
      <c r="AG49" s="9">
        <f>Table1[[#This Row],[Grid Elec Source (MMBTU)]]+Table1[[#This Row],[Generated Elec Source (MMBtu)]]</f>
        <v>9292.6275228000013</v>
      </c>
      <c r="AH49" s="9">
        <f>Table1[[#This Row],[Total Elec Source MMBTU]]+Table1[[#This Row],[Grid NG Non-EG01 Source MMBTU]]</f>
        <v>9333.6012728000005</v>
      </c>
      <c r="AI49" s="9">
        <f>Table1[Total Energy Source MMBTU]+Table1[LS85 Grid Elec Source (MMBTU)]</f>
        <v>10175.03549</v>
      </c>
      <c r="AJ49" s="8"/>
      <c r="AK49" s="8"/>
      <c r="AL49" s="8"/>
    </row>
    <row r="50" spans="1:38" x14ac:dyDescent="0.3">
      <c r="A50" s="9" t="s">
        <v>83</v>
      </c>
      <c r="B50" s="9">
        <v>828000</v>
      </c>
      <c r="C50" s="9">
        <f>Table1[Grid Elec kWh]*0.003412142*3</f>
        <v>8475.7607280000011</v>
      </c>
      <c r="D50" s="9">
        <f>Table1[Grid Elec kWh]*0.003412142</f>
        <v>2825.2535760000001</v>
      </c>
      <c r="E50" s="9">
        <v>15.600000000000001</v>
      </c>
      <c r="F50" s="9">
        <v>25.925333333333334</v>
      </c>
      <c r="G50" s="9">
        <f t="shared" si="2"/>
        <v>8501.6860613333338</v>
      </c>
      <c r="H50" s="9">
        <v>84200</v>
      </c>
      <c r="I50" s="9">
        <f t="shared" si="0"/>
        <v>861.90706920000002</v>
      </c>
      <c r="J50" s="9">
        <f t="shared" si="1"/>
        <v>287.30235640000001</v>
      </c>
      <c r="K50" s="9">
        <v>16.283096774193549</v>
      </c>
      <c r="L50" s="9">
        <f>Table1[Flow (MGD)]-MIN(Table1[Flow (MGD)])</f>
        <v>4.2800967741935487</v>
      </c>
      <c r="M50" s="9">
        <v>153.87096774193549</v>
      </c>
      <c r="N50" s="9">
        <f>Table1[BOD (mg/L)]-MIN(Table1[BOD (mg/L)])</f>
        <v>98.724301075268812</v>
      </c>
      <c r="O50" s="9">
        <v>0.19258064516129034</v>
      </c>
      <c r="P50" s="9">
        <v>5.9700000000000006</v>
      </c>
      <c r="Q50" s="9">
        <v>30</v>
      </c>
      <c r="R50" s="9">
        <f>Table1[Billing Days]-MIN(Table1[Billing Days])</f>
        <v>2</v>
      </c>
      <c r="S50" s="9">
        <v>2019</v>
      </c>
      <c r="T50" s="9">
        <v>2019</v>
      </c>
      <c r="U50" s="9">
        <v>72868.5</v>
      </c>
      <c r="V50" s="9">
        <v>389.93</v>
      </c>
      <c r="W50" s="9">
        <v>8310.4700000000012</v>
      </c>
      <c r="X50" s="9">
        <f t="shared" si="3"/>
        <v>81568.899999999994</v>
      </c>
      <c r="Y50" s="9">
        <v>102</v>
      </c>
      <c r="Z50" s="9">
        <v>80</v>
      </c>
      <c r="AA50" s="9">
        <v>0</v>
      </c>
      <c r="AB50" s="9">
        <v>0</v>
      </c>
      <c r="AC50" s="9">
        <f>AA50+B50</f>
        <v>828000</v>
      </c>
      <c r="AD50" s="9">
        <f>Table1[Total kWh]*0.003412142*3</f>
        <v>8475.7607280000011</v>
      </c>
      <c r="AE50" s="9">
        <v>0</v>
      </c>
      <c r="AF50" s="9">
        <f>Table1[[#This Row],[NG Aligned to Electricity Billing Period (MMBTU)]]-Table1[EG1 MMBtu]</f>
        <v>25.925333333333334</v>
      </c>
      <c r="AG50" s="9">
        <f>Table1[[#This Row],[Grid Elec Source (MMBTU)]]+Table1[[#This Row],[Generated Elec Source (MMBtu)]]</f>
        <v>8475.7607280000011</v>
      </c>
      <c r="AH50" s="9">
        <f>Table1[[#This Row],[Total Elec Source MMBTU]]+Table1[[#This Row],[Grid NG Non-EG01 Source MMBTU]]</f>
        <v>8501.6860613333338</v>
      </c>
      <c r="AI50" s="9">
        <f>Table1[Total Energy Source MMBTU]+Table1[LS85 Grid Elec Source (MMBTU)]</f>
        <v>9363.5931305333343</v>
      </c>
      <c r="AJ50" s="8"/>
      <c r="AK50" s="8"/>
      <c r="AL50" s="8"/>
    </row>
    <row r="51" spans="1:38" x14ac:dyDescent="0.3">
      <c r="A51" s="9" t="s">
        <v>84</v>
      </c>
      <c r="B51" s="9">
        <v>858000</v>
      </c>
      <c r="C51" s="9">
        <f>Table1[Grid Elec kWh]*0.003412142*3</f>
        <v>8782.8535080000001</v>
      </c>
      <c r="D51" s="9">
        <f>Table1[Grid Elec kWh]*0.003412142</f>
        <v>2927.6178359999999</v>
      </c>
      <c r="E51" s="9">
        <v>3.12</v>
      </c>
      <c r="F51" s="9">
        <v>8.1120000000000019</v>
      </c>
      <c r="G51" s="9">
        <f t="shared" si="2"/>
        <v>8790.9655079999993</v>
      </c>
      <c r="H51" s="9">
        <v>90600</v>
      </c>
      <c r="I51" s="9">
        <f t="shared" si="0"/>
        <v>927.42019559999994</v>
      </c>
      <c r="J51" s="9">
        <f t="shared" si="1"/>
        <v>309.14006519999998</v>
      </c>
      <c r="K51" s="9">
        <v>16.569419354838711</v>
      </c>
      <c r="L51" s="9">
        <f>Table1[Flow (MGD)]-MIN(Table1[Flow (MGD)])</f>
        <v>4.5664193548387111</v>
      </c>
      <c r="M51" s="9">
        <v>161.29032258064515</v>
      </c>
      <c r="N51" s="9">
        <f>Table1[BOD (mg/L)]-MIN(Table1[BOD (mg/L)])</f>
        <v>106.14365591397848</v>
      </c>
      <c r="O51" s="9">
        <v>6.9375000000000006E-2</v>
      </c>
      <c r="P51" s="9">
        <v>2.2200000000000002</v>
      </c>
      <c r="Q51" s="9">
        <v>30</v>
      </c>
      <c r="R51" s="9">
        <f>Table1[Billing Days]-MIN(Table1[Billing Days])</f>
        <v>2</v>
      </c>
      <c r="S51" s="9">
        <v>2019</v>
      </c>
      <c r="T51" s="9">
        <v>2019</v>
      </c>
      <c r="U51" s="9">
        <v>75654.17</v>
      </c>
      <c r="V51" s="9">
        <v>320.43</v>
      </c>
      <c r="W51" s="9">
        <v>10240.030000000001</v>
      </c>
      <c r="X51" s="9">
        <f t="shared" si="3"/>
        <v>86214.62999999999</v>
      </c>
      <c r="Y51" s="9">
        <v>1</v>
      </c>
      <c r="Z51" s="9">
        <v>218</v>
      </c>
      <c r="AA51" s="9">
        <v>0</v>
      </c>
      <c r="AB51" s="9">
        <v>0</v>
      </c>
      <c r="AC51" s="9">
        <f>AA51+B51</f>
        <v>858000</v>
      </c>
      <c r="AD51" s="9">
        <f>Table1[Total kWh]*0.003412142*3</f>
        <v>8782.8535080000001</v>
      </c>
      <c r="AE51" s="9">
        <v>0</v>
      </c>
      <c r="AF51" s="9">
        <f>Table1[[#This Row],[NG Aligned to Electricity Billing Period (MMBTU)]]-Table1[EG1 MMBtu]</f>
        <v>8.1120000000000019</v>
      </c>
      <c r="AG51" s="9">
        <f>Table1[[#This Row],[Grid Elec Source (MMBTU)]]+Table1[[#This Row],[Generated Elec Source (MMBtu)]]</f>
        <v>8782.8535080000001</v>
      </c>
      <c r="AH51" s="9">
        <f>Table1[[#This Row],[Total Elec Source MMBTU]]+Table1[[#This Row],[Grid NG Non-EG01 Source MMBTU]]</f>
        <v>8790.9655079999993</v>
      </c>
      <c r="AI51" s="9">
        <f>Table1[Total Energy Source MMBTU]+Table1[LS85 Grid Elec Source (MMBTU)]</f>
        <v>9718.385703599999</v>
      </c>
      <c r="AJ51" s="8"/>
      <c r="AK51" s="8"/>
      <c r="AL51" s="8"/>
    </row>
    <row r="52" spans="1:38" x14ac:dyDescent="0.3">
      <c r="A52" s="9" t="s">
        <v>85</v>
      </c>
      <c r="B52" s="9">
        <v>914400</v>
      </c>
      <c r="C52" s="9">
        <f>Table1[Grid Elec kWh]*0.003412142*3</f>
        <v>9360.187934399999</v>
      </c>
      <c r="D52" s="9">
        <f>Table1[Grid Elec kWh]*0.003412142</f>
        <v>3120.0626447999998</v>
      </c>
      <c r="E52" s="9">
        <v>768.86000000000013</v>
      </c>
      <c r="F52" s="9">
        <v>505.63687500000009</v>
      </c>
      <c r="G52" s="9">
        <f t="shared" si="2"/>
        <v>9865.8248093999991</v>
      </c>
      <c r="H52" s="9">
        <v>93400</v>
      </c>
      <c r="I52" s="9">
        <f t="shared" si="0"/>
        <v>956.08218839999995</v>
      </c>
      <c r="J52" s="9">
        <f t="shared" si="1"/>
        <v>318.69406279999998</v>
      </c>
      <c r="K52" s="9">
        <v>15.399424242424242</v>
      </c>
      <c r="L52" s="9">
        <f>Table1[Flow (MGD)]-MIN(Table1[Flow (MGD)])</f>
        <v>3.3964242424242421</v>
      </c>
      <c r="M52" s="9">
        <v>181.5151515151515</v>
      </c>
      <c r="N52" s="9">
        <f>Table1[BOD (mg/L)]-MIN(Table1[BOD (mg/L)])</f>
        <v>126.36848484848483</v>
      </c>
      <c r="O52" s="9">
        <v>3.9393939393939398E-2</v>
      </c>
      <c r="P52" s="9">
        <v>1.3</v>
      </c>
      <c r="Q52" s="9">
        <v>32</v>
      </c>
      <c r="R52" s="9">
        <f>Table1[Billing Days]-MIN(Table1[Billing Days])</f>
        <v>4</v>
      </c>
      <c r="S52" s="9">
        <v>2019</v>
      </c>
      <c r="T52" s="9">
        <v>2019</v>
      </c>
      <c r="U52" s="9">
        <v>81981.289999999994</v>
      </c>
      <c r="V52" s="9">
        <v>4538.41</v>
      </c>
      <c r="W52" s="9">
        <v>8788.34</v>
      </c>
      <c r="X52" s="9">
        <f t="shared" si="3"/>
        <v>95308.04</v>
      </c>
      <c r="Y52" s="9">
        <v>12</v>
      </c>
      <c r="Z52" s="9">
        <v>226</v>
      </c>
      <c r="AA52" s="9">
        <v>0</v>
      </c>
      <c r="AB52" s="9">
        <v>0</v>
      </c>
      <c r="AC52" s="9">
        <f>AA52+B52</f>
        <v>914400</v>
      </c>
      <c r="AD52" s="9">
        <f>Table1[Total kWh]*0.003412142*3</f>
        <v>9360.187934399999</v>
      </c>
      <c r="AE52" s="9">
        <v>0</v>
      </c>
      <c r="AF52" s="9">
        <f>Table1[[#This Row],[NG Aligned to Electricity Billing Period (MMBTU)]]-Table1[EG1 MMBtu]</f>
        <v>505.63687500000009</v>
      </c>
      <c r="AG52" s="9">
        <f>Table1[[#This Row],[Grid Elec Source (MMBTU)]]+Table1[[#This Row],[Generated Elec Source (MMBtu)]]</f>
        <v>9360.187934399999</v>
      </c>
      <c r="AH52" s="9">
        <f>Table1[[#This Row],[Total Elec Source MMBTU]]+Table1[[#This Row],[Grid NG Non-EG01 Source MMBTU]]</f>
        <v>9865.8248093999991</v>
      </c>
      <c r="AI52" s="9">
        <f>Table1[Total Energy Source MMBTU]+Table1[LS85 Grid Elec Source (MMBTU)]</f>
        <v>10821.906997799999</v>
      </c>
      <c r="AJ52" s="8"/>
      <c r="AK52" s="8"/>
      <c r="AL52" s="8"/>
    </row>
    <row r="53" spans="1:38" x14ac:dyDescent="0.3">
      <c r="A53" s="9" t="s">
        <v>86</v>
      </c>
      <c r="B53" s="9">
        <v>822000</v>
      </c>
      <c r="C53" s="9">
        <f>Table1[Grid Elec kWh]*0.003412142*3</f>
        <v>8414.3421719999988</v>
      </c>
      <c r="D53" s="9">
        <f>Table1[Grid Elec kWh]*0.003412142</f>
        <v>2804.7807239999997</v>
      </c>
      <c r="E53" s="9">
        <v>1116.8900000000001</v>
      </c>
      <c r="F53" s="9">
        <v>1024.0820000000001</v>
      </c>
      <c r="G53" s="9">
        <f t="shared" si="2"/>
        <v>9438.4241719999991</v>
      </c>
      <c r="H53" s="9">
        <v>83000</v>
      </c>
      <c r="I53" s="9">
        <f t="shared" si="0"/>
        <v>849.62335800000005</v>
      </c>
      <c r="J53" s="9">
        <f t="shared" si="1"/>
        <v>283.207786</v>
      </c>
      <c r="K53" s="9">
        <v>13.632258064516128</v>
      </c>
      <c r="L53" s="9">
        <f>Table1[Flow (MGD)]-MIN(Table1[Flow (MGD)])</f>
        <v>1.6292580645161276</v>
      </c>
      <c r="M53" s="9">
        <v>207.09677419354838</v>
      </c>
      <c r="N53" s="9">
        <f>Table1[BOD (mg/L)]-MIN(Table1[BOD (mg/L)])</f>
        <v>151.95010752688171</v>
      </c>
      <c r="O53" s="9">
        <v>8.0967741935483867E-2</v>
      </c>
      <c r="P53" s="9">
        <v>2.5099999999999998</v>
      </c>
      <c r="Q53" s="9">
        <v>30</v>
      </c>
      <c r="R53" s="9">
        <f>Table1[Billing Days]-MIN(Table1[Billing Days])</f>
        <v>2</v>
      </c>
      <c r="S53" s="9">
        <v>2019</v>
      </c>
      <c r="T53" s="9">
        <v>2019</v>
      </c>
      <c r="U53" s="9">
        <v>74502.509999999995</v>
      </c>
      <c r="V53" s="9">
        <v>6259.73</v>
      </c>
      <c r="W53" s="9">
        <v>8201.83</v>
      </c>
      <c r="X53" s="9">
        <f t="shared" si="3"/>
        <v>88964.069999999992</v>
      </c>
      <c r="Y53" s="9">
        <v>0</v>
      </c>
      <c r="Z53" s="9">
        <v>363</v>
      </c>
      <c r="AA53" s="9">
        <v>0</v>
      </c>
      <c r="AB53" s="9">
        <v>0</v>
      </c>
      <c r="AC53" s="9">
        <f>AA53+B53</f>
        <v>822000</v>
      </c>
      <c r="AD53" s="9">
        <f>Table1[Total kWh]*0.003412142*3</f>
        <v>8414.3421719999988</v>
      </c>
      <c r="AE53" s="9">
        <v>0</v>
      </c>
      <c r="AF53" s="9">
        <f>Table1[[#This Row],[NG Aligned to Electricity Billing Period (MMBTU)]]-Table1[EG1 MMBtu]</f>
        <v>1024.0820000000001</v>
      </c>
      <c r="AG53" s="9">
        <f>Table1[[#This Row],[Grid Elec Source (MMBTU)]]+Table1[[#This Row],[Generated Elec Source (MMBtu)]]</f>
        <v>8414.3421719999988</v>
      </c>
      <c r="AH53" s="9">
        <f>Table1[[#This Row],[Total Elec Source MMBTU]]+Table1[[#This Row],[Grid NG Non-EG01 Source MMBTU]]</f>
        <v>9438.4241719999991</v>
      </c>
      <c r="AI53" s="9">
        <f>Table1[Total Energy Source MMBTU]+Table1[LS85 Grid Elec Source (MMBTU)]</f>
        <v>10288.04753</v>
      </c>
      <c r="AJ53" s="8"/>
      <c r="AK53" s="8"/>
      <c r="AL53" s="8"/>
    </row>
    <row r="54" spans="1:38" x14ac:dyDescent="0.3">
      <c r="A54" s="9" t="s">
        <v>87</v>
      </c>
      <c r="B54" s="9">
        <v>917400</v>
      </c>
      <c r="C54" s="9">
        <f>Table1[Grid Elec kWh]*0.003412142*3</f>
        <v>9390.8972123999993</v>
      </c>
      <c r="D54" s="9">
        <f>Table1[Grid Elec kWh]*0.003412142</f>
        <v>3130.2990707999998</v>
      </c>
      <c r="E54" s="9">
        <v>1344.4700000000003</v>
      </c>
      <c r="F54" s="9">
        <v>1287.5750000000003</v>
      </c>
      <c r="G54" s="9">
        <f t="shared" si="2"/>
        <v>10678.4722124</v>
      </c>
      <c r="H54" s="9">
        <v>85000</v>
      </c>
      <c r="I54" s="9">
        <f t="shared" si="0"/>
        <v>870.09620999999993</v>
      </c>
      <c r="J54" s="9">
        <f t="shared" si="1"/>
        <v>290.03206999999998</v>
      </c>
      <c r="K54" s="9">
        <v>12.936181818181819</v>
      </c>
      <c r="L54" s="9">
        <f>Table1[Flow (MGD)]-MIN(Table1[Flow (MGD)])</f>
        <v>0.93318181818181856</v>
      </c>
      <c r="M54" s="9">
        <v>187.42424242424244</v>
      </c>
      <c r="N54" s="9">
        <f>Table1[BOD (mg/L)]-MIN(Table1[BOD (mg/L)])</f>
        <v>132.27757575757576</v>
      </c>
      <c r="O54" s="9">
        <v>6.7575757575757595E-2</v>
      </c>
      <c r="P54" s="9">
        <v>2.2300000000000004</v>
      </c>
      <c r="Q54" s="9">
        <v>32</v>
      </c>
      <c r="R54" s="9">
        <f>Table1[Billing Days]-MIN(Table1[Billing Days])</f>
        <v>4</v>
      </c>
      <c r="S54" s="9">
        <v>2019</v>
      </c>
      <c r="T54" s="9">
        <v>2019</v>
      </c>
      <c r="U54" s="9">
        <v>80674.89</v>
      </c>
      <c r="V54" s="9">
        <v>7634.85</v>
      </c>
      <c r="W54" s="9">
        <v>8598.0199999999986</v>
      </c>
      <c r="X54" s="9">
        <f t="shared" si="3"/>
        <v>96907.760000000009</v>
      </c>
      <c r="Y54" s="9">
        <v>0</v>
      </c>
      <c r="Z54" s="9">
        <v>545</v>
      </c>
      <c r="AA54" s="9">
        <v>0</v>
      </c>
      <c r="AB54" s="9">
        <v>0</v>
      </c>
      <c r="AC54" s="9">
        <f>AA54+B54</f>
        <v>917400</v>
      </c>
      <c r="AD54" s="9">
        <f>Table1[Total kWh]*0.003412142*3</f>
        <v>9390.8972123999993</v>
      </c>
      <c r="AE54" s="9">
        <v>0</v>
      </c>
      <c r="AF54" s="9">
        <f>Table1[[#This Row],[NG Aligned to Electricity Billing Period (MMBTU)]]-Table1[EG1 MMBtu]</f>
        <v>1287.5750000000003</v>
      </c>
      <c r="AG54" s="9">
        <f>Table1[[#This Row],[Grid Elec Source (MMBTU)]]+Table1[[#This Row],[Generated Elec Source (MMBtu)]]</f>
        <v>9390.8972123999993</v>
      </c>
      <c r="AH54" s="9">
        <f>Table1[[#This Row],[Total Elec Source MMBTU]]+Table1[[#This Row],[Grid NG Non-EG01 Source MMBTU]]</f>
        <v>10678.4722124</v>
      </c>
      <c r="AI54" s="9">
        <f>Table1[Total Energy Source MMBTU]+Table1[LS85 Grid Elec Source (MMBTU)]</f>
        <v>11548.5684224</v>
      </c>
      <c r="AJ54" s="8"/>
      <c r="AK54" s="8"/>
      <c r="AL54" s="8"/>
    </row>
    <row r="55" spans="1:38" x14ac:dyDescent="0.3">
      <c r="A55" s="9" t="s">
        <v>88</v>
      </c>
      <c r="B55" s="9">
        <v>870000</v>
      </c>
      <c r="C55" s="9">
        <f>Table1[Grid Elec kWh]*0.003412142*3</f>
        <v>8905.6906200000012</v>
      </c>
      <c r="D55" s="9">
        <f>Table1[Grid Elec kWh]*0.003412142</f>
        <v>2968.5635400000001</v>
      </c>
      <c r="E55" s="9">
        <v>955.88</v>
      </c>
      <c r="F55" s="9">
        <v>1063.0772413793104</v>
      </c>
      <c r="G55" s="9">
        <f t="shared" si="2"/>
        <v>9968.7678613793123</v>
      </c>
      <c r="H55" s="9">
        <v>78800</v>
      </c>
      <c r="I55" s="9">
        <f t="shared" si="0"/>
        <v>806.63036880000004</v>
      </c>
      <c r="J55" s="9">
        <f t="shared" si="1"/>
        <v>268.8767896</v>
      </c>
      <c r="K55" s="9">
        <v>13.427666666666664</v>
      </c>
      <c r="L55" s="9">
        <f>Table1[Flow (MGD)]-MIN(Table1[Flow (MGD)])</f>
        <v>1.4246666666666634</v>
      </c>
      <c r="M55" s="9">
        <v>196.5</v>
      </c>
      <c r="N55" s="9">
        <f>Table1[BOD (mg/L)]-MIN(Table1[BOD (mg/L)])</f>
        <v>141.35333333333332</v>
      </c>
      <c r="O55" s="9">
        <v>0.16766666666666666</v>
      </c>
      <c r="P55" s="9">
        <v>5.0299999999999994</v>
      </c>
      <c r="Q55" s="9">
        <v>29</v>
      </c>
      <c r="R55" s="9">
        <f>Table1[Billing Days]-MIN(Table1[Billing Days])</f>
        <v>1</v>
      </c>
      <c r="S55" s="9">
        <v>2019</v>
      </c>
      <c r="T55" s="9">
        <v>2019</v>
      </c>
      <c r="U55" s="9">
        <v>78809.850000000006</v>
      </c>
      <c r="V55" s="9">
        <v>5021.34</v>
      </c>
      <c r="W55" s="9">
        <v>8039.97</v>
      </c>
      <c r="X55" s="9">
        <f t="shared" si="3"/>
        <v>91871.16</v>
      </c>
      <c r="Y55" s="9">
        <v>0</v>
      </c>
      <c r="Z55" s="9">
        <v>584</v>
      </c>
      <c r="AA55" s="9">
        <v>0</v>
      </c>
      <c r="AB55" s="9">
        <v>0</v>
      </c>
      <c r="AC55" s="9">
        <f>AA55+B55</f>
        <v>870000</v>
      </c>
      <c r="AD55" s="9">
        <f>Table1[Total kWh]*0.003412142*3</f>
        <v>8905.6906200000012</v>
      </c>
      <c r="AE55" s="9">
        <v>0</v>
      </c>
      <c r="AF55" s="9">
        <f>Table1[[#This Row],[NG Aligned to Electricity Billing Period (MMBTU)]]-Table1[EG1 MMBtu]</f>
        <v>1063.0772413793104</v>
      </c>
      <c r="AG55" s="9">
        <f>Table1[[#This Row],[Grid Elec Source (MMBTU)]]+Table1[[#This Row],[Generated Elec Source (MMBtu)]]</f>
        <v>8905.6906200000012</v>
      </c>
      <c r="AH55" s="9">
        <f>Table1[[#This Row],[Total Elec Source MMBTU]]+Table1[[#This Row],[Grid NG Non-EG01 Source MMBTU]]</f>
        <v>9968.7678613793123</v>
      </c>
      <c r="AI55" s="9">
        <f>Table1[Total Energy Source MMBTU]+Table1[LS85 Grid Elec Source (MMBTU)]</f>
        <v>10775.398230179313</v>
      </c>
      <c r="AJ55" s="8"/>
      <c r="AK55" s="8"/>
      <c r="AL55" s="8"/>
    </row>
    <row r="56" spans="1:38" x14ac:dyDescent="0.3">
      <c r="A56" s="9" t="s">
        <v>89</v>
      </c>
      <c r="B56" s="9">
        <v>955800</v>
      </c>
      <c r="C56" s="9">
        <f>Table1[Grid Elec kWh]*0.003412142*3</f>
        <v>9783.9759708000001</v>
      </c>
      <c r="D56" s="9">
        <f>Table1[Grid Elec kWh]*0.003412142</f>
        <v>3261.3253236</v>
      </c>
      <c r="E56" s="9">
        <v>1238.6400000000001</v>
      </c>
      <c r="F56" s="9">
        <v>1153.8119999999999</v>
      </c>
      <c r="G56" s="9">
        <f t="shared" si="2"/>
        <v>10937.7879708</v>
      </c>
      <c r="H56" s="9">
        <v>107000</v>
      </c>
      <c r="I56" s="9">
        <f t="shared" si="0"/>
        <v>1095.2975820000001</v>
      </c>
      <c r="J56" s="9">
        <f t="shared" si="1"/>
        <v>365.09919400000001</v>
      </c>
      <c r="K56" s="9">
        <v>19.211354838709674</v>
      </c>
      <c r="L56" s="9">
        <f>Table1[Flow (MGD)]-MIN(Table1[Flow (MGD)])</f>
        <v>7.2083548387096741</v>
      </c>
      <c r="M56" s="9">
        <v>119.96774193548387</v>
      </c>
      <c r="N56" s="9">
        <f>Table1[BOD (mg/L)]-MIN(Table1[BOD (mg/L)])</f>
        <v>64.821075268817197</v>
      </c>
      <c r="O56" s="9">
        <v>0.28774193548387089</v>
      </c>
      <c r="P56" s="9">
        <v>8.9199999999999982</v>
      </c>
      <c r="Q56" s="9">
        <v>30</v>
      </c>
      <c r="R56" s="9">
        <f>Table1[Billing Days]-MIN(Table1[Billing Days])</f>
        <v>2</v>
      </c>
      <c r="S56" s="9">
        <v>2019</v>
      </c>
      <c r="T56" s="9">
        <v>2019</v>
      </c>
      <c r="U56" s="9">
        <v>88941.39</v>
      </c>
      <c r="V56" s="9">
        <v>6312.51</v>
      </c>
      <c r="W56" s="9">
        <v>16299.63</v>
      </c>
      <c r="X56" s="9">
        <f t="shared" si="3"/>
        <v>111553.53</v>
      </c>
      <c r="Y56" s="9">
        <v>0</v>
      </c>
      <c r="Z56" s="9">
        <v>599</v>
      </c>
      <c r="AA56" s="9">
        <v>0</v>
      </c>
      <c r="AB56" s="9">
        <v>0</v>
      </c>
      <c r="AC56" s="9">
        <f>AA56+B56</f>
        <v>955800</v>
      </c>
      <c r="AD56" s="9">
        <f>Table1[Total kWh]*0.003412142*3</f>
        <v>9783.9759708000001</v>
      </c>
      <c r="AE56" s="9">
        <v>0</v>
      </c>
      <c r="AF56" s="9">
        <f>Table1[[#This Row],[NG Aligned to Electricity Billing Period (MMBTU)]]-Table1[EG1 MMBtu]</f>
        <v>1153.8119999999999</v>
      </c>
      <c r="AG56" s="9">
        <f>Table1[[#This Row],[Grid Elec Source (MMBTU)]]+Table1[[#This Row],[Generated Elec Source (MMBtu)]]</f>
        <v>9783.9759708000001</v>
      </c>
      <c r="AH56" s="9">
        <f>Table1[[#This Row],[Total Elec Source MMBTU]]+Table1[[#This Row],[Grid NG Non-EG01 Source MMBTU]]</f>
        <v>10937.7879708</v>
      </c>
      <c r="AI56" s="9">
        <f>Table1[Total Energy Source MMBTU]+Table1[LS85 Grid Elec Source (MMBTU)]</f>
        <v>12033.085552799999</v>
      </c>
      <c r="AJ56" s="8"/>
      <c r="AK56" s="8"/>
      <c r="AL56" s="8"/>
    </row>
    <row r="57" spans="1:38" x14ac:dyDescent="0.3">
      <c r="A57" s="9" t="s">
        <v>90</v>
      </c>
      <c r="B57" s="9">
        <v>1312800</v>
      </c>
      <c r="C57" s="9">
        <f>Table1[Grid Elec kWh]*0.003412142*3</f>
        <v>13438.380052800001</v>
      </c>
      <c r="D57" s="9">
        <f>Table1[Grid Elec kWh]*0.003412142</f>
        <v>4479.4600176000004</v>
      </c>
      <c r="E57" s="9">
        <v>962.93</v>
      </c>
      <c r="F57" s="9">
        <v>1038.9879310344827</v>
      </c>
      <c r="G57" s="9">
        <f t="shared" si="2"/>
        <v>14477.367983834483</v>
      </c>
      <c r="H57" s="9">
        <v>241200</v>
      </c>
      <c r="I57" s="9">
        <f t="shared" si="0"/>
        <v>2469.0259511999998</v>
      </c>
      <c r="J57" s="9">
        <f t="shared" si="1"/>
        <v>823.00865039999996</v>
      </c>
      <c r="K57" s="9">
        <v>29.591266666666662</v>
      </c>
      <c r="L57" s="9">
        <f>Table1[Flow (MGD)]-MIN(Table1[Flow (MGD)])</f>
        <v>17.588266666666662</v>
      </c>
      <c r="M57" s="9">
        <v>78.55</v>
      </c>
      <c r="N57" s="9">
        <f>Table1[BOD (mg/L)]-MIN(Table1[BOD (mg/L)])</f>
        <v>23.403333333333329</v>
      </c>
      <c r="O57" s="9">
        <v>0.43433333333333335</v>
      </c>
      <c r="P57" s="9">
        <v>13.030000000000001</v>
      </c>
      <c r="Q57" s="9">
        <v>29</v>
      </c>
      <c r="R57" s="9">
        <f>Table1[Billing Days]-MIN(Table1[Billing Days])</f>
        <v>1</v>
      </c>
      <c r="S57" s="9">
        <v>2019</v>
      </c>
      <c r="T57" s="9">
        <v>2019</v>
      </c>
      <c r="U57" s="9">
        <v>125841.55</v>
      </c>
      <c r="V57" s="9">
        <v>5084.01</v>
      </c>
      <c r="W57" s="9">
        <v>29790.42</v>
      </c>
      <c r="X57" s="9">
        <f t="shared" si="3"/>
        <v>160715.97999999998</v>
      </c>
      <c r="Y57" s="9">
        <v>0</v>
      </c>
      <c r="Z57" s="9">
        <v>633</v>
      </c>
      <c r="AA57" s="9">
        <v>0</v>
      </c>
      <c r="AB57" s="9">
        <v>0</v>
      </c>
      <c r="AC57" s="9">
        <f>AA57+B57</f>
        <v>1312800</v>
      </c>
      <c r="AD57" s="9">
        <f>Table1[Total kWh]*0.003412142*3</f>
        <v>13438.380052800001</v>
      </c>
      <c r="AE57" s="9">
        <v>0</v>
      </c>
      <c r="AF57" s="9">
        <f>Table1[[#This Row],[NG Aligned to Electricity Billing Period (MMBTU)]]-Table1[EG1 MMBtu]</f>
        <v>1038.9879310344827</v>
      </c>
      <c r="AG57" s="9">
        <f>Table1[[#This Row],[Grid Elec Source (MMBTU)]]+Table1[[#This Row],[Generated Elec Source (MMBtu)]]</f>
        <v>13438.380052800001</v>
      </c>
      <c r="AH57" s="9">
        <f>Table1[[#This Row],[Total Elec Source MMBTU]]+Table1[[#This Row],[Grid NG Non-EG01 Source MMBTU]]</f>
        <v>14477.367983834483</v>
      </c>
      <c r="AI57" s="9">
        <f>Table1[Total Energy Source MMBTU]+Table1[LS85 Grid Elec Source (MMBTU)]</f>
        <v>16946.393935034484</v>
      </c>
      <c r="AJ57" s="8"/>
      <c r="AK57" s="8"/>
      <c r="AL57" s="8"/>
    </row>
    <row r="58" spans="1:38" x14ac:dyDescent="0.3">
      <c r="A58" s="9" t="s">
        <v>91</v>
      </c>
      <c r="B58" s="9">
        <v>1112400</v>
      </c>
      <c r="C58" s="9">
        <f>Table1[Grid Elec kWh]*0.003412142*3</f>
        <v>11387.0002824</v>
      </c>
      <c r="D58" s="9">
        <f>Table1[Grid Elec kWh]*0.003412142</f>
        <v>3795.6667607999998</v>
      </c>
      <c r="E58" s="9">
        <v>1382.45</v>
      </c>
      <c r="F58" s="9">
        <v>1225.1300000000001</v>
      </c>
      <c r="G58" s="9">
        <f t="shared" si="2"/>
        <v>12612.130282400001</v>
      </c>
      <c r="H58" s="9">
        <v>105400</v>
      </c>
      <c r="I58" s="9">
        <f t="shared" si="0"/>
        <v>1078.9193004000001</v>
      </c>
      <c r="J58" s="9">
        <f t="shared" si="1"/>
        <v>359.63976680000002</v>
      </c>
      <c r="K58" s="9">
        <v>17.55318181818182</v>
      </c>
      <c r="L58" s="9">
        <f>Table1[Flow (MGD)]-MIN(Table1[Flow (MGD)])</f>
        <v>5.5501818181818194</v>
      </c>
      <c r="M58" s="9">
        <v>153.18181818181819</v>
      </c>
      <c r="N58" s="9">
        <f>Table1[BOD (mg/L)]-MIN(Table1[BOD (mg/L)])</f>
        <v>98.035151515151512</v>
      </c>
      <c r="O58" s="9">
        <v>5.454545454545455E-2</v>
      </c>
      <c r="P58" s="9">
        <v>1.8</v>
      </c>
      <c r="Q58" s="9">
        <v>32</v>
      </c>
      <c r="R58" s="9">
        <f>Table1[Billing Days]-MIN(Table1[Billing Days])</f>
        <v>4</v>
      </c>
      <c r="S58" s="9">
        <v>2019</v>
      </c>
      <c r="T58" s="9">
        <v>2019</v>
      </c>
      <c r="U58" s="9">
        <v>106784.16</v>
      </c>
      <c r="V58" s="9">
        <v>7406.13</v>
      </c>
      <c r="W58" s="9">
        <v>10719.68</v>
      </c>
      <c r="X58" s="9">
        <f t="shared" si="3"/>
        <v>124909.97</v>
      </c>
      <c r="Y58" s="9">
        <v>0</v>
      </c>
      <c r="Z58" s="9">
        <v>607</v>
      </c>
      <c r="AA58" s="9">
        <v>0</v>
      </c>
      <c r="AB58" s="9">
        <v>0</v>
      </c>
      <c r="AC58" s="9">
        <f>AA58+B58</f>
        <v>1112400</v>
      </c>
      <c r="AD58" s="9">
        <f>Table1[Total kWh]*0.003412142*3</f>
        <v>11387.0002824</v>
      </c>
      <c r="AE58" s="9">
        <v>0</v>
      </c>
      <c r="AF58" s="9">
        <f>Table1[[#This Row],[NG Aligned to Electricity Billing Period (MMBTU)]]-Table1[EG1 MMBtu]</f>
        <v>1225.1300000000001</v>
      </c>
      <c r="AG58" s="9">
        <f>Table1[[#This Row],[Grid Elec Source (MMBTU)]]+Table1[[#This Row],[Generated Elec Source (MMBtu)]]</f>
        <v>11387.0002824</v>
      </c>
      <c r="AH58" s="9">
        <f>Table1[[#This Row],[Total Elec Source MMBTU]]+Table1[[#This Row],[Grid NG Non-EG01 Source MMBTU]]</f>
        <v>12612.130282400001</v>
      </c>
      <c r="AI58" s="9">
        <f>Table1[Total Energy Source MMBTU]+Table1[LS85 Grid Elec Source (MMBTU)]</f>
        <v>13691.049582800002</v>
      </c>
      <c r="AJ58" s="8"/>
      <c r="AK58" s="8"/>
      <c r="AL58" s="8"/>
    </row>
    <row r="59" spans="1:38" x14ac:dyDescent="0.3">
      <c r="A59" s="9" t="s">
        <v>92</v>
      </c>
      <c r="B59" s="9">
        <v>1037400</v>
      </c>
      <c r="C59" s="9">
        <f>Table1[Grid Elec kWh]*0.003412142*3</f>
        <v>10619.268332399999</v>
      </c>
      <c r="D59" s="9">
        <f>Table1[Grid Elec kWh]*0.003412142</f>
        <v>3539.7561108</v>
      </c>
      <c r="E59" s="9">
        <v>2433.0700000000002</v>
      </c>
      <c r="F59" s="9">
        <v>2107.0155172413797</v>
      </c>
      <c r="G59" s="9">
        <f t="shared" si="2"/>
        <v>12726.283849641379</v>
      </c>
      <c r="H59" s="9">
        <v>86000</v>
      </c>
      <c r="I59" s="9">
        <f t="shared" si="0"/>
        <v>880.33263599999998</v>
      </c>
      <c r="J59" s="9">
        <f t="shared" si="1"/>
        <v>293.44421199999999</v>
      </c>
      <c r="K59" s="9">
        <v>16.897633333333332</v>
      </c>
      <c r="L59" s="9">
        <f>Table1[Flow (MGD)]-MIN(Table1[Flow (MGD)])</f>
        <v>4.8946333333333314</v>
      </c>
      <c r="M59" s="9">
        <v>172.33333333333334</v>
      </c>
      <c r="N59" s="9">
        <f>Table1[BOD (mg/L)]-MIN(Table1[BOD (mg/L)])</f>
        <v>117.18666666666667</v>
      </c>
      <c r="O59" s="9">
        <v>0.19566666666666668</v>
      </c>
      <c r="P59" s="9">
        <v>5.87</v>
      </c>
      <c r="Q59" s="9">
        <v>29</v>
      </c>
      <c r="R59" s="9">
        <f>Table1[Billing Days]-MIN(Table1[Billing Days])</f>
        <v>1</v>
      </c>
      <c r="S59" s="9">
        <v>2019</v>
      </c>
      <c r="T59" s="9">
        <v>2020</v>
      </c>
      <c r="U59" s="9">
        <v>106121.85</v>
      </c>
      <c r="V59" s="9">
        <v>13246.36</v>
      </c>
      <c r="W59" s="9">
        <v>10583.65</v>
      </c>
      <c r="X59" s="9">
        <f t="shared" si="3"/>
        <v>129951.86</v>
      </c>
      <c r="Y59" s="9">
        <v>0</v>
      </c>
      <c r="Z59" s="9">
        <v>544</v>
      </c>
      <c r="AA59" s="9">
        <v>0</v>
      </c>
      <c r="AB59" s="9">
        <v>0</v>
      </c>
      <c r="AC59" s="9">
        <f>AA59+B59</f>
        <v>1037400</v>
      </c>
      <c r="AD59" s="9">
        <f>Table1[Total kWh]*0.003412142*3</f>
        <v>10619.268332399999</v>
      </c>
      <c r="AE59" s="9">
        <v>0</v>
      </c>
      <c r="AF59" s="9">
        <f>Table1[[#This Row],[NG Aligned to Electricity Billing Period (MMBTU)]]-Table1[EG1 MMBtu]</f>
        <v>2107.0155172413797</v>
      </c>
      <c r="AG59" s="9">
        <f>Table1[[#This Row],[Grid Elec Source (MMBTU)]]+Table1[[#This Row],[Generated Elec Source (MMBtu)]]</f>
        <v>10619.268332399999</v>
      </c>
      <c r="AH59" s="9">
        <f>Table1[[#This Row],[Total Elec Source MMBTU]]+Table1[[#This Row],[Grid NG Non-EG01 Source MMBTU]]</f>
        <v>12726.283849641379</v>
      </c>
      <c r="AI59" s="9">
        <f>Table1[Total Energy Source MMBTU]+Table1[LS85 Grid Elec Source (MMBTU)]</f>
        <v>13606.616485641378</v>
      </c>
      <c r="AJ59" s="8"/>
      <c r="AK59" s="8"/>
      <c r="AL59" s="8"/>
    </row>
    <row r="60" spans="1:38" x14ac:dyDescent="0.3">
      <c r="A60" s="9" t="s">
        <v>93</v>
      </c>
      <c r="B60" s="9">
        <v>874200</v>
      </c>
      <c r="C60" s="9">
        <f>Table1[Grid Elec kWh]*0.003412142*3</f>
        <v>8948.6836092000012</v>
      </c>
      <c r="D60" s="9">
        <f>Table1[Grid Elec kWh]*0.003412142</f>
        <v>2982.8945364000001</v>
      </c>
      <c r="E60" s="9">
        <v>2616.8900000000003</v>
      </c>
      <c r="F60" s="9">
        <v>2538.11</v>
      </c>
      <c r="G60" s="9">
        <f t="shared" si="2"/>
        <v>11486.793609200002</v>
      </c>
      <c r="H60" s="9">
        <v>85600</v>
      </c>
      <c r="I60" s="9">
        <f t="shared" si="0"/>
        <v>876.23806560000003</v>
      </c>
      <c r="J60" s="9">
        <f t="shared" si="1"/>
        <v>292.07935520000001</v>
      </c>
      <c r="K60" s="9">
        <v>14.958793103448276</v>
      </c>
      <c r="L60" s="9">
        <f>Table1[Flow (MGD)]-MIN(Table1[Flow (MGD)])</f>
        <v>2.9557931034482756</v>
      </c>
      <c r="M60" s="9">
        <v>201.72413793103448</v>
      </c>
      <c r="N60" s="9">
        <f>Table1[BOD (mg/L)]-MIN(Table1[BOD (mg/L)])</f>
        <v>146.5774712643678</v>
      </c>
      <c r="O60" s="9">
        <v>3.2758620689655168E-2</v>
      </c>
      <c r="P60" s="9">
        <v>0.95</v>
      </c>
      <c r="Q60" s="9">
        <v>28</v>
      </c>
      <c r="R60" s="9">
        <f>Table1[Billing Days]-MIN(Table1[Billing Days])</f>
        <v>0</v>
      </c>
      <c r="S60" s="9">
        <v>2019</v>
      </c>
      <c r="T60" s="9">
        <v>2020</v>
      </c>
      <c r="U60" s="9">
        <v>84097.99</v>
      </c>
      <c r="V60" s="9">
        <v>13791.31</v>
      </c>
      <c r="W60" s="9">
        <v>11248.77</v>
      </c>
      <c r="X60" s="9">
        <f t="shared" si="3"/>
        <v>109138.07</v>
      </c>
      <c r="Y60" s="9">
        <v>18</v>
      </c>
      <c r="Z60" s="9">
        <v>186</v>
      </c>
      <c r="AA60" s="9">
        <v>0</v>
      </c>
      <c r="AB60" s="9">
        <v>0</v>
      </c>
      <c r="AC60" s="9">
        <f>AA60+B60</f>
        <v>874200</v>
      </c>
      <c r="AD60" s="9">
        <f>Table1[Total kWh]*0.003412142*3</f>
        <v>8948.6836092000012</v>
      </c>
      <c r="AE60" s="9">
        <v>0</v>
      </c>
      <c r="AF60" s="9">
        <f>Table1[[#This Row],[NG Aligned to Electricity Billing Period (MMBTU)]]-Table1[EG1 MMBtu]</f>
        <v>2538.11</v>
      </c>
      <c r="AG60" s="9">
        <f>Table1[[#This Row],[Grid Elec Source (MMBTU)]]+Table1[[#This Row],[Generated Elec Source (MMBtu)]]</f>
        <v>8948.6836092000012</v>
      </c>
      <c r="AH60" s="9">
        <f>Table1[[#This Row],[Total Elec Source MMBTU]]+Table1[[#This Row],[Grid NG Non-EG01 Source MMBTU]]</f>
        <v>11486.793609200002</v>
      </c>
      <c r="AI60" s="9">
        <f>Table1[Total Energy Source MMBTU]+Table1[LS85 Grid Elec Source (MMBTU)]</f>
        <v>12363.031674800002</v>
      </c>
      <c r="AJ60" s="8"/>
      <c r="AK60" s="8"/>
      <c r="AL60" s="8"/>
    </row>
    <row r="61" spans="1:38" x14ac:dyDescent="0.3">
      <c r="A61" s="9" t="s">
        <v>94</v>
      </c>
      <c r="B61" s="9">
        <v>961200</v>
      </c>
      <c r="C61" s="9">
        <f>Table1[Grid Elec kWh]*0.003412142*3</f>
        <v>9839.2526711999999</v>
      </c>
      <c r="D61" s="9">
        <f>Table1[Grid Elec kWh]*0.003412142</f>
        <v>3279.7508904000001</v>
      </c>
      <c r="E61" s="9">
        <v>2842.9700000000003</v>
      </c>
      <c r="F61" s="9">
        <v>2749.878235294118</v>
      </c>
      <c r="G61" s="9">
        <f t="shared" si="2"/>
        <v>12589.130906494118</v>
      </c>
      <c r="H61" s="9">
        <v>88800</v>
      </c>
      <c r="I61" s="9">
        <f t="shared" si="0"/>
        <v>908.99462879999999</v>
      </c>
      <c r="J61" s="9">
        <f t="shared" si="1"/>
        <v>302.9982096</v>
      </c>
      <c r="K61" s="9">
        <v>14.689602857142855</v>
      </c>
      <c r="L61" s="9">
        <f>Table1[Flow (MGD)]-MIN(Table1[Flow (MGD)])</f>
        <v>2.6866028571428551</v>
      </c>
      <c r="M61" s="9">
        <v>242.28571428571428</v>
      </c>
      <c r="N61" s="9">
        <f>Table1[BOD (mg/L)]-MIN(Table1[BOD (mg/L)])</f>
        <v>187.1390476190476</v>
      </c>
      <c r="O61" s="9">
        <v>0.16314285714285717</v>
      </c>
      <c r="P61" s="9">
        <v>5.7100000000000009</v>
      </c>
      <c r="Q61" s="9">
        <v>34</v>
      </c>
      <c r="R61" s="9">
        <f>Table1[Billing Days]-MIN(Table1[Billing Days])</f>
        <v>6</v>
      </c>
      <c r="S61" s="9">
        <v>2019</v>
      </c>
      <c r="T61" s="9">
        <v>2020</v>
      </c>
      <c r="U61" s="9">
        <v>74167.039999999994</v>
      </c>
      <c r="V61" s="9">
        <v>14252.43</v>
      </c>
      <c r="W61" s="9">
        <v>8512.73</v>
      </c>
      <c r="X61" s="9">
        <f t="shared" si="3"/>
        <v>96932.2</v>
      </c>
      <c r="Y61" s="9">
        <v>37</v>
      </c>
      <c r="Z61" s="9">
        <v>152</v>
      </c>
      <c r="AA61" s="9">
        <v>0</v>
      </c>
      <c r="AB61" s="9">
        <v>0</v>
      </c>
      <c r="AC61" s="9">
        <f>AA61+B61</f>
        <v>961200</v>
      </c>
      <c r="AD61" s="9">
        <f>Table1[Total kWh]*0.003412142*3</f>
        <v>9839.2526711999999</v>
      </c>
      <c r="AE61" s="9">
        <v>0</v>
      </c>
      <c r="AF61" s="9">
        <f>Table1[[#This Row],[NG Aligned to Electricity Billing Period (MMBTU)]]-Table1[EG1 MMBtu]</f>
        <v>2749.878235294118</v>
      </c>
      <c r="AG61" s="9">
        <f>Table1[[#This Row],[Grid Elec Source (MMBTU)]]+Table1[[#This Row],[Generated Elec Source (MMBtu)]]</f>
        <v>9839.2526711999999</v>
      </c>
      <c r="AH61" s="9">
        <f>Table1[[#This Row],[Total Elec Source MMBTU]]+Table1[[#This Row],[Grid NG Non-EG01 Source MMBTU]]</f>
        <v>12589.130906494118</v>
      </c>
      <c r="AI61" s="9">
        <f>Table1[Total Energy Source MMBTU]+Table1[LS85 Grid Elec Source (MMBTU)]</f>
        <v>13498.125535294117</v>
      </c>
      <c r="AJ61" s="8"/>
      <c r="AK61" s="8"/>
      <c r="AL61" s="8"/>
    </row>
    <row r="62" spans="1:38" x14ac:dyDescent="0.3">
      <c r="A62" s="9" t="s">
        <v>95</v>
      </c>
      <c r="B62" s="9">
        <v>879000</v>
      </c>
      <c r="C62" s="9">
        <f>Table1[Grid Elec kWh]*0.003412142*3</f>
        <v>8997.8184540000002</v>
      </c>
      <c r="D62" s="9">
        <f>Table1[Grid Elec kWh]*0.003412142</f>
        <v>2999.2728179999999</v>
      </c>
      <c r="E62" s="9">
        <v>3205.2400000000002</v>
      </c>
      <c r="F62" s="9">
        <v>3048.2563333333337</v>
      </c>
      <c r="G62" s="9">
        <f t="shared" si="2"/>
        <v>12046.074787333335</v>
      </c>
      <c r="H62" s="9">
        <v>85000</v>
      </c>
      <c r="I62" s="9">
        <f t="shared" si="0"/>
        <v>870.09620999999993</v>
      </c>
      <c r="J62" s="9">
        <f t="shared" si="1"/>
        <v>290.03206999999998</v>
      </c>
      <c r="K62" s="9">
        <v>15.172774193548387</v>
      </c>
      <c r="L62" s="9">
        <f>Table1[Flow (MGD)]-MIN(Table1[Flow (MGD)])</f>
        <v>3.1697741935483865</v>
      </c>
      <c r="M62" s="9">
        <v>223.87096774193549</v>
      </c>
      <c r="N62" s="9">
        <f>Table1[BOD (mg/L)]-MIN(Table1[BOD (mg/L)])</f>
        <v>168.72430107526881</v>
      </c>
      <c r="O62" s="9">
        <v>2.2903225806451613E-2</v>
      </c>
      <c r="P62" s="9">
        <v>0.71</v>
      </c>
      <c r="Q62" s="9">
        <v>30</v>
      </c>
      <c r="R62" s="9">
        <f>Table1[Billing Days]-MIN(Table1[Billing Days])</f>
        <v>2</v>
      </c>
      <c r="S62" s="9">
        <v>2020</v>
      </c>
      <c r="T62" s="9">
        <v>2020</v>
      </c>
      <c r="U62" s="9">
        <v>70688.77</v>
      </c>
      <c r="V62" s="9">
        <v>15139.74</v>
      </c>
      <c r="W62" s="9">
        <v>8326.5</v>
      </c>
      <c r="X62" s="9">
        <f t="shared" si="3"/>
        <v>94155.010000000009</v>
      </c>
      <c r="Y62" s="9">
        <v>86</v>
      </c>
      <c r="Z62" s="9">
        <v>129</v>
      </c>
      <c r="AA62" s="9">
        <v>0</v>
      </c>
      <c r="AB62" s="9">
        <v>0</v>
      </c>
      <c r="AC62" s="9">
        <f>AA62+B62</f>
        <v>879000</v>
      </c>
      <c r="AD62" s="9">
        <f>Table1[Total kWh]*0.003412142*3</f>
        <v>8997.8184540000002</v>
      </c>
      <c r="AE62" s="9">
        <v>0</v>
      </c>
      <c r="AF62" s="9">
        <f>Table1[[#This Row],[NG Aligned to Electricity Billing Period (MMBTU)]]-Table1[EG1 MMBtu]</f>
        <v>3048.2563333333337</v>
      </c>
      <c r="AG62" s="9">
        <f>Table1[[#This Row],[Grid Elec Source (MMBTU)]]+Table1[[#This Row],[Generated Elec Source (MMBtu)]]</f>
        <v>8997.8184540000002</v>
      </c>
      <c r="AH62" s="9">
        <f>Table1[[#This Row],[Total Elec Source MMBTU]]+Table1[[#This Row],[Grid NG Non-EG01 Source MMBTU]]</f>
        <v>12046.074787333335</v>
      </c>
      <c r="AI62" s="9">
        <f>Table1[Total Energy Source MMBTU]+Table1[LS85 Grid Elec Source (MMBTU)]</f>
        <v>12916.170997333335</v>
      </c>
      <c r="AJ62" s="8"/>
      <c r="AK62" s="8"/>
      <c r="AL62" s="8"/>
    </row>
    <row r="63" spans="1:38" x14ac:dyDescent="0.3">
      <c r="A63" s="9" t="s">
        <v>96</v>
      </c>
      <c r="B63" s="9">
        <v>909600</v>
      </c>
      <c r="C63" s="9">
        <f>Table1[Grid Elec kWh]*0.003412142*3</f>
        <v>9311.0530896</v>
      </c>
      <c r="D63" s="9">
        <f>Table1[Grid Elec kWh]*0.003412142</f>
        <v>3103.6843632</v>
      </c>
      <c r="E63" s="9">
        <v>2617.1900000000005</v>
      </c>
      <c r="F63" s="9">
        <v>2837.7087500000007</v>
      </c>
      <c r="G63" s="9">
        <f t="shared" si="2"/>
        <v>12148.7618396</v>
      </c>
      <c r="H63" s="9">
        <v>81200</v>
      </c>
      <c r="I63" s="9">
        <f t="shared" si="0"/>
        <v>831.19779119999998</v>
      </c>
      <c r="J63" s="9">
        <f t="shared" si="1"/>
        <v>277.06593040000001</v>
      </c>
      <c r="K63" s="9">
        <v>13.754227272727269</v>
      </c>
      <c r="L63" s="9">
        <f>Table1[Flow (MGD)]-MIN(Table1[Flow (MGD)])</f>
        <v>1.7512272727272684</v>
      </c>
      <c r="M63" s="9">
        <v>256.36363636363637</v>
      </c>
      <c r="N63" s="9">
        <f>Table1[BOD (mg/L)]-MIN(Table1[BOD (mg/L)])</f>
        <v>201.2169696969697</v>
      </c>
      <c r="O63" s="9">
        <v>5.3333333333333337E-2</v>
      </c>
      <c r="P63" s="9">
        <v>1.76</v>
      </c>
      <c r="Q63" s="9">
        <v>32</v>
      </c>
      <c r="R63" s="9">
        <f>Table1[Billing Days]-MIN(Table1[Billing Days])</f>
        <v>4</v>
      </c>
      <c r="S63" s="9">
        <v>2020</v>
      </c>
      <c r="T63" s="9">
        <v>2020</v>
      </c>
      <c r="U63" s="9">
        <v>75435.149999999994</v>
      </c>
      <c r="V63" s="9">
        <v>16841.419999999998</v>
      </c>
      <c r="W63" s="9">
        <v>6839.69</v>
      </c>
      <c r="X63" s="9">
        <f t="shared" si="3"/>
        <v>99116.26</v>
      </c>
      <c r="Y63" s="9">
        <v>65</v>
      </c>
      <c r="Z63" s="9">
        <v>154</v>
      </c>
      <c r="AA63" s="9">
        <v>0</v>
      </c>
      <c r="AB63" s="9">
        <v>0</v>
      </c>
      <c r="AC63" s="9">
        <f>AA63+B63</f>
        <v>909600</v>
      </c>
      <c r="AD63" s="9">
        <f>Table1[Total kWh]*0.003412142*3</f>
        <v>9311.0530896</v>
      </c>
      <c r="AE63" s="9">
        <v>0</v>
      </c>
      <c r="AF63" s="9">
        <f>Table1[[#This Row],[NG Aligned to Electricity Billing Period (MMBTU)]]-Table1[EG1 MMBtu]</f>
        <v>2837.7087500000007</v>
      </c>
      <c r="AG63" s="9">
        <f>Table1[[#This Row],[Grid Elec Source (MMBTU)]]+Table1[[#This Row],[Generated Elec Source (MMBtu)]]</f>
        <v>9311.0530896</v>
      </c>
      <c r="AH63" s="9">
        <f>Table1[[#This Row],[Total Elec Source MMBTU]]+Table1[[#This Row],[Grid NG Non-EG01 Source MMBTU]]</f>
        <v>12148.7618396</v>
      </c>
      <c r="AI63" s="9">
        <f>Table1[Total Energy Source MMBTU]+Table1[LS85 Grid Elec Source (MMBTU)]</f>
        <v>12979.9596308</v>
      </c>
      <c r="AJ63" s="8"/>
      <c r="AK63" s="8"/>
      <c r="AL63" s="8"/>
    </row>
    <row r="64" spans="1:38" x14ac:dyDescent="0.3">
      <c r="A64" s="9" t="s">
        <v>97</v>
      </c>
      <c r="B64" s="9">
        <v>941400</v>
      </c>
      <c r="C64" s="9">
        <f>Table1[Grid Elec kWh]*0.003412142*3</f>
        <v>9636.5714364000014</v>
      </c>
      <c r="D64" s="9">
        <f>Table1[Grid Elec kWh]*0.003412142</f>
        <v>3212.1904788000002</v>
      </c>
      <c r="E64" s="9">
        <v>2073.58</v>
      </c>
      <c r="F64" s="9">
        <v>2236.663</v>
      </c>
      <c r="G64" s="9">
        <f t="shared" si="2"/>
        <v>11873.234436400002</v>
      </c>
      <c r="H64" s="9">
        <v>77600</v>
      </c>
      <c r="I64" s="9">
        <f t="shared" si="0"/>
        <v>794.34665759999996</v>
      </c>
      <c r="J64" s="9">
        <f t="shared" si="1"/>
        <v>264.78221919999999</v>
      </c>
      <c r="K64" s="9">
        <v>13.13229032258065</v>
      </c>
      <c r="L64" s="9">
        <f>Table1[Flow (MGD)]-MIN(Table1[Flow (MGD)])</f>
        <v>1.1292903225806494</v>
      </c>
      <c r="M64" s="9">
        <v>257.09677419354841</v>
      </c>
      <c r="N64" s="9">
        <f>Table1[BOD (mg/L)]-MIN(Table1[BOD (mg/L)])</f>
        <v>201.95010752688174</v>
      </c>
      <c r="O64" s="9">
        <v>6.4516129032258064E-4</v>
      </c>
      <c r="P64" s="9">
        <v>0.02</v>
      </c>
      <c r="Q64" s="9">
        <v>30</v>
      </c>
      <c r="R64" s="9">
        <f>Table1[Billing Days]-MIN(Table1[Billing Days])</f>
        <v>2</v>
      </c>
      <c r="S64" s="9">
        <v>2020</v>
      </c>
      <c r="T64" s="9">
        <v>2020</v>
      </c>
      <c r="U64" s="9">
        <v>80426.23</v>
      </c>
      <c r="V64" s="9">
        <v>9399.0300000000007</v>
      </c>
      <c r="W64" s="9">
        <v>7287.62</v>
      </c>
      <c r="X64" s="9">
        <f t="shared" si="3"/>
        <v>97112.87999999999</v>
      </c>
      <c r="Y64" s="9">
        <v>8</v>
      </c>
      <c r="Z64" s="9">
        <v>312</v>
      </c>
      <c r="AA64" s="9">
        <v>9231</v>
      </c>
      <c r="AB64" s="9">
        <f>((Table1[EG1 kWh Prod]*0.6979)*0.003412142)+((Table1[EG1 kWh Prod]*0.3021)*0.003412142*2.5)</f>
        <v>45.770567133726296</v>
      </c>
      <c r="AC64" s="9">
        <f>AA64+B64</f>
        <v>950631</v>
      </c>
      <c r="AD64" s="9">
        <f>Table1[Total kWh]*0.003412142*3</f>
        <v>9731.0638848060007</v>
      </c>
      <c r="AE64" s="9">
        <v>22.142730409805999</v>
      </c>
      <c r="AF64" s="9">
        <f>Table1[[#This Row],[NG Aligned to Electricity Billing Period (MMBTU)]]-Table1[EG1 MMBtu]</f>
        <v>2214.5202695901939</v>
      </c>
      <c r="AG64" s="9">
        <f>Table1[[#This Row],[Grid Elec Source (MMBTU)]]+Table1[[#This Row],[Generated Elec Source (MMBtu)]]</f>
        <v>9682.3420035337276</v>
      </c>
      <c r="AH64" s="9">
        <f>Table1[[#This Row],[Total Elec Source MMBTU]]+Table1[[#This Row],[Grid NG Non-EG01 Source MMBTU]]</f>
        <v>11896.862273123921</v>
      </c>
      <c r="AI64" s="9">
        <f>Table1[Total Energy Source MMBTU]+Table1[LS85 Grid Elec Source (MMBTU)]</f>
        <v>12691.20893072392</v>
      </c>
      <c r="AJ64" s="8"/>
      <c r="AK64" s="8"/>
      <c r="AL64" s="8" t="s">
        <v>98</v>
      </c>
    </row>
    <row r="65" spans="1:38" x14ac:dyDescent="0.3">
      <c r="A65" s="9" t="s">
        <v>99</v>
      </c>
      <c r="B65" s="9">
        <v>976200</v>
      </c>
      <c r="C65" s="9">
        <f>Table1[Grid Elec kWh]*0.003412142*3</f>
        <v>9992.7990611999994</v>
      </c>
      <c r="D65" s="9">
        <f>Table1[Grid Elec kWh]*0.003412142</f>
        <v>3330.9330203999998</v>
      </c>
      <c r="E65" s="9">
        <v>4162.43</v>
      </c>
      <c r="F65" s="9">
        <v>3605.4033333333332</v>
      </c>
      <c r="G65" s="9">
        <f t="shared" si="2"/>
        <v>13598.202394533333</v>
      </c>
      <c r="H65" s="9">
        <v>76600</v>
      </c>
      <c r="I65" s="9">
        <f t="shared" si="0"/>
        <v>784.11023159999991</v>
      </c>
      <c r="J65" s="9">
        <f t="shared" si="1"/>
        <v>261.37007719999997</v>
      </c>
      <c r="K65" s="9">
        <v>12.103451612903225</v>
      </c>
      <c r="L65" s="9">
        <f>Table1[Flow (MGD)]-MIN(Table1[Flow (MGD)])</f>
        <v>0.10045161290322469</v>
      </c>
      <c r="M65" s="9">
        <v>247.74193548387098</v>
      </c>
      <c r="N65" s="9">
        <f>Table1[BOD (mg/L)]-MIN(Table1[BOD (mg/L)])</f>
        <v>192.5952688172043</v>
      </c>
      <c r="O65" s="9">
        <v>0.14225806451612905</v>
      </c>
      <c r="P65" s="9">
        <v>4.41</v>
      </c>
      <c r="Q65" s="9">
        <v>30</v>
      </c>
      <c r="R65" s="9">
        <f>Table1[Billing Days]-MIN(Table1[Billing Days])</f>
        <v>2</v>
      </c>
      <c r="S65" s="9">
        <v>2020</v>
      </c>
      <c r="T65" s="9">
        <v>2020</v>
      </c>
      <c r="U65" s="9">
        <v>64357.919999999998</v>
      </c>
      <c r="V65" s="9">
        <v>19202.43</v>
      </c>
      <c r="W65" s="9">
        <v>9118.8100000000013</v>
      </c>
      <c r="X65" s="9">
        <f t="shared" si="3"/>
        <v>92679.16</v>
      </c>
      <c r="Y65" s="9">
        <v>0</v>
      </c>
      <c r="Z65" s="9">
        <v>352</v>
      </c>
      <c r="AA65" s="9">
        <v>47482</v>
      </c>
      <c r="AB65" s="9">
        <f>((Table1[EG1 kWh Prod]*0.6979)*0.003412142)+((Table1[EG1 kWh Prod]*0.3021)*0.003412142*2.5)</f>
        <v>235.43257162209858</v>
      </c>
      <c r="AC65" s="9">
        <f>AA65+B65</f>
        <v>1023682</v>
      </c>
      <c r="AD65" s="9">
        <f>Table1[Total kWh]*0.003412142*3</f>
        <v>10478.845040532</v>
      </c>
      <c r="AE65" s="9">
        <v>113.896774490132</v>
      </c>
      <c r="AF65" s="9">
        <f>Table1[[#This Row],[NG Aligned to Electricity Billing Period (MMBTU)]]-Table1[EG1 MMBtu]</f>
        <v>3491.5065588432012</v>
      </c>
      <c r="AG65" s="9">
        <f>Table1[[#This Row],[Grid Elec Source (MMBTU)]]+Table1[[#This Row],[Generated Elec Source (MMBtu)]]</f>
        <v>10228.231632822099</v>
      </c>
      <c r="AH65" s="9">
        <f>Table1[[#This Row],[Total Elec Source MMBTU]]+Table1[[#This Row],[Grid NG Non-EG01 Source MMBTU]]</f>
        <v>13719.738191665299</v>
      </c>
      <c r="AI65" s="9">
        <f>Table1[Total Energy Source MMBTU]+Table1[LS85 Grid Elec Source (MMBTU)]</f>
        <v>14503.848423265299</v>
      </c>
      <c r="AJ65" s="8"/>
      <c r="AK65" s="8"/>
      <c r="AL65" s="8"/>
    </row>
    <row r="66" spans="1:38" x14ac:dyDescent="0.3">
      <c r="A66" s="9" t="s">
        <v>100</v>
      </c>
      <c r="B66" s="9">
        <v>1034400</v>
      </c>
      <c r="C66" s="9">
        <f>Table1[Grid Elec kWh]*0.003412142*3</f>
        <v>10588.559054400001</v>
      </c>
      <c r="D66" s="9">
        <f>Table1[Grid Elec kWh]*0.003412142</f>
        <v>3529.5196848000001</v>
      </c>
      <c r="E66" s="9">
        <v>3581.66</v>
      </c>
      <c r="F66" s="9">
        <v>3763.1506249999998</v>
      </c>
      <c r="G66" s="9">
        <f t="shared" si="2"/>
        <v>14351.709679400001</v>
      </c>
      <c r="H66" s="9">
        <v>75000</v>
      </c>
      <c r="I66" s="9">
        <f t="shared" ref="I66:I82" si="4">H66*0.003412142*3</f>
        <v>767.73194999999998</v>
      </c>
      <c r="J66" s="9">
        <f t="shared" ref="J66:J82" si="5">H66*0.003412142</f>
        <v>255.91065</v>
      </c>
      <c r="K66" s="9">
        <v>12.34939393939394</v>
      </c>
      <c r="L66" s="9">
        <f>Table1[Flow (MGD)]-MIN(Table1[Flow (MGD)])</f>
        <v>0.34639393939393948</v>
      </c>
      <c r="M66" s="9">
        <v>254.84848484848484</v>
      </c>
      <c r="N66" s="9">
        <f>Table1[BOD (mg/L)]-MIN(Table1[BOD (mg/L)])</f>
        <v>199.70181818181817</v>
      </c>
      <c r="O66" s="9">
        <v>7.2424242424242419E-2</v>
      </c>
      <c r="P66" s="9">
        <v>2.3899999999999997</v>
      </c>
      <c r="Q66" s="9">
        <v>32</v>
      </c>
      <c r="R66" s="9">
        <f>Table1[Billing Days]-MIN(Table1[Billing Days])</f>
        <v>4</v>
      </c>
      <c r="S66" s="9">
        <v>2020</v>
      </c>
      <c r="T66" s="9">
        <v>2020</v>
      </c>
      <c r="U66" s="9">
        <v>94457.76</v>
      </c>
      <c r="V66" s="9">
        <v>16308.27</v>
      </c>
      <c r="W66" s="9">
        <v>5434.03</v>
      </c>
      <c r="X66" s="9">
        <f t="shared" si="3"/>
        <v>116200.06</v>
      </c>
      <c r="Y66" s="9">
        <v>0</v>
      </c>
      <c r="Z66" s="9">
        <v>457</v>
      </c>
      <c r="AA66" s="9">
        <v>92605</v>
      </c>
      <c r="AB66" s="9">
        <f>((Table1[EG1 kWh Prod]*0.6979)*0.003412142)+((Table1[EG1 kWh Prod]*0.3021)*0.003412142*2.5)</f>
        <v>459.16838581071647</v>
      </c>
      <c r="AC66" s="9">
        <f>AA66+B66</f>
        <v>1127005</v>
      </c>
      <c r="AD66" s="9">
        <f>Table1[Total kWh]*0.003412142*3</f>
        <v>11536.50328413</v>
      </c>
      <c r="AE66" s="9">
        <v>222.13493116672998</v>
      </c>
      <c r="AF66" s="9">
        <f>Table1[[#This Row],[NG Aligned to Electricity Billing Period (MMBTU)]]-Table1[EG1 MMBtu]</f>
        <v>3541.0156938332698</v>
      </c>
      <c r="AG66" s="9">
        <f>Table1[[#This Row],[Grid Elec Source (MMBTU)]]+Table1[[#This Row],[Generated Elec Source (MMBtu)]]</f>
        <v>11047.727440210718</v>
      </c>
      <c r="AH66" s="9">
        <f>Table1[[#This Row],[Total Elec Source MMBTU]]+Table1[[#This Row],[Grid NG Non-EG01 Source MMBTU]]</f>
        <v>14588.743134043987</v>
      </c>
      <c r="AI66" s="9">
        <f>Table1[Total Energy Source MMBTU]+Table1[LS85 Grid Elec Source (MMBTU)]</f>
        <v>15356.475084043986</v>
      </c>
      <c r="AJ66" s="8"/>
      <c r="AK66" s="8"/>
      <c r="AL66" s="8"/>
    </row>
    <row r="67" spans="1:38" x14ac:dyDescent="0.3">
      <c r="A67" s="9" t="s">
        <v>101</v>
      </c>
      <c r="B67" s="9">
        <v>976200</v>
      </c>
      <c r="C67" s="9">
        <f>Table1[Grid Elec kWh]*0.003412142*3</f>
        <v>9992.7990611999994</v>
      </c>
      <c r="D67" s="9">
        <f>Table1[Grid Elec kWh]*0.003412142</f>
        <v>3330.9330203999998</v>
      </c>
      <c r="E67" s="9">
        <v>2368.2800000000002</v>
      </c>
      <c r="F67" s="9">
        <v>2703.0055172413795</v>
      </c>
      <c r="G67" s="9">
        <f t="shared" ref="G67:G82" si="6">C67+F67</f>
        <v>12695.804578441379</v>
      </c>
      <c r="H67" s="9">
        <v>84400</v>
      </c>
      <c r="I67" s="9">
        <f t="shared" si="4"/>
        <v>863.95435440000006</v>
      </c>
      <c r="J67" s="9">
        <f t="shared" si="5"/>
        <v>287.9847848</v>
      </c>
      <c r="K67" s="9">
        <v>14.646833333333335</v>
      </c>
      <c r="L67" s="9">
        <f>Table1[Flow (MGD)]-MIN(Table1[Flow (MGD)])</f>
        <v>2.643833333333335</v>
      </c>
      <c r="M67" s="9">
        <v>219.66666666666666</v>
      </c>
      <c r="N67" s="9">
        <f>Table1[BOD (mg/L)]-MIN(Table1[BOD (mg/L)])</f>
        <v>164.51999999999998</v>
      </c>
      <c r="O67" s="9">
        <v>0.21333333333333332</v>
      </c>
      <c r="P67" s="9">
        <v>6.3999999999999995</v>
      </c>
      <c r="Q67" s="9">
        <v>29</v>
      </c>
      <c r="R67" s="9">
        <f>Table1[Billing Days]-MIN(Table1[Billing Days])</f>
        <v>1</v>
      </c>
      <c r="S67" s="9">
        <v>2020</v>
      </c>
      <c r="T67" s="9">
        <v>2020</v>
      </c>
      <c r="U67" s="9">
        <v>96901.81</v>
      </c>
      <c r="V67" s="9">
        <v>10438.06</v>
      </c>
      <c r="W67" s="9">
        <v>11720.4</v>
      </c>
      <c r="X67" s="9">
        <f t="shared" ref="X67:X82" si="7">U67+V67+W67</f>
        <v>119060.26999999999</v>
      </c>
      <c r="Y67" s="9">
        <v>0</v>
      </c>
      <c r="Z67" s="9">
        <v>589</v>
      </c>
      <c r="AA67" s="9">
        <v>59802</v>
      </c>
      <c r="AB67" s="9">
        <f>((Table1[EG1 kWh Prod]*0.6979)*0.003412142)+((Table1[EG1 kWh Prod]*0.3021)*0.003412142*2.5)</f>
        <v>296.51949471683457</v>
      </c>
      <c r="AC67" s="9">
        <f>AA67+B67</f>
        <v>1036002</v>
      </c>
      <c r="AD67" s="9">
        <f>Table1[Total kWh]*0.003412142*3</f>
        <v>10604.957808851999</v>
      </c>
      <c r="AE67" s="9">
        <v>143.44919986645198</v>
      </c>
      <c r="AF67" s="9">
        <f>Table1[[#This Row],[NG Aligned to Electricity Billing Period (MMBTU)]]-Table1[EG1 MMBtu]</f>
        <v>2559.5563173749274</v>
      </c>
      <c r="AG67" s="9">
        <f>Table1[[#This Row],[Grid Elec Source (MMBTU)]]+Table1[[#This Row],[Generated Elec Source (MMBtu)]]</f>
        <v>10289.318555916834</v>
      </c>
      <c r="AH67" s="9">
        <f>Table1[[#This Row],[Total Elec Source MMBTU]]+Table1[[#This Row],[Grid NG Non-EG01 Source MMBTU]]</f>
        <v>12848.874873291761</v>
      </c>
      <c r="AI67" s="9">
        <f>Table1[Total Energy Source MMBTU]+Table1[LS85 Grid Elec Source (MMBTU)]</f>
        <v>13712.829227691762</v>
      </c>
      <c r="AJ67" s="8"/>
      <c r="AK67" s="8"/>
      <c r="AL67" s="8"/>
    </row>
    <row r="68" spans="1:38" x14ac:dyDescent="0.3">
      <c r="A68" s="9" t="s">
        <v>102</v>
      </c>
      <c r="B68" s="9">
        <v>925800</v>
      </c>
      <c r="C68" s="9">
        <f>Table1[Grid Elec kWh]*0.003412142*3</f>
        <v>9476.8831907999993</v>
      </c>
      <c r="D68" s="9">
        <f>Table1[Grid Elec kWh]*0.003412142</f>
        <v>3158.9610635999998</v>
      </c>
      <c r="E68" s="9">
        <v>2425.0300000000002</v>
      </c>
      <c r="F68" s="9">
        <v>2408.0050000000001</v>
      </c>
      <c r="G68" s="9">
        <f t="shared" si="6"/>
        <v>11884.8881908</v>
      </c>
      <c r="H68" s="9">
        <v>91600</v>
      </c>
      <c r="I68" s="9">
        <f t="shared" si="4"/>
        <v>937.65662159999999</v>
      </c>
      <c r="J68" s="9">
        <f t="shared" si="5"/>
        <v>312.5522072</v>
      </c>
      <c r="K68" s="9">
        <v>13.865322580645163</v>
      </c>
      <c r="L68" s="9">
        <f>Table1[Flow (MGD)]-MIN(Table1[Flow (MGD)])</f>
        <v>1.8623225806451629</v>
      </c>
      <c r="M68" s="9">
        <v>230.64516129032259</v>
      </c>
      <c r="N68" s="9">
        <f>Table1[BOD (mg/L)]-MIN(Table1[BOD (mg/L)])</f>
        <v>175.49849462365592</v>
      </c>
      <c r="O68" s="9">
        <v>0.19935483870967743</v>
      </c>
      <c r="P68" s="9">
        <v>6.1800000000000006</v>
      </c>
      <c r="Q68" s="9">
        <v>30</v>
      </c>
      <c r="R68" s="9">
        <f>Table1[Billing Days]-MIN(Table1[Billing Days])</f>
        <v>2</v>
      </c>
      <c r="S68" s="9">
        <v>2020</v>
      </c>
      <c r="T68" s="9">
        <v>2020</v>
      </c>
      <c r="U68" s="9">
        <v>80065.75</v>
      </c>
      <c r="V68" s="9">
        <v>11706.21</v>
      </c>
      <c r="W68" s="9">
        <v>12833.93</v>
      </c>
      <c r="X68" s="9">
        <f t="shared" si="7"/>
        <v>104605.88999999998</v>
      </c>
      <c r="Y68" s="9">
        <v>0</v>
      </c>
      <c r="Z68" s="9">
        <v>664</v>
      </c>
      <c r="AA68" s="9">
        <v>64018</v>
      </c>
      <c r="AB68" s="9">
        <f>((Table1[EG1 kWh Prod]*0.6979)*0.003412142)+((Table1[EG1 kWh Prod]*0.3021)*0.003412142*2.5)</f>
        <v>317.42391580185142</v>
      </c>
      <c r="AC68" s="9">
        <f>AA68+B68</f>
        <v>989818</v>
      </c>
      <c r="AD68" s="9">
        <f>Table1[Total kWh]*0.003412142*3</f>
        <v>10132.198710467999</v>
      </c>
      <c r="AE68" s="9">
        <v>153.56227010886801</v>
      </c>
      <c r="AF68" s="9">
        <f>Table1[[#This Row],[NG Aligned to Electricity Billing Period (MMBTU)]]-Table1[EG1 MMBtu]</f>
        <v>2254.4427298911323</v>
      </c>
      <c r="AG68" s="9">
        <f>Table1[[#This Row],[Grid Elec Source (MMBTU)]]+Table1[[#This Row],[Generated Elec Source (MMBtu)]]</f>
        <v>9794.307106601851</v>
      </c>
      <c r="AH68" s="9">
        <f>Table1[[#This Row],[Total Elec Source MMBTU]]+Table1[[#This Row],[Grid NG Non-EG01 Source MMBTU]]</f>
        <v>12048.749836492983</v>
      </c>
      <c r="AI68" s="9">
        <f>Table1[Total Energy Source MMBTU]+Table1[LS85 Grid Elec Source (MMBTU)]</f>
        <v>12986.406458092983</v>
      </c>
      <c r="AJ68" s="8"/>
      <c r="AK68" s="8"/>
      <c r="AL68" s="8"/>
    </row>
    <row r="69" spans="1:38" x14ac:dyDescent="0.3">
      <c r="A69" s="9" t="s">
        <v>103</v>
      </c>
      <c r="B69" s="9">
        <v>614400</v>
      </c>
      <c r="C69" s="9">
        <f>Table1[Grid Elec kWh]*0.003412142*3</f>
        <v>6289.2601344000004</v>
      </c>
      <c r="D69" s="9">
        <f>Table1[Grid Elec kWh]*0.003412142</f>
        <v>2096.4200448000001</v>
      </c>
      <c r="E69" s="9">
        <v>4943.71</v>
      </c>
      <c r="F69" s="9">
        <v>4049.9848387096777</v>
      </c>
      <c r="G69" s="9">
        <f t="shared" si="6"/>
        <v>10339.244973109679</v>
      </c>
      <c r="H69" s="9">
        <v>85400</v>
      </c>
      <c r="I69" s="9">
        <f t="shared" si="4"/>
        <v>874.19078039999999</v>
      </c>
      <c r="J69" s="9">
        <f t="shared" si="5"/>
        <v>291.39692680000002</v>
      </c>
      <c r="K69" s="9">
        <v>14.628874999999999</v>
      </c>
      <c r="L69" s="9">
        <f>Table1[Flow (MGD)]-MIN(Table1[Flow (MGD)])</f>
        <v>2.6258749999999988</v>
      </c>
      <c r="M69" s="9">
        <v>206.875</v>
      </c>
      <c r="N69" s="9">
        <f>Table1[BOD (mg/L)]-MIN(Table1[BOD (mg/L)])</f>
        <v>151.72833333333332</v>
      </c>
      <c r="O69" s="9">
        <v>0.34343750000000001</v>
      </c>
      <c r="P69" s="9">
        <v>10.99</v>
      </c>
      <c r="Q69" s="9">
        <v>31</v>
      </c>
      <c r="R69" s="9">
        <f>Table1[Billing Days]-MIN(Table1[Billing Days])</f>
        <v>3</v>
      </c>
      <c r="S69" s="9">
        <v>2020</v>
      </c>
      <c r="T69" s="9">
        <v>2020</v>
      </c>
      <c r="U69" s="9">
        <v>59030.65</v>
      </c>
      <c r="V69" s="9">
        <v>27110.66</v>
      </c>
      <c r="W69" s="9">
        <v>9111.880000000001</v>
      </c>
      <c r="X69" s="9">
        <f t="shared" si="7"/>
        <v>95253.19</v>
      </c>
      <c r="Y69" s="9">
        <v>0</v>
      </c>
      <c r="Z69" s="9">
        <v>659</v>
      </c>
      <c r="AA69" s="9">
        <v>416678</v>
      </c>
      <c r="AB69" s="9">
        <f>((Table1[EG1 kWh Prod]*0.6979)*0.003412142)+((Table1[EG1 kWh Prod]*0.3021)*0.003412142*2.5)</f>
        <v>2066.0370893886693</v>
      </c>
      <c r="AC69" s="9">
        <f>AA69+B69</f>
        <v>1031078</v>
      </c>
      <c r="AD69" s="9">
        <f>Table1[Total kWh]*0.003412142*3</f>
        <v>10554.553647228</v>
      </c>
      <c r="AE69" s="9">
        <v>999.50044650602797</v>
      </c>
      <c r="AF69" s="9">
        <f>Table1[[#This Row],[NG Aligned to Electricity Billing Period (MMBTU)]]-Table1[EG1 MMBtu]</f>
        <v>3050.4843922036498</v>
      </c>
      <c r="AG69" s="9">
        <f>Table1[[#This Row],[Grid Elec Source (MMBTU)]]+Table1[[#This Row],[Generated Elec Source (MMBtu)]]</f>
        <v>8355.2972237886697</v>
      </c>
      <c r="AH69" s="9">
        <f>Table1[[#This Row],[Total Elec Source MMBTU]]+Table1[[#This Row],[Grid NG Non-EG01 Source MMBTU]]</f>
        <v>11405.78161599232</v>
      </c>
      <c r="AI69" s="9">
        <f>Table1[Total Energy Source MMBTU]+Table1[LS85 Grid Elec Source (MMBTU)]</f>
        <v>12279.972396392321</v>
      </c>
      <c r="AJ69" s="8"/>
      <c r="AK69" s="8"/>
      <c r="AL69" s="8"/>
    </row>
    <row r="70" spans="1:38" x14ac:dyDescent="0.3">
      <c r="A70" s="9" t="s">
        <v>104</v>
      </c>
      <c r="B70" s="9">
        <v>495000</v>
      </c>
      <c r="C70" s="9">
        <f>Table1[Grid Elec kWh]*0.003412142*3</f>
        <v>5067.0308699999996</v>
      </c>
      <c r="D70" s="9">
        <f>Table1[Grid Elec kWh]*0.003412142</f>
        <v>1689.0102899999999</v>
      </c>
      <c r="E70" s="9">
        <v>3844.6</v>
      </c>
      <c r="F70" s="9">
        <v>4210.9033333333336</v>
      </c>
      <c r="G70" s="9">
        <f t="shared" si="6"/>
        <v>9277.9342033333342</v>
      </c>
      <c r="H70" s="9">
        <v>125600</v>
      </c>
      <c r="I70" s="9">
        <f t="shared" si="4"/>
        <v>1285.6951056</v>
      </c>
      <c r="J70" s="9">
        <f t="shared" si="5"/>
        <v>428.56503520000001</v>
      </c>
      <c r="K70" s="9">
        <v>20.55764516</v>
      </c>
      <c r="L70" s="9">
        <f>Table1[Flow (MGD)]-MIN(Table1[Flow (MGD)])</f>
        <v>8.5546451599999997</v>
      </c>
      <c r="M70" s="9">
        <v>138.25810000000001</v>
      </c>
      <c r="N70" s="9">
        <f>Table1[BOD (mg/L)]-MIN(Table1[BOD (mg/L)])</f>
        <v>83.111433333333338</v>
      </c>
      <c r="O70" s="9">
        <v>0.19225809999999999</v>
      </c>
      <c r="P70" s="9">
        <v>5.97</v>
      </c>
      <c r="Q70" s="9">
        <v>30</v>
      </c>
      <c r="R70" s="9">
        <f>Table1[Billing Days]-MIN(Table1[Billing Days])</f>
        <v>2</v>
      </c>
      <c r="S70" s="9">
        <v>2020</v>
      </c>
      <c r="T70" s="9">
        <v>2020</v>
      </c>
      <c r="U70" s="9">
        <v>54099.91</v>
      </c>
      <c r="V70" s="9">
        <v>18850.43</v>
      </c>
      <c r="W70" s="9">
        <v>16613.190000000002</v>
      </c>
      <c r="X70" s="9">
        <f t="shared" si="7"/>
        <v>89563.53</v>
      </c>
      <c r="Y70" s="9">
        <v>0</v>
      </c>
      <c r="Z70" s="9">
        <v>575</v>
      </c>
      <c r="AA70" s="9">
        <v>637749</v>
      </c>
      <c r="AB70" s="9">
        <f>((Table1[EG1 kWh Prod]*0.6979)*0.003412142)+((Table1[EG1 kWh Prod]*0.3021)*0.003412142*2.5)</f>
        <v>3162.1853990864274</v>
      </c>
      <c r="AC70" s="9">
        <f>AA70+B70</f>
        <v>1132749</v>
      </c>
      <c r="AD70" s="9">
        <f>Table1[Total kWh]*0.003412142*3</f>
        <v>11595.301315073999</v>
      </c>
      <c r="AE70" s="9">
        <v>1174.5446575762305</v>
      </c>
      <c r="AF70" s="9">
        <f>Table1[[#This Row],[NG Aligned to Electricity Billing Period (MMBTU)]]-Table1[EG1 MMBtu]</f>
        <v>3036.3586757571029</v>
      </c>
      <c r="AG70" s="9">
        <f>Table1[[#This Row],[Grid Elec Source (MMBTU)]]+Table1[[#This Row],[Generated Elec Source (MMBtu)]]</f>
        <v>8229.2162690864279</v>
      </c>
      <c r="AH70" s="9">
        <f>Table1[[#This Row],[Total Elec Source MMBTU]]+Table1[[#This Row],[Grid NG Non-EG01 Source MMBTU]]</f>
        <v>11265.574944843531</v>
      </c>
      <c r="AI70" s="9">
        <f>Table1[Total Energy Source MMBTU]+Table1[LS85 Grid Elec Source (MMBTU)]</f>
        <v>12551.270050443531</v>
      </c>
      <c r="AJ70" s="8"/>
      <c r="AK70" s="8"/>
      <c r="AL70" s="8"/>
    </row>
    <row r="71" spans="1:38" x14ac:dyDescent="0.3">
      <c r="A71" s="9" t="s">
        <v>105</v>
      </c>
      <c r="B71" s="9">
        <v>331800</v>
      </c>
      <c r="C71" s="9">
        <f>Table1[Grid Elec kWh]*0.003412142*3</f>
        <v>3396.4461468</v>
      </c>
      <c r="D71" s="9">
        <f>Table1[Grid Elec kWh]*0.003412142</f>
        <v>1132.1487156000001</v>
      </c>
      <c r="E71" s="9">
        <v>3912.64</v>
      </c>
      <c r="F71" s="9">
        <v>3891.4931034482765</v>
      </c>
      <c r="G71" s="9">
        <f t="shared" si="6"/>
        <v>7287.9392502482769</v>
      </c>
      <c r="H71" s="9">
        <v>86400</v>
      </c>
      <c r="I71" s="9">
        <f t="shared" si="4"/>
        <v>884.42720639999993</v>
      </c>
      <c r="J71" s="9">
        <f t="shared" si="5"/>
        <v>294.80906879999998</v>
      </c>
      <c r="K71" s="9">
        <v>14.491400000000001</v>
      </c>
      <c r="L71" s="9">
        <f>Table1[Flow (MGD)]-MIN(Table1[Flow (MGD)])</f>
        <v>2.4884000000000004</v>
      </c>
      <c r="M71" s="9">
        <v>182.667</v>
      </c>
      <c r="N71" s="9">
        <f>Table1[BOD (mg/L)]-MIN(Table1[BOD (mg/L)])</f>
        <v>127.52033333333333</v>
      </c>
      <c r="O71" s="9">
        <v>0.06</v>
      </c>
      <c r="P71" s="9">
        <v>1.8</v>
      </c>
      <c r="Q71" s="9">
        <v>29</v>
      </c>
      <c r="R71" s="9">
        <f>Table1[Billing Days]-MIN(Table1[Billing Days])</f>
        <v>1</v>
      </c>
      <c r="S71" s="9">
        <v>2020</v>
      </c>
      <c r="T71" s="9">
        <v>2021</v>
      </c>
      <c r="U71" s="9">
        <v>42921.37</v>
      </c>
      <c r="V71" s="9">
        <v>22269.54</v>
      </c>
      <c r="W71" s="9">
        <v>11149.779999999999</v>
      </c>
      <c r="X71" s="9">
        <f t="shared" si="7"/>
        <v>76340.69</v>
      </c>
      <c r="Y71" s="9">
        <v>0</v>
      </c>
      <c r="Z71" s="9">
        <v>520</v>
      </c>
      <c r="AA71" s="9">
        <v>598660</v>
      </c>
      <c r="AB71" s="9">
        <f>((Table1[EG1 kWh Prod]*0.6979)*0.003412142)+((Table1[EG1 kWh Prod]*0.3021)*0.003412142*2.5)</f>
        <v>2968.3682938226175</v>
      </c>
      <c r="AC71" s="9">
        <f>AA71+B71</f>
        <v>930460</v>
      </c>
      <c r="AD71" s="9">
        <f>Table1[Total kWh]*0.003412142*3</f>
        <v>9524.5849359599997</v>
      </c>
      <c r="AE71" s="9">
        <v>1088.25531330833</v>
      </c>
      <c r="AF71" s="9">
        <f>Table1[[#This Row],[NG Aligned to Electricity Billing Period (MMBTU)]]-Table1[EG1 MMBtu]</f>
        <v>2803.2377901399468</v>
      </c>
      <c r="AG71" s="9">
        <f>Table1[[#This Row],[Grid Elec Source (MMBTU)]]+Table1[[#This Row],[Generated Elec Source (MMBtu)]]</f>
        <v>6364.8144406226174</v>
      </c>
      <c r="AH71" s="9">
        <f>Table1[[#This Row],[Total Elec Source MMBTU]]+Table1[[#This Row],[Grid NG Non-EG01 Source MMBTU]]</f>
        <v>9168.0522307625652</v>
      </c>
      <c r="AI71" s="9">
        <f>Table1[Total Energy Source MMBTU]+Table1[LS85 Grid Elec Source (MMBTU)]</f>
        <v>10052.479437162565</v>
      </c>
      <c r="AJ71" s="8"/>
      <c r="AK71" s="8"/>
      <c r="AL71" s="8"/>
    </row>
    <row r="72" spans="1:38" x14ac:dyDescent="0.3">
      <c r="A72" s="9" t="s">
        <v>106</v>
      </c>
      <c r="B72" s="9">
        <v>729000</v>
      </c>
      <c r="C72" s="9">
        <f>Table1[Grid Elec kWh]*0.003412142*3</f>
        <v>7462.3545539999996</v>
      </c>
      <c r="D72" s="9">
        <f>Table1[Grid Elec kWh]*0.003412142</f>
        <v>2487.4515179999999</v>
      </c>
      <c r="E72" s="9">
        <v>2094.41</v>
      </c>
      <c r="F72" s="9">
        <v>2779.3712500000001</v>
      </c>
      <c r="G72" s="9">
        <f t="shared" si="6"/>
        <v>10241.725804</v>
      </c>
      <c r="H72" s="9">
        <v>108200</v>
      </c>
      <c r="I72" s="9">
        <f t="shared" si="4"/>
        <v>1107.5812932000001</v>
      </c>
      <c r="J72" s="9">
        <f t="shared" si="5"/>
        <v>369.19376440000002</v>
      </c>
      <c r="K72" s="9">
        <v>18.00994</v>
      </c>
      <c r="L72" s="9">
        <f>Table1[Flow (MGD)]-MIN(Table1[Flow (MGD)])</f>
        <v>6.0069400000000002</v>
      </c>
      <c r="M72" s="9">
        <v>164.33330000000001</v>
      </c>
      <c r="N72" s="9">
        <f>Table1[BOD (mg/L)]-MIN(Table1[BOD (mg/L)])</f>
        <v>109.18663333333333</v>
      </c>
      <c r="O72" s="9">
        <v>0.21363636</v>
      </c>
      <c r="P72" s="9">
        <v>7.05</v>
      </c>
      <c r="Q72" s="9">
        <v>32</v>
      </c>
      <c r="R72" s="9">
        <f>Table1[Billing Days]-MIN(Table1[Billing Days])</f>
        <v>4</v>
      </c>
      <c r="S72" s="9">
        <v>2020</v>
      </c>
      <c r="T72" s="9">
        <v>2021</v>
      </c>
      <c r="U72" s="9">
        <v>69992.240000000005</v>
      </c>
      <c r="V72" s="9">
        <v>11896.57</v>
      </c>
      <c r="W72" s="9">
        <v>19517.84</v>
      </c>
      <c r="X72" s="9">
        <f t="shared" si="7"/>
        <v>101406.65</v>
      </c>
      <c r="Y72" s="9">
        <v>0</v>
      </c>
      <c r="Z72" s="9">
        <v>316</v>
      </c>
      <c r="AA72" s="9">
        <v>295139</v>
      </c>
      <c r="AB72" s="9">
        <f>((Table1[EG1 kWh Prod]*0.6979)*0.003412142)+((Table1[EG1 kWh Prod]*0.3021)*0.003412142*2.5)</f>
        <v>1463.4036846799745</v>
      </c>
      <c r="AC72" s="9">
        <f>AA72+B72</f>
        <v>1024139</v>
      </c>
      <c r="AD72" s="9">
        <f>Table1[Total kWh]*0.003412142*3</f>
        <v>10483.523087214</v>
      </c>
      <c r="AE72" s="9">
        <v>1142.9332325192995</v>
      </c>
      <c r="AF72" s="9">
        <f>Table1[[#This Row],[NG Aligned to Electricity Billing Period (MMBTU)]]-Table1[EG1 MMBtu]</f>
        <v>1636.4380174807006</v>
      </c>
      <c r="AG72" s="9">
        <f>Table1[[#This Row],[Grid Elec Source (MMBTU)]]+Table1[[#This Row],[Generated Elec Source (MMBtu)]]</f>
        <v>8925.7582386799731</v>
      </c>
      <c r="AH72" s="9">
        <f>Table1[[#This Row],[Total Elec Source MMBTU]]+Table1[[#This Row],[Grid NG Non-EG01 Source MMBTU]]</f>
        <v>10562.196256160674</v>
      </c>
      <c r="AI72" s="9">
        <f>Table1[Total Energy Source MMBTU]+Table1[LS85 Grid Elec Source (MMBTU)]</f>
        <v>11669.777549360675</v>
      </c>
      <c r="AJ72" s="8"/>
      <c r="AK72" s="8"/>
      <c r="AL72" s="8"/>
    </row>
    <row r="73" spans="1:38" x14ac:dyDescent="0.3">
      <c r="A73" s="9" t="s">
        <v>107</v>
      </c>
      <c r="B73" s="9">
        <v>783000</v>
      </c>
      <c r="C73" s="9">
        <f>Table1[Grid Elec kWh]*0.003412142*3</f>
        <v>8015.1215580000007</v>
      </c>
      <c r="D73" s="9">
        <f>Table1[Grid Elec kWh]*0.003412142</f>
        <v>2671.7071860000001</v>
      </c>
      <c r="E73" s="9">
        <v>3220.74</v>
      </c>
      <c r="F73" s="9">
        <v>2846.9633333333331</v>
      </c>
      <c r="G73" s="9">
        <f t="shared" si="6"/>
        <v>10862.084891333334</v>
      </c>
      <c r="H73" s="9">
        <v>91200</v>
      </c>
      <c r="I73" s="9">
        <f t="shared" si="4"/>
        <v>933.56205120000004</v>
      </c>
      <c r="J73" s="9">
        <f t="shared" si="5"/>
        <v>311.18735040000001</v>
      </c>
      <c r="K73" s="9">
        <v>16.687999999999999</v>
      </c>
      <c r="L73" s="9">
        <f>Table1[Flow (MGD)]-MIN(Table1[Flow (MGD)])</f>
        <v>4.6849999999999987</v>
      </c>
      <c r="M73" s="9">
        <v>203.87100000000001</v>
      </c>
      <c r="N73" s="9">
        <f>Table1[BOD (mg/L)]-MIN(Table1[BOD (mg/L)])</f>
        <v>148.72433333333333</v>
      </c>
      <c r="O73" s="9">
        <v>0.14000000000000001</v>
      </c>
      <c r="P73" s="9">
        <v>4.34</v>
      </c>
      <c r="Q73" s="9">
        <v>30</v>
      </c>
      <c r="R73" s="9">
        <f>Table1[Billing Days]-MIN(Table1[Billing Days])</f>
        <v>2</v>
      </c>
      <c r="S73" s="9">
        <v>2020</v>
      </c>
      <c r="T73" s="9">
        <v>2021</v>
      </c>
      <c r="U73" s="9">
        <v>67817.119999999995</v>
      </c>
      <c r="V73" s="9">
        <v>18016.95</v>
      </c>
      <c r="W73" s="9">
        <v>10451.82</v>
      </c>
      <c r="X73" s="9">
        <f t="shared" si="7"/>
        <v>96285.889999999985</v>
      </c>
      <c r="Y73" s="9">
        <v>130</v>
      </c>
      <c r="Z73" s="9">
        <v>45</v>
      </c>
      <c r="AA73" s="9">
        <v>180038</v>
      </c>
      <c r="AB73" s="9">
        <f>((Table1[EG1 kWh Prod]*0.6979)*0.003412142)+((Table1[EG1 kWh Prod]*0.3021)*0.003412142*2.5)</f>
        <v>892.69216397159732</v>
      </c>
      <c r="AC73" s="9">
        <f>AA73+B73</f>
        <v>963038</v>
      </c>
      <c r="AD73" s="9">
        <f>Table1[Total kWh]*0.003412142*3</f>
        <v>9858.0672221879995</v>
      </c>
      <c r="AE73" s="9">
        <v>328.96580105755794</v>
      </c>
      <c r="AF73" s="9">
        <f>Table1[[#This Row],[NG Aligned to Electricity Billing Period (MMBTU)]]-Table1[EG1 MMBtu]</f>
        <v>2517.997532275775</v>
      </c>
      <c r="AG73" s="9">
        <f>Table1[[#This Row],[Grid Elec Source (MMBTU)]]+Table1[[#This Row],[Generated Elec Source (MMBtu)]]</f>
        <v>8907.8137219715973</v>
      </c>
      <c r="AH73" s="9">
        <f>Table1[[#This Row],[Total Elec Source MMBTU]]+Table1[[#This Row],[Grid NG Non-EG01 Source MMBTU]]</f>
        <v>11425.811254247372</v>
      </c>
      <c r="AI73" s="9">
        <f>Table1[Total Energy Source MMBTU]+Table1[LS85 Grid Elec Source (MMBTU)]</f>
        <v>12359.373305447372</v>
      </c>
      <c r="AJ73" s="8"/>
      <c r="AK73" s="8"/>
      <c r="AL73" s="8"/>
    </row>
    <row r="74" spans="1:38" x14ac:dyDescent="0.3">
      <c r="A74" s="9" t="s">
        <v>108</v>
      </c>
      <c r="B74" s="9">
        <v>450000</v>
      </c>
      <c r="C74" s="9">
        <f>Table1[Grid Elec kWh]*0.003412142*3</f>
        <v>4606.3917000000001</v>
      </c>
      <c r="D74" s="9">
        <f>Table1[Grid Elec kWh]*0.003412142</f>
        <v>1535.4639</v>
      </c>
      <c r="E74" s="9">
        <v>2638.01</v>
      </c>
      <c r="F74" s="9">
        <v>2867.57</v>
      </c>
      <c r="G74" s="9">
        <f t="shared" si="6"/>
        <v>7473.9616999999998</v>
      </c>
      <c r="H74" s="9">
        <v>98000</v>
      </c>
      <c r="I74" s="9">
        <f t="shared" si="4"/>
        <v>1003.1697479999999</v>
      </c>
      <c r="J74" s="9">
        <f t="shared" si="5"/>
        <v>334.38991599999997</v>
      </c>
      <c r="K74" s="9">
        <v>14.816000000000001</v>
      </c>
      <c r="L74" s="9">
        <f>Table1[Flow (MGD)]-MIN(Table1[Flow (MGD)])</f>
        <v>2.8130000000000006</v>
      </c>
      <c r="M74" s="9">
        <v>224.12</v>
      </c>
      <c r="N74" s="9">
        <f>Table1[BOD (mg/L)]-MIN(Table1[BOD (mg/L)])</f>
        <v>168.97333333333333</v>
      </c>
      <c r="O74" s="9">
        <v>5.4399999999999997E-2</v>
      </c>
      <c r="P74" s="9">
        <v>1.85</v>
      </c>
      <c r="Q74" s="9">
        <v>33</v>
      </c>
      <c r="R74" s="9">
        <f>Table1[Billing Days]-MIN(Table1[Billing Days])</f>
        <v>5</v>
      </c>
      <c r="S74" s="9">
        <v>2021</v>
      </c>
      <c r="T74" s="9">
        <v>2021</v>
      </c>
      <c r="U74" s="9">
        <v>44688.31</v>
      </c>
      <c r="V74" s="9">
        <v>15779.91</v>
      </c>
      <c r="W74" s="9">
        <v>8145.52</v>
      </c>
      <c r="X74" s="9">
        <f t="shared" si="7"/>
        <v>68613.740000000005</v>
      </c>
      <c r="Y74" s="9">
        <v>115</v>
      </c>
      <c r="Z74" s="9">
        <v>58</v>
      </c>
      <c r="AA74" s="9">
        <v>610765</v>
      </c>
      <c r="AB74" s="9">
        <f>((Table1[EG1 kWh Prod]*0.6979)*0.003412142)+((Table1[EG1 kWh Prod]*0.3021)*0.003412142*2.5)</f>
        <v>3028.3891707756848</v>
      </c>
      <c r="AC74" s="9">
        <f>AA74+B74</f>
        <v>1060765</v>
      </c>
      <c r="AD74" s="9">
        <f>Table1[Total kWh]*0.003412142*3</f>
        <v>10858.44242589</v>
      </c>
      <c r="AE74" s="9">
        <v>1293.1324918049147</v>
      </c>
      <c r="AF74" s="9">
        <f>Table1[[#This Row],[NG Aligned to Electricity Billing Period (MMBTU)]]-Table1[EG1 MMBtu]</f>
        <v>1574.4375081950855</v>
      </c>
      <c r="AG74" s="9">
        <f>Table1[[#This Row],[Grid Elec Source (MMBTU)]]+Table1[[#This Row],[Generated Elec Source (MMBtu)]]</f>
        <v>7634.7808707756849</v>
      </c>
      <c r="AH74" s="9">
        <f>Table1[[#This Row],[Total Elec Source MMBTU]]+Table1[[#This Row],[Grid NG Non-EG01 Source MMBTU]]</f>
        <v>9209.2183789707706</v>
      </c>
      <c r="AI74" s="9">
        <f>Table1[Total Energy Source MMBTU]+Table1[LS85 Grid Elec Source (MMBTU)]</f>
        <v>10212.388126970771</v>
      </c>
      <c r="AJ74" s="8"/>
      <c r="AK74" s="8"/>
      <c r="AL74" s="8"/>
    </row>
    <row r="75" spans="1:38" x14ac:dyDescent="0.3">
      <c r="A75" s="9" t="s">
        <v>109</v>
      </c>
      <c r="B75" s="9">
        <v>478800</v>
      </c>
      <c r="C75" s="9">
        <f>Table1[Grid Elec kWh]*0.003412142*3</f>
        <v>4901.2007687999994</v>
      </c>
      <c r="D75" s="9">
        <f>Table1[Grid Elec kWh]*0.003412142</f>
        <v>1633.7335896</v>
      </c>
      <c r="E75" s="9">
        <v>2595.7800000000002</v>
      </c>
      <c r="F75" s="9">
        <v>2608.4490000000001</v>
      </c>
      <c r="G75" s="9">
        <f t="shared" si="6"/>
        <v>7509.6497687999999</v>
      </c>
      <c r="H75" s="9">
        <v>84000</v>
      </c>
      <c r="I75" s="9">
        <f t="shared" si="4"/>
        <v>859.85978399999999</v>
      </c>
      <c r="J75" s="9">
        <f t="shared" si="5"/>
        <v>286.61992800000002</v>
      </c>
      <c r="K75" s="9">
        <v>15.461</v>
      </c>
      <c r="L75" s="9">
        <f>Table1[Flow (MGD)]-MIN(Table1[Flow (MGD)])</f>
        <v>3.4580000000000002</v>
      </c>
      <c r="M75" s="9">
        <v>201.32</v>
      </c>
      <c r="N75" s="9">
        <f>Table1[BOD (mg/L)]-MIN(Table1[BOD (mg/L)])</f>
        <v>146.17333333333332</v>
      </c>
      <c r="O75" s="9">
        <v>0.13739999999999999</v>
      </c>
      <c r="P75" s="9">
        <v>4.26</v>
      </c>
      <c r="Q75" s="9">
        <v>30</v>
      </c>
      <c r="R75" s="9">
        <f>Table1[Billing Days]-MIN(Table1[Billing Days])</f>
        <v>2</v>
      </c>
      <c r="S75" s="9">
        <v>2021</v>
      </c>
      <c r="T75" s="9">
        <v>2021</v>
      </c>
      <c r="U75" s="9">
        <v>46886.64</v>
      </c>
      <c r="V75" s="9">
        <v>15924.12</v>
      </c>
      <c r="W75" s="9">
        <v>7446.19</v>
      </c>
      <c r="X75" s="9">
        <f t="shared" si="7"/>
        <v>70256.95</v>
      </c>
      <c r="Y75" s="9">
        <v>47</v>
      </c>
      <c r="Z75" s="9">
        <v>145</v>
      </c>
      <c r="AA75" s="9">
        <v>475191</v>
      </c>
      <c r="AB75" s="9">
        <f>((Table1[EG1 kWh Prod]*0.6979)*0.003412142)+((Table1[EG1 kWh Prod]*0.3021)*0.003412142*2.5)</f>
        <v>2356.1652656096339</v>
      </c>
      <c r="AC75" s="9">
        <f>AA75+B75</f>
        <v>953991</v>
      </c>
      <c r="AD75" s="9">
        <f>Table1[Total kWh]*0.003412142*3</f>
        <v>9765.4582761659985</v>
      </c>
      <c r="AE75" s="9">
        <v>702.64199693901867</v>
      </c>
      <c r="AF75" s="9">
        <f>Table1[[#This Row],[NG Aligned to Electricity Billing Period (MMBTU)]]-Table1[EG1 MMBtu]</f>
        <v>1905.8070030609815</v>
      </c>
      <c r="AG75" s="9">
        <f>Table1[[#This Row],[Grid Elec Source (MMBTU)]]+Table1[[#This Row],[Generated Elec Source (MMBtu)]]</f>
        <v>7257.3660344096334</v>
      </c>
      <c r="AH75" s="9">
        <f>Table1[[#This Row],[Total Elec Source MMBTU]]+Table1[[#This Row],[Grid NG Non-EG01 Source MMBTU]]</f>
        <v>9163.1730374706149</v>
      </c>
      <c r="AI75" s="9">
        <f>Table1[Total Energy Source MMBTU]+Table1[LS85 Grid Elec Source (MMBTU)]</f>
        <v>10023.032821470615</v>
      </c>
      <c r="AJ75" s="8"/>
      <c r="AK75" s="8"/>
      <c r="AL75" s="8"/>
    </row>
    <row r="76" spans="1:38" x14ac:dyDescent="0.3">
      <c r="A76" s="9" t="s">
        <v>110</v>
      </c>
      <c r="B76" s="9">
        <v>288600</v>
      </c>
      <c r="C76" s="9">
        <f>Table1[Grid Elec kWh]*0.003412142*3</f>
        <v>2954.2325436000001</v>
      </c>
      <c r="D76" s="9">
        <f>Table1[Grid Elec kWh]*0.003412142</f>
        <v>984.74418119999996</v>
      </c>
      <c r="E76" s="9">
        <v>3744.68</v>
      </c>
      <c r="F76" s="9">
        <v>3427.7420689655173</v>
      </c>
      <c r="G76" s="9">
        <f t="shared" si="6"/>
        <v>6381.9746125655174</v>
      </c>
      <c r="H76" s="9">
        <v>82200</v>
      </c>
      <c r="I76" s="9">
        <f t="shared" si="4"/>
        <v>841.43421719999992</v>
      </c>
      <c r="J76" s="9">
        <f t="shared" si="5"/>
        <v>280.47807239999997</v>
      </c>
      <c r="K76" s="9">
        <v>13.914</v>
      </c>
      <c r="L76" s="9">
        <f>Table1[Flow (MGD)]-MIN(Table1[Flow (MGD)])</f>
        <v>1.9109999999999996</v>
      </c>
      <c r="M76" s="9">
        <v>265.67</v>
      </c>
      <c r="N76" s="9">
        <f>Table1[BOD (mg/L)]-MIN(Table1[BOD (mg/L)])</f>
        <v>210.52333333333334</v>
      </c>
      <c r="O76" s="9">
        <v>4.8669999999999998E-2</v>
      </c>
      <c r="P76" s="9">
        <v>1.46</v>
      </c>
      <c r="Q76" s="9">
        <v>29</v>
      </c>
      <c r="R76" s="9">
        <f>Table1[Billing Days]-MIN(Table1[Billing Days])</f>
        <v>1</v>
      </c>
      <c r="S76" s="9">
        <v>2021</v>
      </c>
      <c r="T76" s="9">
        <v>2021</v>
      </c>
      <c r="U76" s="9">
        <v>33636.639999999999</v>
      </c>
      <c r="V76" s="9">
        <v>21454.06</v>
      </c>
      <c r="W76" s="9">
        <v>10838.8</v>
      </c>
      <c r="X76" s="9">
        <f t="shared" si="7"/>
        <v>65929.5</v>
      </c>
      <c r="Y76" s="9">
        <v>9</v>
      </c>
      <c r="Z76" s="9">
        <v>220</v>
      </c>
      <c r="AA76" s="9">
        <v>662625</v>
      </c>
      <c r="AB76" s="9">
        <f>((Table1[EG1 kWh Prod]*0.6979)*0.003412142)+((Table1[EG1 kWh Prod]*0.3021)*0.003412142*2.5)</f>
        <v>3285.5294168546625</v>
      </c>
      <c r="AC76" s="9">
        <f>AA76+B76</f>
        <v>951225</v>
      </c>
      <c r="AD76" s="9">
        <f>Table1[Total kWh]*0.003412142*3</f>
        <v>9737.1443218500008</v>
      </c>
      <c r="AE76" s="9">
        <v>1521.2940633318374</v>
      </c>
      <c r="AF76" s="9">
        <f>Table1[[#This Row],[NG Aligned to Electricity Billing Period (MMBTU)]]-Table1[EG1 MMBtu]</f>
        <v>1906.4480056336799</v>
      </c>
      <c r="AG76" s="9">
        <f>Table1[[#This Row],[Grid Elec Source (MMBTU)]]+Table1[[#This Row],[Generated Elec Source (MMBtu)]]</f>
        <v>6239.7619604546626</v>
      </c>
      <c r="AH76" s="9">
        <f>Table1[[#This Row],[Total Elec Source MMBTU]]+Table1[[#This Row],[Grid NG Non-EG01 Source MMBTU]]</f>
        <v>8146.2099660883423</v>
      </c>
      <c r="AI76" s="9">
        <f>Table1[Total Energy Source MMBTU]+Table1[LS85 Grid Elec Source (MMBTU)]</f>
        <v>8987.6441832883429</v>
      </c>
      <c r="AJ76" s="8"/>
      <c r="AK76" s="8"/>
      <c r="AL76" s="8"/>
    </row>
    <row r="77" spans="1:38" x14ac:dyDescent="0.3">
      <c r="A77" s="9" t="s">
        <v>111</v>
      </c>
      <c r="B77" s="9">
        <v>324600</v>
      </c>
      <c r="C77" s="9">
        <f>Table1[Grid Elec kWh]*0.003412142*3</f>
        <v>3322.7438795999997</v>
      </c>
      <c r="D77" s="9">
        <f>Table1[Grid Elec kWh]*0.003412142</f>
        <v>1107.5812931999999</v>
      </c>
      <c r="E77" s="9">
        <v>3598.74</v>
      </c>
      <c r="F77" s="9">
        <v>3648.9068749999997</v>
      </c>
      <c r="G77" s="9">
        <f t="shared" si="6"/>
        <v>6971.6507545999993</v>
      </c>
      <c r="H77" s="9">
        <v>89600</v>
      </c>
      <c r="I77" s="9">
        <f t="shared" si="4"/>
        <v>917.18376960000001</v>
      </c>
      <c r="J77" s="9">
        <f t="shared" si="5"/>
        <v>305.72792320000002</v>
      </c>
      <c r="K77" s="9">
        <v>13.702</v>
      </c>
      <c r="L77" s="9">
        <f>Table1[Flow (MGD)]-MIN(Table1[Flow (MGD)])</f>
        <v>1.6989999999999998</v>
      </c>
      <c r="M77" s="9">
        <v>269.39</v>
      </c>
      <c r="N77" s="9">
        <f>Table1[BOD (mg/L)]-MIN(Table1[BOD (mg/L)])</f>
        <v>214.24333333333331</v>
      </c>
      <c r="O77" s="9">
        <v>0.10878</v>
      </c>
      <c r="P77" s="9">
        <v>3.59</v>
      </c>
      <c r="Q77" s="9">
        <v>32</v>
      </c>
      <c r="R77" s="9">
        <f>Table1[Billing Days]-MIN(Table1[Billing Days])</f>
        <v>4</v>
      </c>
      <c r="S77" s="9">
        <v>2021</v>
      </c>
      <c r="T77" s="9">
        <v>2021</v>
      </c>
      <c r="U77" s="9">
        <v>36331.32</v>
      </c>
      <c r="V77" s="9">
        <v>22009.23</v>
      </c>
      <c r="W77" s="9">
        <v>8976.08</v>
      </c>
      <c r="X77" s="9">
        <f t="shared" si="7"/>
        <v>67316.63</v>
      </c>
      <c r="Y77" s="9">
        <v>4</v>
      </c>
      <c r="Z77" s="9">
        <v>301</v>
      </c>
      <c r="AA77" s="9">
        <v>731367</v>
      </c>
      <c r="AB77" s="9">
        <f>((Table1[EG1 kWh Prod]*0.6979)*0.003412142)+((Table1[EG1 kWh Prod]*0.3021)*0.003412142*2.5)</f>
        <v>3626.3765976483587</v>
      </c>
      <c r="AC77" s="9">
        <f>AA77+B77</f>
        <v>1055967</v>
      </c>
      <c r="AD77" s="9">
        <f>Table1[Total kWh]*0.003412142*3</f>
        <v>10809.328053941999</v>
      </c>
      <c r="AE77" s="9">
        <v>1518.3416587580105</v>
      </c>
      <c r="AF77" s="9">
        <f>Table1[[#This Row],[NG Aligned to Electricity Billing Period (MMBTU)]]-Table1[EG1 MMBtu]</f>
        <v>2130.5652162419892</v>
      </c>
      <c r="AG77" s="9">
        <f>Table1[[#This Row],[Grid Elec Source (MMBTU)]]+Table1[[#This Row],[Generated Elec Source (MMBtu)]]</f>
        <v>6949.1204772483579</v>
      </c>
      <c r="AH77" s="9">
        <f>Table1[[#This Row],[Total Elec Source MMBTU]]+Table1[[#This Row],[Grid NG Non-EG01 Source MMBTU]]</f>
        <v>9079.6856934903481</v>
      </c>
      <c r="AI77" s="9">
        <f>Table1[Total Energy Source MMBTU]+Table1[LS85 Grid Elec Source (MMBTU)]</f>
        <v>9996.8694630903483</v>
      </c>
      <c r="AJ77" s="8"/>
      <c r="AK77" s="8"/>
      <c r="AL77" s="8"/>
    </row>
    <row r="78" spans="1:38" x14ac:dyDescent="0.3">
      <c r="A78" s="9" t="s">
        <v>112</v>
      </c>
      <c r="B78" s="9">
        <v>217200</v>
      </c>
      <c r="C78" s="9">
        <f>Table1[Grid Elec kWh]*0.003412142*3</f>
        <v>2223.3517271999999</v>
      </c>
      <c r="D78" s="9">
        <f>Table1[Grid Elec kWh]*0.003412142</f>
        <v>741.11724240000001</v>
      </c>
      <c r="E78" s="9">
        <v>4508.3999999999996</v>
      </c>
      <c r="F78" s="9">
        <v>4265.8239999999996</v>
      </c>
      <c r="G78" s="9">
        <f t="shared" si="6"/>
        <v>6489.1757271999995</v>
      </c>
      <c r="H78" s="9">
        <v>75200</v>
      </c>
      <c r="I78" s="9">
        <f t="shared" si="4"/>
        <v>769.77923520000013</v>
      </c>
      <c r="J78" s="9">
        <f t="shared" si="5"/>
        <v>256.59307840000002</v>
      </c>
      <c r="K78" s="9">
        <v>12.003</v>
      </c>
      <c r="L78" s="9">
        <f>Table1[Flow (MGD)]-MIN(Table1[Flow (MGD)])</f>
        <v>0</v>
      </c>
      <c r="M78" s="9">
        <v>276.77</v>
      </c>
      <c r="N78" s="9">
        <f>Table1[BOD (mg/L)]-MIN(Table1[BOD (mg/L)])</f>
        <v>221.62333333333331</v>
      </c>
      <c r="O78" s="9">
        <v>0</v>
      </c>
      <c r="P78" s="9">
        <v>0</v>
      </c>
      <c r="Q78" s="9">
        <v>30</v>
      </c>
      <c r="R78" s="9">
        <f>Table1[Billing Days]-MIN(Table1[Billing Days])</f>
        <v>2</v>
      </c>
      <c r="S78" s="9">
        <v>2021</v>
      </c>
      <c r="T78" s="9">
        <v>2021</v>
      </c>
      <c r="U78" s="9">
        <v>25702.2</v>
      </c>
      <c r="V78" s="9">
        <v>27433.69</v>
      </c>
      <c r="W78" s="9">
        <v>7604.51</v>
      </c>
      <c r="X78" s="9">
        <f t="shared" si="7"/>
        <v>60740.4</v>
      </c>
      <c r="Y78" s="9">
        <v>0</v>
      </c>
      <c r="Z78" s="9">
        <v>506</v>
      </c>
      <c r="AA78" s="9">
        <v>822346</v>
      </c>
      <c r="AB78" s="9">
        <f>((Table1[EG1 kWh Prod]*0.6979)*0.003412142)+((Table1[EG1 kWh Prod]*0.3021)*0.003412142*2.5)</f>
        <v>4077.4826996155653</v>
      </c>
      <c r="AC78" s="9">
        <f>AA78+B78</f>
        <v>1039546</v>
      </c>
      <c r="AD78" s="9">
        <f>Table1[Total kWh]*0.003412142*3</f>
        <v>10641.235702595999</v>
      </c>
      <c r="AE78" s="9">
        <v>2763.1704149237366</v>
      </c>
      <c r="AF78" s="9">
        <f>Table1[[#This Row],[NG Aligned to Electricity Billing Period (MMBTU)]]-Table1[EG1 MMBtu]</f>
        <v>1502.653585076263</v>
      </c>
      <c r="AG78" s="9">
        <f>Table1[[#This Row],[Grid Elec Source (MMBTU)]]+Table1[[#This Row],[Generated Elec Source (MMBtu)]]</f>
        <v>6300.8344268155652</v>
      </c>
      <c r="AH78" s="9">
        <f>Table1[[#This Row],[Total Elec Source MMBTU]]+Table1[[#This Row],[Grid NG Non-EG01 Source MMBTU]]</f>
        <v>7803.4880118918281</v>
      </c>
      <c r="AI78" s="9">
        <f>Table1[Total Energy Source MMBTU]+Table1[LS85 Grid Elec Source (MMBTU)]</f>
        <v>8573.2672470918278</v>
      </c>
      <c r="AJ78" s="8"/>
      <c r="AK78" s="8"/>
      <c r="AL78" s="8"/>
    </row>
    <row r="79" spans="1:38" x14ac:dyDescent="0.3">
      <c r="A79" s="9" t="s">
        <v>113</v>
      </c>
      <c r="B79" s="9">
        <v>259800</v>
      </c>
      <c r="C79" s="9">
        <f>Table1[Grid Elec kWh]*0.003412142*3</f>
        <v>2659.4234747999999</v>
      </c>
      <c r="D79" s="9">
        <f>Table1[Grid Elec kWh]*0.003412142</f>
        <v>886.47449159999996</v>
      </c>
      <c r="E79" s="9">
        <v>3956.47</v>
      </c>
      <c r="F79" s="9">
        <v>4127.7586206896549</v>
      </c>
      <c r="G79" s="9">
        <f t="shared" si="6"/>
        <v>6787.1820954896548</v>
      </c>
      <c r="H79" s="9">
        <v>91600</v>
      </c>
      <c r="I79" s="9">
        <f t="shared" si="4"/>
        <v>937.65662159999999</v>
      </c>
      <c r="J79" s="9">
        <f t="shared" si="5"/>
        <v>312.5522072</v>
      </c>
      <c r="K79" s="9">
        <v>12.35</v>
      </c>
      <c r="L79" s="9">
        <f>Table1[Flow (MGD)]-MIN(Table1[Flow (MGD)])</f>
        <v>0.34699999999999953</v>
      </c>
      <c r="M79" s="9">
        <v>257.33</v>
      </c>
      <c r="N79" s="9">
        <f>Table1[BOD (mg/L)]-MIN(Table1[BOD (mg/L)])</f>
        <v>202.18333333333331</v>
      </c>
      <c r="O79" s="9">
        <v>0.20967</v>
      </c>
      <c r="P79" s="9">
        <v>6.29</v>
      </c>
      <c r="Q79" s="9">
        <v>29</v>
      </c>
      <c r="R79" s="9">
        <f>Table1[Billing Days]-MIN(Table1[Billing Days])</f>
        <v>1</v>
      </c>
      <c r="S79" s="9">
        <v>2021</v>
      </c>
      <c r="T79" s="9">
        <v>2021</v>
      </c>
      <c r="U79" s="9">
        <v>33492.620000000003</v>
      </c>
      <c r="V79" s="9">
        <v>26953.24</v>
      </c>
      <c r="W79" s="9">
        <v>10870.07</v>
      </c>
      <c r="X79" s="9">
        <f t="shared" si="7"/>
        <v>71315.929999999993</v>
      </c>
      <c r="Y79" s="9">
        <v>0</v>
      </c>
      <c r="Z79" s="9">
        <v>583</v>
      </c>
      <c r="AA79" s="9">
        <v>712823</v>
      </c>
      <c r="AB79" s="9">
        <f>((Table1[EG1 kWh Prod]*0.6979)*0.003412142)+((Table1[EG1 kWh Prod]*0.3021)*0.003412142*2.5)</f>
        <v>3534.4288783408274</v>
      </c>
      <c r="AC79" s="9">
        <f>AA79+B79</f>
        <v>972623</v>
      </c>
      <c r="AD79" s="9">
        <f>Table1[Total kWh]*0.003412142*3</f>
        <v>9956.1833653979993</v>
      </c>
      <c r="AE79" s="9">
        <v>1767.6400834973654</v>
      </c>
      <c r="AF79" s="9">
        <f>Table1[[#This Row],[NG Aligned to Electricity Billing Period (MMBTU)]]-Table1[EG1 MMBtu]</f>
        <v>2360.1185371922893</v>
      </c>
      <c r="AG79" s="9">
        <f>Table1[[#This Row],[Grid Elec Source (MMBTU)]]+Table1[[#This Row],[Generated Elec Source (MMBtu)]]</f>
        <v>6193.8523531408273</v>
      </c>
      <c r="AH79" s="9">
        <f>Table1[[#This Row],[Total Elec Source MMBTU]]+Table1[[#This Row],[Grid NG Non-EG01 Source MMBTU]]</f>
        <v>8553.9708903331157</v>
      </c>
      <c r="AI79" s="9">
        <f>Table1[Total Energy Source MMBTU]+Table1[LS85 Grid Elec Source (MMBTU)]</f>
        <v>9491.6275119331149</v>
      </c>
      <c r="AJ79" s="8"/>
      <c r="AK79" s="8"/>
      <c r="AL79" s="8"/>
    </row>
    <row r="80" spans="1:38" x14ac:dyDescent="0.3">
      <c r="A80" s="9" t="s">
        <v>114</v>
      </c>
      <c r="B80" s="9">
        <v>352800</v>
      </c>
      <c r="C80" s="9">
        <f>Table1[Grid Elec kWh]*0.003412142*3</f>
        <v>3611.4110928</v>
      </c>
      <c r="D80" s="9">
        <f>Table1[Grid Elec kWh]*0.003412142</f>
        <v>1203.8036976000001</v>
      </c>
      <c r="E80" s="9">
        <v>3569.15</v>
      </c>
      <c r="F80" s="9">
        <v>3698.2566666666667</v>
      </c>
      <c r="G80" s="9">
        <f t="shared" si="6"/>
        <v>7309.6677594666671</v>
      </c>
      <c r="H80" s="9">
        <v>91200</v>
      </c>
      <c r="I80" s="9">
        <f t="shared" si="4"/>
        <v>933.56205120000004</v>
      </c>
      <c r="J80" s="9">
        <f t="shared" si="5"/>
        <v>311.18735040000001</v>
      </c>
      <c r="K80" s="9">
        <v>14.826000000000001</v>
      </c>
      <c r="L80" s="9">
        <f>Table1[Flow (MGD)]-MIN(Table1[Flow (MGD)])</f>
        <v>2.8230000000000004</v>
      </c>
      <c r="M80" s="9">
        <v>191.24</v>
      </c>
      <c r="N80" s="9">
        <f>Table1[BOD (mg/L)]-MIN(Table1[BOD (mg/L)])</f>
        <v>136.09333333333333</v>
      </c>
      <c r="O80" s="9">
        <v>0.24618000000000001</v>
      </c>
      <c r="P80" s="9">
        <v>8.3699999999999992</v>
      </c>
      <c r="Q80" s="9">
        <v>33</v>
      </c>
      <c r="R80" s="9">
        <f>Table1[Billing Days]-MIN(Table1[Billing Days])</f>
        <v>5</v>
      </c>
      <c r="S80" s="9">
        <v>2021</v>
      </c>
      <c r="T80" s="9">
        <v>2021</v>
      </c>
      <c r="U80" s="9">
        <v>46963.7</v>
      </c>
      <c r="V80" s="9">
        <v>26021.200000000001</v>
      </c>
      <c r="W80" s="9">
        <v>12441.72</v>
      </c>
      <c r="X80" s="9">
        <f t="shared" si="7"/>
        <v>85426.62</v>
      </c>
      <c r="Y80" s="9">
        <v>0</v>
      </c>
      <c r="Z80" s="9">
        <v>637</v>
      </c>
      <c r="AA80" s="9">
        <v>751319</v>
      </c>
      <c r="AB80" s="9">
        <f>((Table1[EG1 kWh Prod]*0.6979)*0.003412142)+((Table1[EG1 kWh Prod]*0.3021)*0.003412142*2.5)</f>
        <v>3725.3056795952889</v>
      </c>
      <c r="AC80" s="9">
        <f>AA80+B80</f>
        <v>1104119</v>
      </c>
      <c r="AD80" s="9">
        <f>Table1[Total kWh]*0.003412142*3</f>
        <v>11302.232438694</v>
      </c>
      <c r="AE80" s="9">
        <v>2672.4322373423997</v>
      </c>
      <c r="AF80" s="9">
        <f>Table1[[#This Row],[NG Aligned to Electricity Billing Period (MMBTU)]]-Table1[EG1 MMBtu]</f>
        <v>1025.8244293242669</v>
      </c>
      <c r="AG80" s="9">
        <f>Table1[[#This Row],[Grid Elec Source (MMBTU)]]+Table1[[#This Row],[Generated Elec Source (MMBtu)]]</f>
        <v>7336.7167723952889</v>
      </c>
      <c r="AH80" s="9">
        <f>Table1[[#This Row],[Total Elec Source MMBTU]]+Table1[[#This Row],[Grid NG Non-EG01 Source MMBTU]]</f>
        <v>8362.5412017195558</v>
      </c>
      <c r="AI80" s="9">
        <f>Table1[Total Energy Source MMBTU]+Table1[LS85 Grid Elec Source (MMBTU)]</f>
        <v>9296.1032529195563</v>
      </c>
      <c r="AJ80" s="8"/>
      <c r="AK80" s="8"/>
      <c r="AL80" s="8"/>
    </row>
    <row r="81" spans="1:38" x14ac:dyDescent="0.3">
      <c r="A81" s="9" t="s">
        <v>115</v>
      </c>
      <c r="B81" s="9">
        <v>284400</v>
      </c>
      <c r="C81" s="9">
        <f>Table1[Grid Elec kWh]*0.003412142*3</f>
        <v>2911.2395544000001</v>
      </c>
      <c r="D81" s="9">
        <f>Table1[Grid Elec kWh]*0.003412142</f>
        <v>970.41318479999995</v>
      </c>
      <c r="E81" s="9">
        <v>3723.34</v>
      </c>
      <c r="F81" s="9">
        <v>3686.1217241379309</v>
      </c>
      <c r="G81" s="9">
        <f t="shared" si="6"/>
        <v>6597.361278537931</v>
      </c>
      <c r="H81" s="9">
        <v>91000</v>
      </c>
      <c r="I81" s="9">
        <f t="shared" si="4"/>
        <v>931.51476600000001</v>
      </c>
      <c r="J81" s="9">
        <f t="shared" si="5"/>
        <v>310.50492200000002</v>
      </c>
      <c r="K81" s="9">
        <v>17.190000000000001</v>
      </c>
      <c r="L81" s="9">
        <f>Table1[Flow (MGD)]-MIN(Table1[Flow (MGD)])</f>
        <v>5.1870000000000012</v>
      </c>
      <c r="M81" s="9">
        <v>152.69</v>
      </c>
      <c r="N81" s="9">
        <f>Table1[BOD (mg/L)]-MIN(Table1[BOD (mg/L)])</f>
        <v>97.543333333333322</v>
      </c>
      <c r="O81" s="9">
        <v>0.35866999999999999</v>
      </c>
      <c r="P81" s="9">
        <v>10.76</v>
      </c>
      <c r="Q81" s="9">
        <v>29</v>
      </c>
      <c r="R81" s="9">
        <f>Table1[Billing Days]-MIN(Table1[Billing Days])</f>
        <v>1</v>
      </c>
      <c r="S81" s="9">
        <v>2021</v>
      </c>
      <c r="T81" s="9">
        <v>2021</v>
      </c>
      <c r="U81" s="9">
        <v>36317.65</v>
      </c>
      <c r="V81" s="9">
        <v>28419.84</v>
      </c>
      <c r="W81" s="9">
        <v>9054.66</v>
      </c>
      <c r="X81" s="9">
        <f t="shared" si="7"/>
        <v>73792.150000000009</v>
      </c>
      <c r="Y81" s="9">
        <v>0</v>
      </c>
      <c r="Z81" s="9">
        <v>641</v>
      </c>
      <c r="AA81" s="9">
        <v>718024</v>
      </c>
      <c r="AB81" s="9">
        <f>((Table1[EG1 kWh Prod]*0.6979)*0.003412142)+((Table1[EG1 kWh Prod]*0.3021)*0.003412142*2.5)</f>
        <v>3560.217278260935</v>
      </c>
      <c r="AC81" s="9">
        <f>AA81+B81</f>
        <v>1002424</v>
      </c>
      <c r="AD81" s="9">
        <f>Table1[Total kWh]*0.003412142*3</f>
        <v>10261.239096624</v>
      </c>
      <c r="AE81" s="9">
        <v>2652.7373347810112</v>
      </c>
      <c r="AF81" s="9">
        <f>Table1[[#This Row],[NG Aligned to Electricity Billing Period (MMBTU)]]-Table1[EG1 MMBtu]</f>
        <v>1033.3843893569197</v>
      </c>
      <c r="AG81" s="9">
        <f>Table1[[#This Row],[Grid Elec Source (MMBTU)]]+Table1[[#This Row],[Generated Elec Source (MMBtu)]]</f>
        <v>6471.4568326609351</v>
      </c>
      <c r="AH81" s="9">
        <f>Table1[[#This Row],[Total Elec Source MMBTU]]+Table1[[#This Row],[Grid NG Non-EG01 Source MMBTU]]</f>
        <v>7504.8412220178543</v>
      </c>
      <c r="AI81" s="9">
        <f>Table1[Total Energy Source MMBTU]+Table1[LS85 Grid Elec Source (MMBTU)]</f>
        <v>8436.3559880178545</v>
      </c>
      <c r="AJ81" s="8"/>
      <c r="AK81" s="8"/>
      <c r="AL81" s="8"/>
    </row>
    <row r="82" spans="1:38" x14ac:dyDescent="0.3">
      <c r="A82" s="9" t="s">
        <v>116</v>
      </c>
      <c r="B82" s="9">
        <v>1048200</v>
      </c>
      <c r="C82" s="9">
        <f>Table1[Grid Elec kWh]*0.003412142*3</f>
        <v>10729.8217332</v>
      </c>
      <c r="D82" s="9">
        <f>Table1[Grid Elec kWh]*0.003412142</f>
        <v>3576.6072444000001</v>
      </c>
      <c r="E82" s="9">
        <v>2080.79</v>
      </c>
      <c r="F82" s="9">
        <v>2528.7581818181816</v>
      </c>
      <c r="G82" s="9">
        <f t="shared" si="6"/>
        <v>13258.579915018181</v>
      </c>
      <c r="H82" s="9">
        <v>109200</v>
      </c>
      <c r="I82" s="9">
        <f t="shared" si="4"/>
        <v>1117.8177191999998</v>
      </c>
      <c r="J82" s="9">
        <f t="shared" si="5"/>
        <v>372.60590639999998</v>
      </c>
      <c r="K82" s="9">
        <v>17.963000000000001</v>
      </c>
      <c r="L82" s="9">
        <f>Table1[Flow (MGD)]-MIN(Table1[Flow (MGD)])</f>
        <v>5.9600000000000009</v>
      </c>
      <c r="M82" s="9">
        <v>142.56</v>
      </c>
      <c r="N82" s="9">
        <f>Table1[BOD (mg/L)]-MIN(Table1[BOD (mg/L)])</f>
        <v>87.413333333333327</v>
      </c>
      <c r="O82" s="9">
        <v>0.15765000000000001</v>
      </c>
      <c r="P82" s="9">
        <v>5.36</v>
      </c>
      <c r="Q82" s="9">
        <v>33</v>
      </c>
      <c r="R82" s="9">
        <f>Table1[Billing Days]-MIN(Table1[Billing Days])</f>
        <v>5</v>
      </c>
      <c r="S82" s="9">
        <v>2021</v>
      </c>
      <c r="T82" s="9">
        <v>2021</v>
      </c>
      <c r="U82" s="9">
        <v>91170.77</v>
      </c>
      <c r="V82" s="9">
        <v>19546.88</v>
      </c>
      <c r="W82" s="9">
        <v>10768.62</v>
      </c>
      <c r="X82" s="9">
        <f t="shared" si="7"/>
        <v>121486.27</v>
      </c>
      <c r="Y82" s="9">
        <v>0</v>
      </c>
      <c r="Z82" s="9">
        <v>549</v>
      </c>
      <c r="AA82" s="9">
        <v>109030</v>
      </c>
      <c r="AB82" s="9">
        <f>((Table1[EG1 kWh Prod]*0.6979)*0.003412142)+((Table1[EG1 kWh Prod]*0.3021)*0.003412142*2.5)</f>
        <v>540.60935268011895</v>
      </c>
      <c r="AC82" s="9">
        <f>AA82+B82</f>
        <v>1157230</v>
      </c>
      <c r="AD82" s="9">
        <f>Table1[Total kWh]*0.003412142*3</f>
        <v>11845.89925998</v>
      </c>
      <c r="AE82" s="9">
        <v>83.054769284545003</v>
      </c>
      <c r="AF82" s="9">
        <f>Table1[[#This Row],[NG Aligned to Electricity Billing Period (MMBTU)]]-Table1[EG1 MMBtu]</f>
        <v>2445.7034125336368</v>
      </c>
      <c r="AG82" s="9">
        <f>Table1[[#This Row],[Grid Elec Source (MMBTU)]]+Table1[[#This Row],[Generated Elec Source (MMBtu)]]</f>
        <v>11270.43108588012</v>
      </c>
      <c r="AH82" s="9">
        <f>Table1[[#This Row],[Total Elec Source MMBTU]]+Table1[[#This Row],[Grid NG Non-EG01 Source MMBTU]]</f>
        <v>13716.134498413758</v>
      </c>
      <c r="AI82" s="9">
        <f>Table1[Total Energy Source MMBTU]+Table1[LS85 Grid Elec Source (MMBTU)]</f>
        <v>14833.952217613758</v>
      </c>
      <c r="AJ82" s="8"/>
      <c r="AK82" s="8"/>
      <c r="AL82" s="8"/>
    </row>
    <row r="83" spans="1:38" x14ac:dyDescent="0.3">
      <c r="A83" s="10" t="s">
        <v>117</v>
      </c>
      <c r="B83" s="10">
        <v>398369.4</v>
      </c>
      <c r="C83" s="10">
        <f>Table1[Grid Elec kWh]*0.003412142*3</f>
        <v>4077.8788837644001</v>
      </c>
      <c r="D83" s="10">
        <f>Table1[Grid Elec kWh]*0.003412142</f>
        <v>1359.2929612548</v>
      </c>
      <c r="E83" s="10">
        <v>2246.62</v>
      </c>
      <c r="F83" s="10">
        <v>2207.9263333333333</v>
      </c>
      <c r="G83" s="10">
        <f t="shared" ref="G83:G91" si="8">C83+F83</f>
        <v>6285.8052170977335</v>
      </c>
      <c r="H83" s="10">
        <v>85200</v>
      </c>
      <c r="I83" s="10">
        <f t="shared" ref="I83:I91" si="9">H83*0.003412142*3</f>
        <v>872.14349519999996</v>
      </c>
      <c r="J83" s="10">
        <f t="shared" ref="J83:J91" si="10">H83*0.003412142</f>
        <v>290.71449839999997</v>
      </c>
      <c r="K83" s="10">
        <v>13.64645161</v>
      </c>
      <c r="L83" s="10">
        <f>Table1[Flow (MGD)]-MIN(Table1[Flow (MGD)])</f>
        <v>1.6434516099999996</v>
      </c>
      <c r="M83" s="10">
        <v>183.54838710000001</v>
      </c>
      <c r="N83" s="10">
        <f>Table1[BOD (mg/L)]-MIN(Table1[BOD (mg/L)])</f>
        <v>128.40172043333334</v>
      </c>
      <c r="O83" s="10">
        <v>3.8387097000000002E-2</v>
      </c>
      <c r="P83" s="10">
        <v>1.19</v>
      </c>
      <c r="Q83" s="10">
        <v>31</v>
      </c>
      <c r="R83" s="10">
        <f>Table1[Billing Days]-MIN(Table1[Billing Days])</f>
        <v>3</v>
      </c>
      <c r="S83" s="10">
        <v>2021</v>
      </c>
      <c r="T83" s="10">
        <v>2022</v>
      </c>
      <c r="U83" s="10">
        <v>42042.82</v>
      </c>
      <c r="V83" s="10">
        <v>22026.55</v>
      </c>
      <c r="W83" s="10">
        <v>10768.62</v>
      </c>
      <c r="X83" s="10">
        <f t="shared" ref="X83:X91" si="11">U83+V83+W83</f>
        <v>74837.989999999991</v>
      </c>
      <c r="Y83" s="10">
        <v>0</v>
      </c>
      <c r="Z83" s="10">
        <v>489</v>
      </c>
      <c r="AA83" s="10">
        <v>612638</v>
      </c>
      <c r="AB83" s="10">
        <f>((Table1[EG1 kWh Prod]*0.6979)*0.003412142)+((Table1[EG1 kWh Prod]*0.3021)*0.003412142*2.5)</f>
        <v>3037.6761680935779</v>
      </c>
      <c r="AC83" s="10">
        <f>AA83+B83</f>
        <v>1011007.4</v>
      </c>
      <c r="AD83" s="10">
        <f>Table1[Total kWh]*0.003412142*3</f>
        <v>10349.1024355524</v>
      </c>
      <c r="AE83" s="10">
        <v>1282.4652163406458</v>
      </c>
      <c r="AF83" s="10">
        <f>Table1[[#This Row],[NG Aligned to Electricity Billing Period (MMBTU)]]-Table1[EG1 MMBtu]</f>
        <v>925.46111699268749</v>
      </c>
      <c r="AG83" s="10">
        <f>Table1[[#This Row],[Grid Elec Source (MMBTU)]]+Table1[[#This Row],[Generated Elec Source (MMBtu)]]</f>
        <v>7115.5550518579785</v>
      </c>
      <c r="AH83" s="10">
        <f>Table1[[#This Row],[Total Elec Source MMBTU]]+Table1[[#This Row],[Grid NG Non-EG01 Source MMBTU]]</f>
        <v>8041.016168850666</v>
      </c>
      <c r="AI83" s="10">
        <f>Table1[Total Energy Source MMBTU]+Table1[LS85 Grid Elec Source (MMBTU)]</f>
        <v>8913.159664050665</v>
      </c>
    </row>
    <row r="84" spans="1:38" x14ac:dyDescent="0.3">
      <c r="A84" s="10" t="s">
        <v>118</v>
      </c>
      <c r="B84" s="10">
        <v>509872.2</v>
      </c>
      <c r="C84" s="10">
        <f>Table1[Grid Elec kWh]*0.003412142*3</f>
        <v>5219.2690447571995</v>
      </c>
      <c r="D84" s="10">
        <f>Table1[Grid Elec kWh]*0.003412142</f>
        <v>1739.7563482523999</v>
      </c>
      <c r="E84" s="10">
        <v>3895</v>
      </c>
      <c r="F84" s="10">
        <v>3688.2662068965515</v>
      </c>
      <c r="G84" s="10">
        <f t="shared" si="8"/>
        <v>8907.5352516537514</v>
      </c>
      <c r="H84" s="10">
        <v>95066.599999999991</v>
      </c>
      <c r="I84" s="10">
        <f t="shared" si="9"/>
        <v>973.14221597159985</v>
      </c>
      <c r="J84" s="10">
        <f t="shared" si="10"/>
        <v>324.38073865719997</v>
      </c>
      <c r="K84" s="10">
        <v>15.11163333</v>
      </c>
      <c r="L84" s="10">
        <f>Table1[Flow (MGD)]-MIN(Table1[Flow (MGD)])</f>
        <v>3.10863333</v>
      </c>
      <c r="M84" s="10">
        <v>216</v>
      </c>
      <c r="N84" s="10">
        <f>Table1[BOD (mg/L)]-MIN(Table1[BOD (mg/L)])</f>
        <v>160.85333333333332</v>
      </c>
      <c r="O84" s="10">
        <v>0.105</v>
      </c>
      <c r="P84" s="10">
        <v>3.15</v>
      </c>
      <c r="Q84" s="10">
        <v>30</v>
      </c>
      <c r="R84" s="10">
        <f>Table1[Billing Days]-MIN(Table1[Billing Days])</f>
        <v>2</v>
      </c>
      <c r="S84" s="10">
        <v>2021</v>
      </c>
      <c r="T84" s="10">
        <v>2022</v>
      </c>
      <c r="U84" s="10">
        <v>53810.52</v>
      </c>
      <c r="V84" s="10">
        <v>34129.5</v>
      </c>
      <c r="W84" s="10">
        <v>10768.62</v>
      </c>
      <c r="X84" s="10">
        <f t="shared" si="11"/>
        <v>98708.639999999985</v>
      </c>
      <c r="Y84" s="10">
        <v>27</v>
      </c>
      <c r="Z84" s="10">
        <v>129</v>
      </c>
      <c r="AA84" s="10">
        <v>435487</v>
      </c>
      <c r="AB84" s="10">
        <f>((Table1[EG1 kWh Prod]*0.6979)*0.003412142)+((Table1[EG1 kWh Prod]*0.3021)*0.003412142*2.5)</f>
        <v>2159.2987725452349</v>
      </c>
      <c r="AC84" s="10">
        <f>AA84+B84</f>
        <v>945359.2</v>
      </c>
      <c r="AD84" s="10">
        <f>Table1[Total kWh]*0.003412142*3</f>
        <v>9677.0994942191992</v>
      </c>
      <c r="AE84" s="10">
        <v>1268.6242487427276</v>
      </c>
      <c r="AF84" s="10">
        <f>Table1[[#This Row],[NG Aligned to Electricity Billing Period (MMBTU)]]-Table1[EG1 MMBtu]</f>
        <v>2419.6419581538239</v>
      </c>
      <c r="AG84" s="10">
        <f>Table1[[#This Row],[Grid Elec Source (MMBTU)]]+Table1[[#This Row],[Generated Elec Source (MMBtu)]]</f>
        <v>7378.5678173024344</v>
      </c>
      <c r="AH84" s="10">
        <f>Table1[[#This Row],[Total Elec Source MMBTU]]+Table1[[#This Row],[Grid NG Non-EG01 Source MMBTU]]</f>
        <v>9798.2097754562583</v>
      </c>
      <c r="AI84" s="10">
        <f>Table1[Total Energy Source MMBTU]+Table1[LS85 Grid Elec Source (MMBTU)]</f>
        <v>10771.351991427859</v>
      </c>
    </row>
    <row r="85" spans="1:38" x14ac:dyDescent="0.3">
      <c r="A85" s="10" t="s">
        <v>119</v>
      </c>
      <c r="B85" s="10">
        <v>762726.6</v>
      </c>
      <c r="C85" s="10">
        <f>Table1[Grid Elec kWh]*0.003412142*3</f>
        <v>7807.5943991315999</v>
      </c>
      <c r="D85" s="10">
        <f>Table1[Grid Elec kWh]*0.003412142</f>
        <v>2602.5314663772001</v>
      </c>
      <c r="E85" s="10">
        <v>3924.57</v>
      </c>
      <c r="F85" s="10">
        <v>4037.2239393939399</v>
      </c>
      <c r="G85" s="10">
        <f t="shared" si="8"/>
        <v>11844.81833852554</v>
      </c>
      <c r="H85" s="10">
        <v>79973.2</v>
      </c>
      <c r="I85" s="10">
        <f t="shared" si="9"/>
        <v>818.63974378319995</v>
      </c>
      <c r="J85" s="10">
        <f t="shared" si="10"/>
        <v>272.87991459439996</v>
      </c>
      <c r="K85" s="10">
        <v>13.54582353</v>
      </c>
      <c r="L85" s="10">
        <f>Table1[Flow (MGD)]-MIN(Table1[Flow (MGD)])</f>
        <v>1.5428235299999997</v>
      </c>
      <c r="M85" s="10">
        <v>256.47058820000001</v>
      </c>
      <c r="N85" s="10">
        <f>Table1[BOD (mg/L)]-MIN(Table1[BOD (mg/L)])</f>
        <v>201.32392153333333</v>
      </c>
      <c r="O85" s="10">
        <v>2.1764706000000002E-2</v>
      </c>
      <c r="P85" s="10">
        <v>0.74</v>
      </c>
      <c r="Q85" s="10">
        <v>34</v>
      </c>
      <c r="R85" s="10">
        <f>Table1[Billing Days]-MIN(Table1[Billing Days])</f>
        <v>6</v>
      </c>
      <c r="S85" s="10">
        <v>2021</v>
      </c>
      <c r="T85" s="10">
        <v>2022</v>
      </c>
      <c r="U85" s="10">
        <v>81529.78</v>
      </c>
      <c r="V85" s="10">
        <v>27839.53</v>
      </c>
      <c r="W85" s="10">
        <v>10768.62</v>
      </c>
      <c r="X85" s="10">
        <f t="shared" si="11"/>
        <v>120137.93</v>
      </c>
      <c r="Y85" s="10">
        <v>10</v>
      </c>
      <c r="Z85" s="10">
        <v>208</v>
      </c>
      <c r="AA85" s="10">
        <v>231643</v>
      </c>
      <c r="AB85" s="10">
        <f>((Table1[EG1 kWh Prod]*0.6979)*0.003412142)+((Table1[EG1 kWh Prod]*0.3021)*0.003412142*2.5)</f>
        <v>1148.5680297430138</v>
      </c>
      <c r="AC85" s="10">
        <f>AA85+B85</f>
        <v>994369.6</v>
      </c>
      <c r="AD85" s="10">
        <f>Table1[Total kWh]*0.003412142*3</f>
        <v>10178.790827049599</v>
      </c>
      <c r="AE85" s="10">
        <v>1959.5962479719003</v>
      </c>
      <c r="AF85" s="10">
        <f>Table1[[#This Row],[NG Aligned to Electricity Billing Period (MMBTU)]]-Table1[EG1 MMBtu]</f>
        <v>2077.6276914220398</v>
      </c>
      <c r="AG85" s="10">
        <f>Table1[[#This Row],[Grid Elec Source (MMBTU)]]+Table1[[#This Row],[Generated Elec Source (MMBtu)]]</f>
        <v>8956.1624288746134</v>
      </c>
      <c r="AH85" s="10">
        <f>Table1[[#This Row],[Total Elec Source MMBTU]]+Table1[[#This Row],[Grid NG Non-EG01 Source MMBTU]]</f>
        <v>11033.790120296653</v>
      </c>
      <c r="AI85" s="10">
        <f>Table1[Total Energy Source MMBTU]+Table1[LS85 Grid Elec Source (MMBTU)]</f>
        <v>11852.429864079853</v>
      </c>
    </row>
    <row r="86" spans="1:38" x14ac:dyDescent="0.3">
      <c r="A86" s="10" t="s">
        <v>120</v>
      </c>
      <c r="B86" s="10">
        <v>742992</v>
      </c>
      <c r="C86" s="10">
        <f>Table1[Grid Elec kWh]*0.003412142*3</f>
        <v>7605.5826265919995</v>
      </c>
      <c r="D86" s="10">
        <f>Table1[Grid Elec kWh]*0.003412142</f>
        <v>2535.1942088639998</v>
      </c>
      <c r="E86" s="10">
        <v>2488.3000000000002</v>
      </c>
      <c r="F86" s="10">
        <v>2899.6303703703702</v>
      </c>
      <c r="G86" s="10">
        <f t="shared" si="8"/>
        <v>10505.212996962369</v>
      </c>
      <c r="H86" s="10">
        <v>81862.2</v>
      </c>
      <c r="I86" s="10">
        <f t="shared" si="9"/>
        <v>837.97635249719997</v>
      </c>
      <c r="J86" s="10">
        <f t="shared" si="10"/>
        <v>279.32545083240001</v>
      </c>
      <c r="K86" s="10">
        <v>13.277357139999999</v>
      </c>
      <c r="L86" s="10">
        <f>Table1[Flow (MGD)]-MIN(Table1[Flow (MGD)])</f>
        <v>1.2743571399999993</v>
      </c>
      <c r="M86" s="10">
        <v>263.57142859999999</v>
      </c>
      <c r="N86" s="10">
        <f>Table1[BOD (mg/L)]-MIN(Table1[BOD (mg/L)])</f>
        <v>208.42476193333331</v>
      </c>
      <c r="O86" s="10">
        <v>4.0714286000000002E-2</v>
      </c>
      <c r="P86" s="10">
        <v>1.1399999999999999</v>
      </c>
      <c r="Q86" s="10">
        <v>28</v>
      </c>
      <c r="R86" s="10">
        <f>Table1[Billing Days]-MIN(Table1[Billing Days])</f>
        <v>0</v>
      </c>
      <c r="S86" s="10">
        <v>2022</v>
      </c>
      <c r="T86" s="10">
        <v>2022</v>
      </c>
      <c r="U86" s="10">
        <v>79420.3</v>
      </c>
      <c r="V86" s="10">
        <v>24753.55</v>
      </c>
      <c r="W86" s="10">
        <v>10768.62</v>
      </c>
      <c r="X86" s="10">
        <f t="shared" si="11"/>
        <v>114942.47</v>
      </c>
      <c r="Y86" s="10">
        <v>133</v>
      </c>
      <c r="Z86" s="10">
        <v>65</v>
      </c>
      <c r="AA86" s="10">
        <v>0</v>
      </c>
      <c r="AB86" s="10">
        <f>((Table1[EG1 kWh Prod]*0.6979)*0.003412142)+((Table1[EG1 kWh Prod]*0.3021)*0.003412142*2.5)</f>
        <v>0</v>
      </c>
      <c r="AC86" s="10">
        <f>AA86+B86</f>
        <v>742992</v>
      </c>
      <c r="AD86" s="10">
        <f>Table1[Total kWh]*0.003412142*3</f>
        <v>7605.5826265919995</v>
      </c>
      <c r="AE86" s="10">
        <v>0</v>
      </c>
      <c r="AF86" s="10">
        <f>Table1[[#This Row],[NG Aligned to Electricity Billing Period (MMBTU)]]-Table1[EG1 MMBtu]</f>
        <v>2899.6303703703702</v>
      </c>
      <c r="AG86" s="10">
        <f>Table1[[#This Row],[Grid Elec Source (MMBTU)]]+Table1[[#This Row],[Generated Elec Source (MMBtu)]]</f>
        <v>7605.5826265919995</v>
      </c>
      <c r="AH86" s="10">
        <f>Table1[[#This Row],[Total Elec Source MMBTU]]+Table1[[#This Row],[Grid NG Non-EG01 Source MMBTU]]</f>
        <v>10505.212996962369</v>
      </c>
      <c r="AI86" s="10">
        <f>Table1[Total Energy Source MMBTU]+Table1[LS85 Grid Elec Source (MMBTU)]</f>
        <v>11343.18934945957</v>
      </c>
    </row>
    <row r="87" spans="1:38" x14ac:dyDescent="0.3">
      <c r="A87" s="10" t="s">
        <v>121</v>
      </c>
      <c r="B87" s="10">
        <v>722741.4</v>
      </c>
      <c r="C87" s="10">
        <f>Table1[Grid Elec kWh]*0.003412142*3</f>
        <v>7398.2888582363994</v>
      </c>
      <c r="D87" s="10">
        <f>Table1[Grid Elec kWh]*0.003412142</f>
        <v>2466.0962860787999</v>
      </c>
      <c r="E87" s="10">
        <v>3630.33</v>
      </c>
      <c r="F87" s="10">
        <v>3474.477142857143</v>
      </c>
      <c r="G87" s="10">
        <f t="shared" si="8"/>
        <v>10872.766001093543</v>
      </c>
      <c r="H87" s="10">
        <v>74365.548999999999</v>
      </c>
      <c r="I87" s="10">
        <f t="shared" si="9"/>
        <v>761.23743928787394</v>
      </c>
      <c r="J87" s="10">
        <f t="shared" si="10"/>
        <v>253.745813095958</v>
      </c>
      <c r="K87" s="10">
        <v>13.49762069</v>
      </c>
      <c r="L87" s="10">
        <f>Table1[Flow (MGD)]-MIN(Table1[Flow (MGD)])</f>
        <v>1.4946206899999996</v>
      </c>
      <c r="M87" s="10">
        <v>301.37931029999999</v>
      </c>
      <c r="N87" s="10">
        <f>Table1[BOD (mg/L)]-MIN(Table1[BOD (mg/L)])</f>
        <v>246.23264363333331</v>
      </c>
      <c r="O87" s="10">
        <v>2.9310345000000002E-2</v>
      </c>
      <c r="P87" s="10">
        <v>0.85</v>
      </c>
      <c r="Q87" s="10">
        <v>29</v>
      </c>
      <c r="R87" s="10">
        <f>Table1[Billing Days]-MIN(Table1[Billing Days])</f>
        <v>1</v>
      </c>
      <c r="S87" s="10">
        <v>2022</v>
      </c>
      <c r="T87" s="10">
        <v>2022</v>
      </c>
      <c r="U87" s="10">
        <v>82084.929999999993</v>
      </c>
      <c r="V87" s="10">
        <v>28763.759999999998</v>
      </c>
      <c r="W87" s="10">
        <v>10768.62</v>
      </c>
      <c r="X87" s="10">
        <f t="shared" si="11"/>
        <v>121617.30999999998</v>
      </c>
      <c r="Y87" s="10">
        <v>52</v>
      </c>
      <c r="Z87" s="10">
        <v>130</v>
      </c>
      <c r="AA87" s="10">
        <v>85872</v>
      </c>
      <c r="AB87" s="10">
        <f>((Table1[EG1 kWh Prod]*0.6979)*0.003412142)+((Table1[EG1 kWh Prod]*0.3021)*0.003412142*2.5)</f>
        <v>425.78378733694558</v>
      </c>
      <c r="AC87" s="10">
        <f>AA87+B87</f>
        <v>808613.4</v>
      </c>
      <c r="AD87" s="10">
        <f>Table1[Total kWh]*0.003412142*3</f>
        <v>8277.3112317083996</v>
      </c>
      <c r="AE87" s="10">
        <v>690.47207436225585</v>
      </c>
      <c r="AF87" s="10">
        <f>Table1[[#This Row],[NG Aligned to Electricity Billing Period (MMBTU)]]-Table1[EG1 MMBtu]</f>
        <v>2784.0050684948874</v>
      </c>
      <c r="AG87" s="10">
        <f>Table1[[#This Row],[Grid Elec Source (MMBTU)]]+Table1[[#This Row],[Generated Elec Source (MMBtu)]]</f>
        <v>7824.0726455733447</v>
      </c>
      <c r="AH87" s="10">
        <f>Table1[[#This Row],[Total Elec Source MMBTU]]+Table1[[#This Row],[Grid NG Non-EG01 Source MMBTU]]</f>
        <v>10608.077714068233</v>
      </c>
      <c r="AI87" s="10">
        <f>Table1[Total Energy Source MMBTU]+Table1[LS85 Grid Elec Source (MMBTU)]</f>
        <v>11369.315153356107</v>
      </c>
    </row>
    <row r="88" spans="1:38" x14ac:dyDescent="0.3">
      <c r="A88" s="10" t="s">
        <v>122</v>
      </c>
      <c r="B88" s="10">
        <v>410592</v>
      </c>
      <c r="C88" s="10">
        <f>Table1[Grid Elec kWh]*0.003412142*3</f>
        <v>4202.9946241919997</v>
      </c>
      <c r="D88" s="10">
        <f>Table1[Grid Elec kWh]*0.003412142</f>
        <v>1400.998208064</v>
      </c>
      <c r="E88" s="10">
        <v>4984.72</v>
      </c>
      <c r="F88" s="10">
        <v>4839.6874193548392</v>
      </c>
      <c r="G88" s="10">
        <f t="shared" si="8"/>
        <v>9042.6820435468399</v>
      </c>
      <c r="H88" s="10">
        <v>77177</v>
      </c>
      <c r="I88" s="10">
        <f t="shared" si="9"/>
        <v>790.01664940199998</v>
      </c>
      <c r="J88" s="10">
        <f t="shared" si="10"/>
        <v>263.33888313400001</v>
      </c>
      <c r="K88" s="10">
        <v>13.608874999999999</v>
      </c>
      <c r="L88" s="10">
        <f>Table1[Flow (MGD)]-MIN(Table1[Flow (MGD)])</f>
        <v>1.6058749999999993</v>
      </c>
      <c r="M88" s="10">
        <v>283.75</v>
      </c>
      <c r="N88" s="10">
        <f>Table1[BOD (mg/L)]-MIN(Table1[BOD (mg/L)])</f>
        <v>228.60333333333332</v>
      </c>
      <c r="O88" s="10">
        <v>0.113125</v>
      </c>
      <c r="P88" s="10">
        <v>3.62</v>
      </c>
      <c r="Q88" s="10">
        <v>32</v>
      </c>
      <c r="R88" s="10">
        <f>Table1[Billing Days]-MIN(Table1[Billing Days])</f>
        <v>4</v>
      </c>
      <c r="S88" s="10">
        <v>2022</v>
      </c>
      <c r="T88" s="10">
        <v>2022</v>
      </c>
      <c r="U88" s="10">
        <v>52580.55</v>
      </c>
      <c r="V88" s="10">
        <v>42365.25</v>
      </c>
      <c r="W88" s="10">
        <v>10768.62</v>
      </c>
      <c r="X88" s="10">
        <f t="shared" si="11"/>
        <v>105714.42</v>
      </c>
      <c r="Y88" s="10">
        <v>9</v>
      </c>
      <c r="Z88" s="10">
        <v>269</v>
      </c>
      <c r="AA88" s="10">
        <v>516708</v>
      </c>
      <c r="AB88" s="10">
        <f>((Table1[EG1 kWh Prod]*0.6979)*0.003412142)+((Table1[EG1 kWh Prod]*0.3021)*0.003412142*2.5)</f>
        <v>2562.0212547430883</v>
      </c>
      <c r="AC88" s="10">
        <f>AA88+B88</f>
        <v>927300</v>
      </c>
      <c r="AD88" s="10">
        <f>Table1[Total kWh]*0.003412142*3</f>
        <v>9492.2378298000003</v>
      </c>
      <c r="AE88" s="10">
        <v>4271.504658795594</v>
      </c>
      <c r="AF88" s="10">
        <f>Table1[[#This Row],[NG Aligned to Electricity Billing Period (MMBTU)]]-Table1[EG1 MMBtu]</f>
        <v>568.18276055924525</v>
      </c>
      <c r="AG88" s="10">
        <f>Table1[[#This Row],[Grid Elec Source (MMBTU)]]+Table1[[#This Row],[Generated Elec Source (MMBtu)]]</f>
        <v>6765.015878935088</v>
      </c>
      <c r="AH88" s="10">
        <f>Table1[[#This Row],[Total Elec Source MMBTU]]+Table1[[#This Row],[Grid NG Non-EG01 Source MMBTU]]</f>
        <v>7333.1986394943333</v>
      </c>
      <c r="AI88" s="10">
        <f>Table1[Total Energy Source MMBTU]+Table1[LS85 Grid Elec Source (MMBTU)]</f>
        <v>8123.2152888963337</v>
      </c>
    </row>
    <row r="89" spans="1:38" x14ac:dyDescent="0.3">
      <c r="A89" s="10" t="s">
        <v>123</v>
      </c>
      <c r="B89" s="10">
        <v>832960.2</v>
      </c>
      <c r="C89" s="10">
        <f>Table1[Grid Elec kWh]*0.003412142*3</f>
        <v>8526.5354482451985</v>
      </c>
      <c r="D89" s="10">
        <f>Table1[Grid Elec kWh]*0.003412142</f>
        <v>2842.1784827483998</v>
      </c>
      <c r="E89" s="10">
        <v>2324.08</v>
      </c>
      <c r="F89" s="10">
        <v>2977.22</v>
      </c>
      <c r="G89" s="10">
        <f t="shared" si="8"/>
        <v>11503.755448245198</v>
      </c>
      <c r="H89" s="10">
        <v>80404.600000000006</v>
      </c>
      <c r="I89" s="10">
        <f t="shared" si="9"/>
        <v>823.05573795960004</v>
      </c>
      <c r="J89" s="10">
        <f t="shared" si="10"/>
        <v>274.35191265320003</v>
      </c>
      <c r="K89" s="10">
        <v>13.819896549999999</v>
      </c>
      <c r="L89" s="10">
        <f>Table1[Flow (MGD)]-MIN(Table1[Flow (MGD)])</f>
        <v>1.8168965499999992</v>
      </c>
      <c r="M89" s="10">
        <v>245.51724139999999</v>
      </c>
      <c r="N89" s="10">
        <f>Table1[BOD (mg/L)]-MIN(Table1[BOD (mg/L)])</f>
        <v>190.37057473333331</v>
      </c>
      <c r="O89" s="10">
        <v>8.6551723999999997E-2</v>
      </c>
      <c r="P89" s="10">
        <v>2.5099999999999998</v>
      </c>
      <c r="Q89" s="10">
        <v>29</v>
      </c>
      <c r="R89" s="10">
        <f>Table1[Billing Days]-MIN(Table1[Billing Days])</f>
        <v>1</v>
      </c>
      <c r="S89" s="10">
        <v>2022</v>
      </c>
      <c r="T89" s="10">
        <v>2022</v>
      </c>
      <c r="U89" s="10">
        <v>73173.94</v>
      </c>
      <c r="V89" s="10">
        <v>25112.32</v>
      </c>
      <c r="W89" s="10">
        <v>10768.62</v>
      </c>
      <c r="X89" s="10">
        <f t="shared" si="11"/>
        <v>109054.88</v>
      </c>
      <c r="Y89" s="10">
        <v>0</v>
      </c>
      <c r="Z89" s="10">
        <v>359</v>
      </c>
      <c r="AA89" s="10">
        <v>938</v>
      </c>
      <c r="AB89" s="10">
        <f>((Table1[EG1 kWh Prod]*0.6979)*0.003412142)+((Table1[EG1 kWh Prod]*0.3021)*0.003412142*2.5)</f>
        <v>4.6509361901673998</v>
      </c>
      <c r="AC89" s="10">
        <f>AA89+B89</f>
        <v>833898.2</v>
      </c>
      <c r="AD89" s="10">
        <f>Table1[Total kWh]*0.003412142*3</f>
        <v>8536.1372158331978</v>
      </c>
      <c r="AE89" s="10">
        <v>8.0014729899999999</v>
      </c>
      <c r="AF89" s="10">
        <f>Table1[[#This Row],[NG Aligned to Electricity Billing Period (MMBTU)]]-Table1[EG1 MMBtu]</f>
        <v>2969.2185270099999</v>
      </c>
      <c r="AG89" s="10">
        <f>Table1[[#This Row],[Grid Elec Source (MMBTU)]]+Table1[[#This Row],[Generated Elec Source (MMBtu)]]</f>
        <v>8531.1863844353666</v>
      </c>
      <c r="AH89" s="10">
        <f>Table1[[#This Row],[Total Elec Source MMBTU]]+Table1[[#This Row],[Grid NG Non-EG01 Source MMBTU]]</f>
        <v>11500.404911445366</v>
      </c>
      <c r="AI89" s="10">
        <f>Table1[Total Energy Source MMBTU]+Table1[LS85 Grid Elec Source (MMBTU)]</f>
        <v>12323.460649404966</v>
      </c>
    </row>
    <row r="90" spans="1:38" x14ac:dyDescent="0.3">
      <c r="A90" s="10" t="s">
        <v>124</v>
      </c>
      <c r="B90" s="10">
        <v>873555.6</v>
      </c>
      <c r="C90" s="10">
        <f>Table1[Grid Elec kWh]*0.003412142*3</f>
        <v>8942.0872562856002</v>
      </c>
      <c r="D90" s="10">
        <f>Table1[Grid Elec kWh]*0.003412142</f>
        <v>2980.6957520952001</v>
      </c>
      <c r="E90" s="10">
        <v>1869</v>
      </c>
      <c r="F90" s="10">
        <v>2074.6800000000003</v>
      </c>
      <c r="G90" s="10">
        <f t="shared" si="8"/>
        <v>11016.767256285601</v>
      </c>
      <c r="H90" s="10">
        <v>75365.2</v>
      </c>
      <c r="I90" s="10">
        <f t="shared" si="9"/>
        <v>771.47029277519982</v>
      </c>
      <c r="J90" s="10">
        <f t="shared" si="10"/>
        <v>257.15676425839996</v>
      </c>
      <c r="K90" s="10">
        <v>13.245799999999999</v>
      </c>
      <c r="L90" s="10">
        <f>Table1[Flow (MGD)]-MIN(Table1[Flow (MGD)])</f>
        <v>1.242799999999999</v>
      </c>
      <c r="M90" s="10">
        <v>250.33330000000001</v>
      </c>
      <c r="N90" s="10">
        <f>Table1[BOD (mg/L)]-MIN(Table1[BOD (mg/L)])</f>
        <v>195.18663333333333</v>
      </c>
      <c r="O90" s="10">
        <v>0.14433333300000001</v>
      </c>
      <c r="P90" s="10">
        <v>4.33</v>
      </c>
      <c r="Q90" s="10">
        <v>30</v>
      </c>
      <c r="R90" s="10">
        <f>Table1[Billing Days]-MIN(Table1[Billing Days])</f>
        <v>2</v>
      </c>
      <c r="S90" s="10">
        <v>2022</v>
      </c>
      <c r="T90" s="10">
        <v>2022</v>
      </c>
      <c r="U90" s="10">
        <v>87064.15</v>
      </c>
      <c r="V90" s="10">
        <v>23874.32</v>
      </c>
      <c r="W90" s="10">
        <v>10768.62</v>
      </c>
      <c r="X90" s="10">
        <f t="shared" si="11"/>
        <v>121707.09</v>
      </c>
      <c r="Y90" s="10">
        <v>0</v>
      </c>
      <c r="Z90" s="10">
        <v>502</v>
      </c>
      <c r="AA90" s="10">
        <v>0</v>
      </c>
      <c r="AB90" s="10">
        <f>((Table1[EG1 kWh Prod]*0.6979)*0.003412142)+((Table1[EG1 kWh Prod]*0.3021)*0.003412142*2.5)</f>
        <v>0</v>
      </c>
      <c r="AC90" s="10">
        <f>AA90+B90</f>
        <v>873555.6</v>
      </c>
      <c r="AD90" s="10">
        <f>Table1[Total kWh]*0.003412142*3</f>
        <v>8942.0872562856002</v>
      </c>
      <c r="AE90" s="10">
        <v>0</v>
      </c>
      <c r="AF90" s="10">
        <f>Table1[[#This Row],[NG Aligned to Electricity Billing Period (MMBTU)]]-Table1[EG1 MMBtu]</f>
        <v>2074.6800000000003</v>
      </c>
      <c r="AG90" s="10">
        <f>Table1[[#This Row],[Grid Elec Source (MMBTU)]]+Table1[[#This Row],[Generated Elec Source (MMBtu)]]</f>
        <v>8942.0872562856002</v>
      </c>
      <c r="AH90" s="10">
        <f>Table1[[#This Row],[Total Elec Source MMBTU]]+Table1[[#This Row],[Grid NG Non-EG01 Source MMBTU]]</f>
        <v>11016.767256285601</v>
      </c>
      <c r="AI90" s="10">
        <f>Table1[Total Energy Source MMBTU]+Table1[LS85 Grid Elec Source (MMBTU)]</f>
        <v>11788.237549060801</v>
      </c>
    </row>
    <row r="91" spans="1:38" x14ac:dyDescent="0.3">
      <c r="A91" s="10" t="s">
        <v>125</v>
      </c>
      <c r="B91" s="10">
        <v>659667.6</v>
      </c>
      <c r="C91" s="10">
        <f>Table1[Grid Elec kWh]*0.003412142*3</f>
        <v>6752.6385719976006</v>
      </c>
      <c r="D91" s="10">
        <f>Table1[Grid Elec kWh]*0.003412142</f>
        <v>2250.8795239992</v>
      </c>
      <c r="E91" s="10">
        <v>3274.85</v>
      </c>
      <c r="F91" s="10">
        <v>3069.6593749999997</v>
      </c>
      <c r="G91" s="10">
        <f t="shared" si="8"/>
        <v>9822.2979469975999</v>
      </c>
      <c r="H91" s="10">
        <v>91976.2</v>
      </c>
      <c r="I91" s="10">
        <f t="shared" si="9"/>
        <v>941.50756506120001</v>
      </c>
      <c r="J91" s="10">
        <f t="shared" si="10"/>
        <v>313.8358550204</v>
      </c>
      <c r="K91" s="10">
        <v>14.10551515</v>
      </c>
      <c r="L91" s="10">
        <f>Table1[Flow (MGD)]-MIN(Table1[Flow (MGD)])</f>
        <v>2.1025151500000003</v>
      </c>
      <c r="M91" s="10">
        <v>204.54545400000001</v>
      </c>
      <c r="N91" s="10">
        <f>Table1[BOD (mg/L)]-MIN(Table1[BOD (mg/L)])</f>
        <v>149.39878733333333</v>
      </c>
      <c r="O91" s="10">
        <v>0.21030303</v>
      </c>
      <c r="P91" s="10">
        <v>6.94</v>
      </c>
      <c r="Q91" s="10">
        <v>33</v>
      </c>
      <c r="R91" s="10">
        <f>Table1[Billing Days]-MIN(Table1[Billing Days])</f>
        <v>5</v>
      </c>
      <c r="S91" s="10">
        <v>2022</v>
      </c>
      <c r="T91" s="10">
        <v>2022</v>
      </c>
      <c r="U91" s="10">
        <v>69813.960000000006</v>
      </c>
      <c r="V91" s="10">
        <v>34931.949999999997</v>
      </c>
      <c r="W91" s="10">
        <v>10768.62</v>
      </c>
      <c r="X91" s="10">
        <f t="shared" si="11"/>
        <v>115514.53</v>
      </c>
      <c r="Y91" s="10">
        <v>0</v>
      </c>
      <c r="Z91" s="10">
        <v>597</v>
      </c>
      <c r="AA91" s="10">
        <v>329748</v>
      </c>
      <c r="AB91" s="10">
        <f>((Table1[EG1 kWh Prod]*0.6979)*0.003412142)+((Table1[EG1 kWh Prod]*0.3021)*0.003412142*2.5)</f>
        <v>1635.0073633638804</v>
      </c>
      <c r="AC91" s="10">
        <f>AA91+B91</f>
        <v>989415.6</v>
      </c>
      <c r="AD91" s="10">
        <f>Table1[Total kWh]*0.003412142*3</f>
        <v>10128.0795726456</v>
      </c>
      <c r="AE91" s="10">
        <v>1887.1528061122858</v>
      </c>
      <c r="AF91" s="10">
        <f>Table1[[#This Row],[NG Aligned to Electricity Billing Period (MMBTU)]]-Table1[EG1 MMBtu]</f>
        <v>1182.5065688877139</v>
      </c>
      <c r="AG91" s="10">
        <f>Table1[[#This Row],[Grid Elec Source (MMBTU)]]+Table1[[#This Row],[Generated Elec Source (MMBtu)]]</f>
        <v>8387.645935361481</v>
      </c>
      <c r="AH91" s="10">
        <f>Table1[[#This Row],[Total Elec Source MMBTU]]+Table1[[#This Row],[Grid NG Non-EG01 Source MMBTU]]</f>
        <v>9570.1525042491958</v>
      </c>
      <c r="AI91" s="10">
        <f>Table1[Total Energy Source MMBTU]+Table1[LS85 Grid Elec Source (MMBTU)]</f>
        <v>10511.660069310396</v>
      </c>
    </row>
    <row r="92" spans="1:38" x14ac:dyDescent="0.3">
      <c r="A92" s="10" t="s">
        <v>126</v>
      </c>
      <c r="B92" s="10">
        <v>270397.2</v>
      </c>
      <c r="C92" s="10">
        <f>Table1[Grid Elec kWh]*0.003412142*3</f>
        <v>2767.9009284071999</v>
      </c>
      <c r="D92" s="10">
        <f>Table1[Grid Elec kWh]*0.003412142</f>
        <v>922.6336428024</v>
      </c>
      <c r="E92" s="10">
        <v>3818.8</v>
      </c>
      <c r="F92" s="10">
        <v>3838.625</v>
      </c>
      <c r="G92" s="10">
        <f>C92+F92</f>
        <v>6606.5259284071999</v>
      </c>
      <c r="H92" s="10">
        <v>95843.594000000012</v>
      </c>
      <c r="I92" s="10">
        <f>H92*0.003412142*3</f>
        <v>981.09585755504406</v>
      </c>
      <c r="J92" s="10">
        <f>H92*0.003412142</f>
        <v>327.03195251834802</v>
      </c>
      <c r="K92" s="10">
        <v>15.233034480000001</v>
      </c>
      <c r="L92" s="10">
        <f>Table1[Flow (MGD)]-MIN(Table1[Flow (MGD)])</f>
        <v>3.2300344800000005</v>
      </c>
      <c r="M92" s="10">
        <v>208.56551719999999</v>
      </c>
      <c r="N92" s="10">
        <f>Table1[BOD (mg/L)]-MIN(Table1[BOD (mg/L)])</f>
        <v>153.41885053333331</v>
      </c>
      <c r="O92" s="10">
        <v>0.145172414</v>
      </c>
      <c r="P92" s="10">
        <v>4.21</v>
      </c>
      <c r="Q92" s="10">
        <v>29</v>
      </c>
      <c r="R92" s="10">
        <f>Table1[Billing Days]-MIN(Table1[Billing Days])</f>
        <v>1</v>
      </c>
      <c r="S92" s="10">
        <v>2022</v>
      </c>
      <c r="T92" s="10">
        <v>2022</v>
      </c>
      <c r="U92" s="10">
        <v>40193.4</v>
      </c>
      <c r="V92" s="10">
        <v>72910.98</v>
      </c>
      <c r="W92" s="10">
        <v>10768.62</v>
      </c>
      <c r="X92" s="10">
        <f>U92+V92+W92</f>
        <v>123873</v>
      </c>
      <c r="Y92" s="10">
        <v>0</v>
      </c>
      <c r="Z92" s="10">
        <v>649</v>
      </c>
      <c r="AA92" s="10">
        <v>649924</v>
      </c>
      <c r="AB92" s="10">
        <f>((Table1[EG1 kWh Prod]*0.6979)*0.003412142)+((Table1[EG1 kWh Prod]*0.3021)*0.003412142*2.5)</f>
        <v>3222.5533608298051</v>
      </c>
      <c r="AC92" s="10">
        <f>AA92+B92</f>
        <v>920321.2</v>
      </c>
      <c r="AD92" s="10">
        <f>Table1[Total kWh]*0.003412142*3</f>
        <v>9420.7998600312003</v>
      </c>
      <c r="AE92" s="10">
        <v>2082.3573655983114</v>
      </c>
      <c r="AF92" s="10">
        <f>Table1[[#This Row],[NG Aligned to Electricity Billing Period (MMBTU)]]-Table1[EG1 MMBtu]</f>
        <v>1756.2676344016886</v>
      </c>
      <c r="AG92" s="10">
        <f>Table1[[#This Row],[Grid Elec Source (MMBTU)]]+Table1[[#This Row],[Generated Elec Source (MMBtu)]]</f>
        <v>5990.4542892370046</v>
      </c>
      <c r="AH92" s="10">
        <f>Table1[[#This Row],[Total Elec Source MMBTU]]+Table1[[#This Row],[Grid NG Non-EG01 Source MMBTU]]</f>
        <v>7746.7219236386936</v>
      </c>
      <c r="AI92" s="10">
        <f>Table1[Total Energy Source MMBTU]+Table1[LS85 Grid Elec Source (MMBTU)]</f>
        <v>8727.8177811937385</v>
      </c>
    </row>
    <row r="93" spans="1:38" x14ac:dyDescent="0.3">
      <c r="A93" s="10" t="s">
        <v>127</v>
      </c>
      <c r="B93" s="10">
        <v>378121.8</v>
      </c>
      <c r="C93" s="10">
        <f>Table1[Grid Elec kWh]*0.003412142*3</f>
        <v>3870.6158246867999</v>
      </c>
      <c r="D93" s="10">
        <f>Table1[Grid Elec kWh]*0.003412142</f>
        <v>1290.2052748956</v>
      </c>
      <c r="E93" s="10">
        <v>3923.92</v>
      </c>
      <c r="F93" s="10">
        <v>4026.8325</v>
      </c>
      <c r="G93" s="10">
        <f>C93+F93</f>
        <v>7897.4483246868003</v>
      </c>
      <c r="H93" s="10">
        <v>111853.8</v>
      </c>
      <c r="I93" s="10">
        <f>H93*0.003412142*3</f>
        <v>1144.9831465188001</v>
      </c>
      <c r="J93" s="10">
        <f>H93*0.003412142</f>
        <v>381.66104883960003</v>
      </c>
      <c r="K93" s="10">
        <v>16.13575758</v>
      </c>
      <c r="L93" s="10">
        <f>Table1[Flow (MGD)]-MIN(Table1[Flow (MGD)])</f>
        <v>4.1327575799999998</v>
      </c>
      <c r="M93" s="10">
        <v>172.22221999999999</v>
      </c>
      <c r="N93" s="10">
        <f>Table1[BOD (mg/L)]-MIN(Table1[BOD (mg/L)])</f>
        <v>117.07555333333332</v>
      </c>
      <c r="O93" s="10">
        <v>0.16121212100000001</v>
      </c>
      <c r="P93" s="10">
        <v>5.32</v>
      </c>
      <c r="Q93" s="10">
        <v>33</v>
      </c>
      <c r="R93" s="10">
        <f>Table1[Billing Days]-MIN(Table1[Billing Days])</f>
        <v>5</v>
      </c>
      <c r="S93" s="10">
        <v>2022</v>
      </c>
      <c r="T93" s="10">
        <v>2022</v>
      </c>
      <c r="U93" s="10">
        <v>48520.35</v>
      </c>
      <c r="V93" s="10">
        <v>53187.199999999997</v>
      </c>
      <c r="W93" s="10">
        <v>10768.62</v>
      </c>
      <c r="X93" s="10">
        <f>U93+V93+W93</f>
        <v>112476.16999999998</v>
      </c>
      <c r="Y93" s="10">
        <v>0</v>
      </c>
      <c r="Z93" s="10">
        <v>643</v>
      </c>
      <c r="AA93" s="10">
        <v>698863</v>
      </c>
      <c r="AB93" s="10">
        <f>((Table1[EG1 kWh Prod]*0.6979)*0.003412142)+((Table1[EG1 kWh Prod]*0.3021)*0.003412142*2.5)</f>
        <v>3465.2102544445197</v>
      </c>
      <c r="AC93" s="10">
        <f>AA93+B93</f>
        <v>1076984.8</v>
      </c>
      <c r="AD93" s="10">
        <f>Table1[Total kWh]*0.003412142*3</f>
        <v>11024.4752083248</v>
      </c>
      <c r="AE93" s="10">
        <v>2381.0428648541806</v>
      </c>
      <c r="AF93" s="10">
        <f>Table1[[#This Row],[NG Aligned to Electricity Billing Period (MMBTU)]]-Table1[EG1 MMBtu]</f>
        <v>1645.7896351458194</v>
      </c>
      <c r="AG93" s="10">
        <f>Table1[[#This Row],[Grid Elec Source (MMBTU)]]+Table1[[#This Row],[Generated Elec Source (MMBtu)]]</f>
        <v>7335.8260791313196</v>
      </c>
      <c r="AH93" s="10">
        <f>Table1[[#This Row],[Total Elec Source MMBTU]]+Table1[[#This Row],[Grid NG Non-EG01 Source MMBTU]]</f>
        <v>8981.615714277139</v>
      </c>
      <c r="AI93" s="10">
        <f>Table1[Total Energy Source MMBTU]+Table1[LS85 Grid Elec Source (MMBTU)]</f>
        <v>10126.598860795939</v>
      </c>
    </row>
    <row r="94" spans="1:38" x14ac:dyDescent="0.3">
      <c r="A94" s="10" t="s">
        <v>128</v>
      </c>
      <c r="B94" s="10">
        <v>484748.4</v>
      </c>
      <c r="C94" s="10">
        <f>Table1[Grid Elec kWh]*0.003412142*3</f>
        <v>4962.0911252184005</v>
      </c>
      <c r="D94" s="10">
        <f>Table1[Grid Elec kWh]*0.003412142</f>
        <v>1654.0303750728001</v>
      </c>
      <c r="E94" s="10">
        <v>4191.82</v>
      </c>
      <c r="F94" s="10">
        <v>4284.1207139999997</v>
      </c>
      <c r="G94" s="10">
        <f>C94+F94</f>
        <v>9246.2118392184002</v>
      </c>
      <c r="H94" s="10">
        <v>154778.6</v>
      </c>
      <c r="I94" s="10">
        <f>H94*0.003412142*3</f>
        <v>1584.3796852836001</v>
      </c>
      <c r="J94" s="10">
        <f>H94*0.003412142</f>
        <v>528.12656176120004</v>
      </c>
      <c r="K94" s="10">
        <v>24.911827590000001</v>
      </c>
      <c r="L94" s="10">
        <f>Table1[Flow (MGD)]-MIN(Table1[Flow (MGD)])</f>
        <v>12.908827590000001</v>
      </c>
      <c r="M94" s="10">
        <v>117</v>
      </c>
      <c r="N94" s="10">
        <f>Table1[BOD (mg/L)]-MIN(Table1[BOD (mg/L)])</f>
        <v>61.853333333333332</v>
      </c>
      <c r="O94" s="10">
        <v>0.488275862</v>
      </c>
      <c r="P94" s="10">
        <v>14.16</v>
      </c>
      <c r="Q94" s="10">
        <v>28</v>
      </c>
      <c r="R94" s="10">
        <f>Table1[Billing Days]-MIN(Table1[Billing Days])</f>
        <v>0</v>
      </c>
      <c r="S94" s="10">
        <v>2022</v>
      </c>
      <c r="T94" s="10">
        <v>2022</v>
      </c>
      <c r="U94" s="10">
        <v>62193.02</v>
      </c>
      <c r="V94" s="10">
        <v>43664.1</v>
      </c>
      <c r="W94" s="10">
        <v>10768.62</v>
      </c>
      <c r="X94" s="10">
        <f>U94+V94+W94</f>
        <v>116625.73999999999</v>
      </c>
      <c r="Y94" s="10">
        <v>0</v>
      </c>
      <c r="Z94" s="10">
        <v>529</v>
      </c>
      <c r="AA94" s="10">
        <v>536785</v>
      </c>
      <c r="AB94" s="10">
        <f>((Table1[EG1 kWh Prod]*0.6979)*0.003412142)+((Table1[EG1 kWh Prod]*0.3021)*0.003412142*2.5)</f>
        <v>2661.5701309584301</v>
      </c>
      <c r="AC94" s="10">
        <f>AA94+B94</f>
        <v>1021533.4</v>
      </c>
      <c r="AD94" s="10">
        <f>Table1[Total kWh]*0.003412142*3</f>
        <v>10456.8510556284</v>
      </c>
      <c r="AE94" s="10">
        <v>2675.4901894488025</v>
      </c>
      <c r="AF94" s="10">
        <f>Table1[[#This Row],[NG Aligned to Electricity Billing Period (MMBTU)]]-Table1[EG1 MMBtu]</f>
        <v>1608.6305245511971</v>
      </c>
      <c r="AG94" s="10">
        <f>Table1[[#This Row],[Grid Elec Source (MMBTU)]]+Table1[[#This Row],[Generated Elec Source (MMBtu)]]</f>
        <v>7623.6612561768306</v>
      </c>
      <c r="AH94" s="10">
        <f>Table1[[#This Row],[Total Elec Source MMBTU]]+Table1[[#This Row],[Grid NG Non-EG01 Source MMBTU]]</f>
        <v>9232.2917807280282</v>
      </c>
      <c r="AI94" s="10">
        <f>Table1[Total Energy Source MMBTU]+Table1[LS85 Grid Elec Source (MMBTU)]</f>
        <v>10816.671466011629</v>
      </c>
    </row>
    <row r="95" spans="1:38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9"/>
    </row>
    <row r="96" spans="1:38" x14ac:dyDescent="0.3">
      <c r="N96" s="11"/>
      <c r="O96" s="11"/>
    </row>
  </sheetData>
  <pageMargins left="0.7" right="0.7" top="0.75" bottom="0.75" header="0.3" footer="0.3"/>
  <customProperties>
    <customPr name="BaselineYear" r:id="rId1"/>
    <customPr name="BuildingSF" r:id="rId2"/>
    <customPr name="ModelYear" r:id="rId3"/>
    <customPr name="Production" r:id="rId4"/>
    <customPr name="ReportYear" r:id="rId5"/>
    <customPr name="Sources" r:id="rId6"/>
    <customPr name="Variables" r:id="rId7"/>
  </customProperties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665B6-C362-4B25-8D93-3EABFA31A9B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M. Killeen</dc:creator>
  <cp:lastModifiedBy>Peter M. Killeen</cp:lastModifiedBy>
  <dcterms:created xsi:type="dcterms:W3CDTF">2022-02-23T18:19:51Z</dcterms:created>
  <dcterms:modified xsi:type="dcterms:W3CDTF">2023-02-08T20:28:16Z</dcterms:modified>
</cp:coreProperties>
</file>