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UNRISE-verslagen\Bedrijfsplan\"/>
    </mc:Choice>
  </mc:AlternateContent>
  <bookViews>
    <workbookView xWindow="0" yWindow="0" windowWidth="23040" windowHeight="910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I4" i="1"/>
  <c r="I2" i="1"/>
  <c r="E7" i="1"/>
  <c r="I3" i="1" l="1"/>
  <c r="C26" i="1" l="1"/>
  <c r="C37" i="1" l="1"/>
  <c r="I26" i="1" l="1"/>
  <c r="I20" i="1"/>
  <c r="C36" i="1" s="1"/>
  <c r="I27" i="1"/>
  <c r="I6" i="1"/>
  <c r="I21" i="1"/>
  <c r="I22" i="1" s="1"/>
  <c r="E9" i="1"/>
  <c r="E10" i="1"/>
  <c r="E8" i="1"/>
  <c r="E3" i="1"/>
  <c r="E4" i="1"/>
  <c r="E5" i="1"/>
  <c r="E6" i="1"/>
  <c r="E2" i="1"/>
  <c r="I23" i="1" l="1"/>
  <c r="I24" i="1" s="1"/>
  <c r="I25" i="1" s="1"/>
  <c r="C40" i="1" s="1"/>
  <c r="C39" i="1"/>
  <c r="I11" i="1"/>
  <c r="C38" i="1"/>
  <c r="E12" i="1"/>
  <c r="E13" i="1" s="1"/>
  <c r="M22" i="1" l="1"/>
  <c r="M23" i="1" s="1"/>
  <c r="L38" i="1"/>
  <c r="M38" i="1" s="1"/>
  <c r="L39" i="1"/>
  <c r="L40" i="1"/>
  <c r="E16" i="1"/>
  <c r="I8" i="1"/>
  <c r="I12" i="1" s="1"/>
  <c r="C41" i="1" l="1"/>
  <c r="C42" i="1" s="1"/>
  <c r="I33" i="1" s="1"/>
  <c r="M39" i="1"/>
  <c r="M40" i="1" s="1"/>
  <c r="L41" i="1"/>
  <c r="M41" i="1" l="1"/>
  <c r="L42" i="1"/>
  <c r="L44" i="1"/>
  <c r="M42" i="1" l="1"/>
  <c r="L43" i="1"/>
  <c r="M43" i="1" l="1"/>
  <c r="M44" i="1" s="1"/>
  <c r="L45" i="1"/>
  <c r="L48" i="1"/>
  <c r="L46" i="1"/>
  <c r="L47" i="1"/>
  <c r="M45" i="1" l="1"/>
  <c r="M46" i="1" s="1"/>
  <c r="M47" i="1" s="1"/>
  <c r="M48" i="1" s="1"/>
</calcChain>
</file>

<file path=xl/sharedStrings.xml><?xml version="1.0" encoding="utf-8"?>
<sst xmlns="http://schemas.openxmlformats.org/spreadsheetml/2006/main" count="89" uniqueCount="77">
  <si>
    <t>Zonnepanelen</t>
  </si>
  <si>
    <t>Power electronics</t>
  </si>
  <si>
    <t>Micro controller</t>
  </si>
  <si>
    <t>Hotspot</t>
  </si>
  <si>
    <t>Maandelijkse kosten</t>
  </si>
  <si>
    <t>Reclame</t>
  </si>
  <si>
    <t>Onderhoud</t>
  </si>
  <si>
    <t>Internet</t>
  </si>
  <si>
    <t>Aantal</t>
  </si>
  <si>
    <t>Prijs</t>
  </si>
  <si>
    <t>Totaal</t>
  </si>
  <si>
    <t>Batterijen</t>
  </si>
  <si>
    <t>Fundering</t>
  </si>
  <si>
    <t>Reclameschermen</t>
  </si>
  <si>
    <t>Installatiekosten</t>
  </si>
  <si>
    <t>Materiaal</t>
  </si>
  <si>
    <t>Aantal palen</t>
  </si>
  <si>
    <t>Totaal per paal</t>
  </si>
  <si>
    <t>Totaal alle palen</t>
  </si>
  <si>
    <t>Aantal gebruikers</t>
  </si>
  <si>
    <t>Levensduur</t>
  </si>
  <si>
    <t>jaar</t>
  </si>
  <si>
    <t>Aantal bedrijven</t>
  </si>
  <si>
    <t>per maand</t>
  </si>
  <si>
    <t>Stroomopbrengst</t>
  </si>
  <si>
    <t>Opbrengst per paneel</t>
  </si>
  <si>
    <t>euro</t>
  </si>
  <si>
    <t>Volle ladingen per station</t>
  </si>
  <si>
    <t>Station</t>
  </si>
  <si>
    <t>ladingen/dag</t>
  </si>
  <si>
    <t>euro/jaar</t>
  </si>
  <si>
    <t>Stroomopbrengst in euro (zonder gebruikers)</t>
  </si>
  <si>
    <t>Stroomopbrengst in euro (met gebruikers)</t>
  </si>
  <si>
    <t>Afschrijfkosten</t>
  </si>
  <si>
    <t>Kosten vernieuwen na 10 jaar</t>
  </si>
  <si>
    <t>kWh nodig voor alle stations</t>
  </si>
  <si>
    <t>kWh/jaar</t>
  </si>
  <si>
    <t>Prijs per kWh</t>
  </si>
  <si>
    <t>Aantal gebruikers per paal per dag</t>
  </si>
  <si>
    <t>/paal/dag</t>
  </si>
  <si>
    <t>Verkoopkosten</t>
  </si>
  <si>
    <t>Onderhoudskosten</t>
  </si>
  <si>
    <t>Prijs excl. btw</t>
  </si>
  <si>
    <t>Prijs incl. btw</t>
  </si>
  <si>
    <t>Kantoorruimte</t>
  </si>
  <si>
    <t>Schattingen</t>
  </si>
  <si>
    <t>Winstmarge aan bedrijven</t>
  </si>
  <si>
    <t>g/w/e</t>
  </si>
  <si>
    <t>Inkomsten</t>
  </si>
  <si>
    <t>Reclame inkomsten lokaal</t>
  </si>
  <si>
    <t>Reclame inkomsten puntensysteem</t>
  </si>
  <si>
    <t>Reclame inkomsten app</t>
  </si>
  <si>
    <t>Inkomsten stroom zonnepanelen</t>
  </si>
  <si>
    <t>Oplaadpalen aan bedrijven</t>
  </si>
  <si>
    <t>Paal plaats kosten (bedrijven)</t>
  </si>
  <si>
    <t>Reclamebelasting</t>
  </si>
  <si>
    <t>Overige belasting</t>
  </si>
  <si>
    <t>Personeelskosten</t>
  </si>
  <si>
    <t>Werkuren customerservice</t>
  </si>
  <si>
    <t>Werkuren onderhoud</t>
  </si>
  <si>
    <t>uur</t>
  </si>
  <si>
    <t>Jaar</t>
  </si>
  <si>
    <t>Max aantal palen</t>
  </si>
  <si>
    <t>Saturatietijd</t>
  </si>
  <si>
    <t>palen</t>
  </si>
  <si>
    <t>Afgeleide waarden</t>
  </si>
  <si>
    <t>Max aantal gebruikers per paal per dag</t>
  </si>
  <si>
    <t>gebruikers</t>
  </si>
  <si>
    <t>Palen aan bedrijven</t>
  </si>
  <si>
    <t>Palen</t>
  </si>
  <si>
    <t>Kosten palen</t>
  </si>
  <si>
    <t>Totaal negatief</t>
  </si>
  <si>
    <t>Reclame inkomsten video's</t>
  </si>
  <si>
    <t>Jaarlijks</t>
  </si>
  <si>
    <t>'jaarlijks' zelf invullen!!</t>
  </si>
  <si>
    <t>Gebruikers per maand</t>
  </si>
  <si>
    <t>Totaal per paal na 10j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</si>
</sst>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" xfId="0" applyFill="1" applyBorder="1"/>
    <xf numFmtId="9" fontId="0" fillId="0" borderId="0" xfId="0" applyNumberFormat="1"/>
    <xf numFmtId="0" fontId="0" fillId="0" borderId="2" xfId="0" applyBorder="1"/>
    <xf numFmtId="0" fontId="0" fillId="0" borderId="0" xfId="0" applyNumberFormat="1"/>
    <xf numFmtId="0" fontId="1" fillId="3" borderId="0" xfId="2"/>
    <xf numFmtId="0" fontId="1" fillId="2" borderId="0" xfId="1"/>
    <xf numFmtId="0" fontId="0" fillId="3" borderId="0" xfId="2" applyFont="1"/>
    <xf numFmtId="0" fontId="0" fillId="4" borderId="0" xfId="0" applyFill="1"/>
    <xf numFmtId="49" fontId="0" fillId="4" borderId="0" xfId="0" quotePrefix="1" applyNumberFormat="1" applyFill="1"/>
  </cellXfs>
  <cellStyles count="3">
    <cellStyle name="20% - Accent2" xfId="1" builtinId="34"/>
    <cellStyle name="20% - Accent5" xfId="2" builtinId="4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Blad1!$M$38:$M$48</c:f>
              <c:numCache>
                <c:formatCode>General</c:formatCode>
                <c:ptCount val="11"/>
                <c:pt idx="0">
                  <c:v>-140905.71</c:v>
                </c:pt>
                <c:pt idx="1">
                  <c:v>-195865.78999999998</c:v>
                </c:pt>
                <c:pt idx="2">
                  <c:v>-205062.95999999996</c:v>
                </c:pt>
                <c:pt idx="3">
                  <c:v>-180425.04999999996</c:v>
                </c:pt>
                <c:pt idx="4">
                  <c:v>-126842.37999999996</c:v>
                </c:pt>
                <c:pt idx="5">
                  <c:v>-43722.319999999963</c:v>
                </c:pt>
                <c:pt idx="6">
                  <c:v>67681.630000000034</c:v>
                </c:pt>
                <c:pt idx="7">
                  <c:v>204172.50000000003</c:v>
                </c:pt>
                <c:pt idx="8">
                  <c:v>357283.26</c:v>
                </c:pt>
                <c:pt idx="9">
                  <c:v>525049.36</c:v>
                </c:pt>
                <c:pt idx="10">
                  <c:v>705300.69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1-44DC-AC2D-97A091BA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981584"/>
        <c:axId val="178597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Blad1!$I$38:$I$48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51-44DC-AC2D-97A091BA35F0}"/>
                  </c:ext>
                </c:extLst>
              </c15:ser>
            </c15:filteredLineSeries>
          </c:ext>
        </c:extLst>
      </c:lineChart>
      <c:catAx>
        <c:axId val="17859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5976592"/>
        <c:crosses val="autoZero"/>
        <c:auto val="1"/>
        <c:lblAlgn val="ctr"/>
        <c:lblOffset val="100"/>
        <c:noMultiLvlLbl val="0"/>
      </c:catAx>
      <c:valAx>
        <c:axId val="17859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59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Blad1!$N$37</c:f>
              <c:strCache>
                <c:ptCount val="1"/>
                <c:pt idx="0">
                  <c:v>Gebruikers per maand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Blad1!$N$38:$N$48</c:f>
              <c:numCache>
                <c:formatCode>General</c:formatCode>
                <c:ptCount val="11"/>
                <c:pt idx="0">
                  <c:v>985</c:v>
                </c:pt>
                <c:pt idx="1">
                  <c:v>1528</c:v>
                </c:pt>
                <c:pt idx="2">
                  <c:v>2428</c:v>
                </c:pt>
                <c:pt idx="3">
                  <c:v>3614</c:v>
                </c:pt>
                <c:pt idx="4">
                  <c:v>5362</c:v>
                </c:pt>
                <c:pt idx="5">
                  <c:v>7500</c:v>
                </c:pt>
                <c:pt idx="6">
                  <c:v>9651</c:v>
                </c:pt>
                <c:pt idx="7">
                  <c:v>12397</c:v>
                </c:pt>
                <c:pt idx="8">
                  <c:v>14930</c:v>
                </c:pt>
                <c:pt idx="9">
                  <c:v>17522</c:v>
                </c:pt>
                <c:pt idx="10">
                  <c:v>19622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A-4136-83D1-2DA6A9E0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34512"/>
        <c:axId val="692037840"/>
      </c:lineChart>
      <c:catAx>
        <c:axId val="69203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2037840"/>
        <c:crosses val="autoZero"/>
        <c:auto val="1"/>
        <c:lblAlgn val="ctr"/>
        <c:lblOffset val="100"/>
        <c:noMultiLvlLbl val="0"/>
      </c:catAx>
      <c:valAx>
        <c:axId val="6920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20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Blad1!$K$37</c:f>
              <c:strCache>
                <c:ptCount val="1"/>
                <c:pt idx="0">
                  <c:v>Palen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Blad1!$K$38:$K$48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D-402A-8ABF-A4D0ECC3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33680"/>
        <c:axId val="692032848"/>
      </c:lineChart>
      <c:catAx>
        <c:axId val="69203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2032848"/>
        <c:crosses val="autoZero"/>
        <c:auto val="1"/>
        <c:lblAlgn val="ctr"/>
        <c:lblOffset val="100"/>
        <c:noMultiLvlLbl val="0"/>
      </c:catAx>
      <c:valAx>
        <c:axId val="6920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20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51</xdr:row>
      <xdr:rowOff>60960</xdr:rowOff>
    </xdr:from>
    <xdr:to>
      <xdr:col>8</xdr:col>
      <xdr:colOff>480060</xdr:colOff>
      <xdr:row>78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49</xdr:row>
      <xdr:rowOff>26670</xdr:rowOff>
    </xdr:from>
    <xdr:to>
      <xdr:col>12</xdr:col>
      <xdr:colOff>419100</xdr:colOff>
      <xdr:row>64</xdr:row>
      <xdr:rowOff>26670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15240</xdr:rowOff>
    </xdr:from>
    <xdr:to>
      <xdr:col>4</xdr:col>
      <xdr:colOff>236220</xdr:colOff>
      <xdr:row>61</xdr:row>
      <xdr:rowOff>19050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C9" sqref="C9"/>
    </sheetView>
  </sheetViews>
  <sheetFormatPr defaultRowHeight="14.4" x14ac:dyDescent="0.3"/>
  <cols>
    <col min="1" max="1" width="9.5546875" bestFit="1" customWidth="1"/>
    <col min="2" max="2" width="32.88671875" bestFit="1" customWidth="1"/>
    <col min="3" max="3" width="10" bestFit="1" customWidth="1"/>
    <col min="4" max="4" width="9.6640625" bestFit="1" customWidth="1"/>
    <col min="6" max="6" width="8.77734375" customWidth="1"/>
    <col min="7" max="7" width="17.77734375" bestFit="1" customWidth="1"/>
    <col min="8" max="8" width="37.88671875" bestFit="1" customWidth="1"/>
    <col min="9" max="9" width="11.109375" bestFit="1" customWidth="1"/>
    <col min="10" max="10" width="11.44140625" bestFit="1" customWidth="1"/>
    <col min="11" max="11" width="9.44140625" customWidth="1"/>
    <col min="12" max="12" width="33.21875" bestFit="1" customWidth="1"/>
    <col min="13" max="13" width="14.21875" bestFit="1" customWidth="1"/>
    <col min="14" max="14" width="19.77734375" customWidth="1"/>
    <col min="16" max="16" width="26.6640625" bestFit="1" customWidth="1"/>
  </cols>
  <sheetData>
    <row r="1" spans="1:13" x14ac:dyDescent="0.3">
      <c r="C1" t="s">
        <v>8</v>
      </c>
      <c r="D1" t="s">
        <v>9</v>
      </c>
      <c r="E1" t="s">
        <v>10</v>
      </c>
    </row>
    <row r="2" spans="1:13" x14ac:dyDescent="0.3">
      <c r="A2" t="s">
        <v>28</v>
      </c>
      <c r="B2" t="s">
        <v>0</v>
      </c>
      <c r="C2">
        <v>2</v>
      </c>
      <c r="D2">
        <v>180</v>
      </c>
      <c r="E2">
        <f>D2*C2</f>
        <v>360</v>
      </c>
      <c r="G2" t="s">
        <v>4</v>
      </c>
      <c r="H2" t="s">
        <v>5</v>
      </c>
      <c r="I2">
        <f>500</f>
        <v>500</v>
      </c>
    </row>
    <row r="3" spans="1:13" x14ac:dyDescent="0.3">
      <c r="B3" t="s">
        <v>1</v>
      </c>
      <c r="C3">
        <v>1</v>
      </c>
      <c r="D3">
        <v>1500</v>
      </c>
      <c r="E3">
        <f t="shared" ref="E3:E11" si="0">D3*C3</f>
        <v>1500</v>
      </c>
      <c r="H3" t="s">
        <v>6</v>
      </c>
      <c r="I3">
        <f>50*C20</f>
        <v>1000</v>
      </c>
    </row>
    <row r="4" spans="1:13" x14ac:dyDescent="0.3">
      <c r="B4" t="s">
        <v>2</v>
      </c>
      <c r="C4">
        <v>1</v>
      </c>
      <c r="D4">
        <v>100</v>
      </c>
      <c r="E4">
        <f t="shared" si="0"/>
        <v>100</v>
      </c>
      <c r="H4" t="s">
        <v>7</v>
      </c>
      <c r="I4">
        <f>10*C20</f>
        <v>200</v>
      </c>
    </row>
    <row r="5" spans="1:13" x14ac:dyDescent="0.3">
      <c r="B5" t="s">
        <v>3</v>
      </c>
      <c r="C5">
        <v>0</v>
      </c>
      <c r="D5">
        <v>100</v>
      </c>
      <c r="E5">
        <f t="shared" si="0"/>
        <v>0</v>
      </c>
      <c r="H5" t="s">
        <v>47</v>
      </c>
      <c r="I5">
        <v>300</v>
      </c>
    </row>
    <row r="6" spans="1:13" x14ac:dyDescent="0.3">
      <c r="B6" t="s">
        <v>11</v>
      </c>
      <c r="C6">
        <v>1</v>
      </c>
      <c r="D6">
        <v>500</v>
      </c>
      <c r="E6">
        <f t="shared" si="0"/>
        <v>500</v>
      </c>
      <c r="H6" t="s">
        <v>33</v>
      </c>
      <c r="I6">
        <f>C25/C22/12*C20</f>
        <v>666.66666666666674</v>
      </c>
      <c r="M6" s="5"/>
    </row>
    <row r="7" spans="1:13" x14ac:dyDescent="0.3">
      <c r="B7" t="s">
        <v>12</v>
      </c>
      <c r="C7">
        <v>1</v>
      </c>
      <c r="D7">
        <v>1000</v>
      </c>
      <c r="E7">
        <f t="shared" si="0"/>
        <v>1000</v>
      </c>
      <c r="H7" t="s">
        <v>44</v>
      </c>
      <c r="I7">
        <v>1000</v>
      </c>
      <c r="M7" s="3"/>
    </row>
    <row r="8" spans="1:13" x14ac:dyDescent="0.3">
      <c r="B8" t="s">
        <v>15</v>
      </c>
      <c r="C8">
        <v>1</v>
      </c>
      <c r="D8">
        <v>2000</v>
      </c>
      <c r="E8">
        <f t="shared" si="0"/>
        <v>2000</v>
      </c>
      <c r="H8" t="s">
        <v>54</v>
      </c>
      <c r="I8">
        <f>C26*E12</f>
        <v>1269.6816456922402</v>
      </c>
    </row>
    <row r="9" spans="1:13" x14ac:dyDescent="0.3">
      <c r="B9" t="s">
        <v>13</v>
      </c>
      <c r="C9">
        <v>0</v>
      </c>
      <c r="D9">
        <v>500</v>
      </c>
      <c r="E9">
        <f t="shared" si="0"/>
        <v>0</v>
      </c>
      <c r="H9" t="s">
        <v>55</v>
      </c>
    </row>
    <row r="10" spans="1:13" x14ac:dyDescent="0.3">
      <c r="B10" t="s">
        <v>14</v>
      </c>
      <c r="C10">
        <v>1</v>
      </c>
      <c r="D10">
        <v>1500</v>
      </c>
      <c r="E10" s="1">
        <f t="shared" si="0"/>
        <v>1500</v>
      </c>
      <c r="H10" t="s">
        <v>56</v>
      </c>
    </row>
    <row r="11" spans="1:13" ht="15" thickBot="1" x14ac:dyDescent="0.35">
      <c r="E11" s="2"/>
      <c r="H11" t="s">
        <v>57</v>
      </c>
      <c r="I11">
        <f>(I26+I27)*10</f>
        <v>1480</v>
      </c>
    </row>
    <row r="12" spans="1:13" ht="15" thickTop="1" x14ac:dyDescent="0.3">
      <c r="C12" t="s">
        <v>17</v>
      </c>
      <c r="E12">
        <f>SUM(E2:E11)</f>
        <v>6960</v>
      </c>
      <c r="I12" s="4">
        <f>SUM(I2:I11)</f>
        <v>6416.3483123589067</v>
      </c>
    </row>
    <row r="13" spans="1:13" x14ac:dyDescent="0.3">
      <c r="C13" t="s">
        <v>76</v>
      </c>
      <c r="E13">
        <f>E12-C23*C24*C22*C2</f>
        <v>6040</v>
      </c>
    </row>
    <row r="16" spans="1:13" x14ac:dyDescent="0.3">
      <c r="C16" t="s">
        <v>18</v>
      </c>
      <c r="E16">
        <f>E12*C20</f>
        <v>139200</v>
      </c>
    </row>
    <row r="19" spans="2:14" x14ac:dyDescent="0.3">
      <c r="B19" t="s">
        <v>45</v>
      </c>
      <c r="H19" t="s">
        <v>65</v>
      </c>
      <c r="L19" t="s">
        <v>68</v>
      </c>
    </row>
    <row r="20" spans="2:14" x14ac:dyDescent="0.3">
      <c r="B20" t="s">
        <v>16</v>
      </c>
      <c r="C20">
        <v>20</v>
      </c>
      <c r="H20" t="s">
        <v>19</v>
      </c>
      <c r="I20">
        <f>C20*C21*30</f>
        <v>1094.5531428381382</v>
      </c>
      <c r="J20" t="s">
        <v>23</v>
      </c>
      <c r="L20" t="s">
        <v>40</v>
      </c>
      <c r="M20">
        <v>200</v>
      </c>
    </row>
    <row r="21" spans="2:14" x14ac:dyDescent="0.3">
      <c r="B21" t="s">
        <v>38</v>
      </c>
      <c r="C21">
        <f>C31/(1+EXP(-0.3*(C28-C32)))</f>
        <v>1.8242552380635635</v>
      </c>
      <c r="D21" t="s">
        <v>39</v>
      </c>
      <c r="H21" t="s">
        <v>24</v>
      </c>
      <c r="I21">
        <f>C2*C20*C23</f>
        <v>8000</v>
      </c>
      <c r="J21" t="s">
        <v>36</v>
      </c>
      <c r="L21" t="s">
        <v>41</v>
      </c>
    </row>
    <row r="22" spans="2:14" x14ac:dyDescent="0.3">
      <c r="B22" t="s">
        <v>20</v>
      </c>
      <c r="C22">
        <v>10</v>
      </c>
      <c r="D22" t="s">
        <v>21</v>
      </c>
      <c r="H22" t="s">
        <v>31</v>
      </c>
      <c r="I22">
        <f>I21*C24</f>
        <v>1840</v>
      </c>
      <c r="J22" t="s">
        <v>30</v>
      </c>
      <c r="L22" t="s">
        <v>42</v>
      </c>
      <c r="M22">
        <f>(E12+M20+M21)*(1+C27)</f>
        <v>8592</v>
      </c>
      <c r="N22" t="s">
        <v>26</v>
      </c>
    </row>
    <row r="23" spans="2:14" x14ac:dyDescent="0.3">
      <c r="B23" t="s">
        <v>25</v>
      </c>
      <c r="C23">
        <v>200</v>
      </c>
      <c r="D23" t="s">
        <v>36</v>
      </c>
      <c r="H23" t="s">
        <v>27</v>
      </c>
      <c r="I23">
        <f>I20/C20/30*0.9</f>
        <v>1.6418297142572074</v>
      </c>
      <c r="J23" t="s">
        <v>29</v>
      </c>
      <c r="L23" t="s">
        <v>43</v>
      </c>
      <c r="M23">
        <f>M22*1.21</f>
        <v>10396.32</v>
      </c>
      <c r="N23" t="s">
        <v>26</v>
      </c>
    </row>
    <row r="24" spans="2:14" x14ac:dyDescent="0.3">
      <c r="B24" t="s">
        <v>37</v>
      </c>
      <c r="C24">
        <v>0.23</v>
      </c>
      <c r="D24" t="s">
        <v>26</v>
      </c>
      <c r="H24" t="s">
        <v>35</v>
      </c>
      <c r="I24">
        <f>I23*0.5*C20*365</f>
        <v>5992.6784570388063</v>
      </c>
      <c r="J24" t="s">
        <v>36</v>
      </c>
    </row>
    <row r="25" spans="2:14" x14ac:dyDescent="0.3">
      <c r="B25" t="s">
        <v>34</v>
      </c>
      <c r="C25">
        <v>4000</v>
      </c>
      <c r="D25" t="s">
        <v>26</v>
      </c>
      <c r="H25" t="s">
        <v>32</v>
      </c>
      <c r="I25">
        <f>(I21-I24)*C24</f>
        <v>461.68395488107456</v>
      </c>
      <c r="J25" t="s">
        <v>30</v>
      </c>
    </row>
    <row r="26" spans="2:14" x14ac:dyDescent="0.3">
      <c r="B26" t="s">
        <v>22</v>
      </c>
      <c r="C26">
        <f>C21/10</f>
        <v>0.18242552380635635</v>
      </c>
      <c r="D26" t="s">
        <v>23</v>
      </c>
      <c r="H26" t="s">
        <v>58</v>
      </c>
      <c r="I26">
        <f>C20/25*40*4</f>
        <v>128</v>
      </c>
      <c r="J26" t="s">
        <v>60</v>
      </c>
    </row>
    <row r="27" spans="2:14" x14ac:dyDescent="0.3">
      <c r="B27" t="s">
        <v>46</v>
      </c>
      <c r="C27" s="3">
        <v>0.2</v>
      </c>
      <c r="H27" t="s">
        <v>59</v>
      </c>
      <c r="I27">
        <f>C20*1</f>
        <v>20</v>
      </c>
      <c r="J27" t="s">
        <v>60</v>
      </c>
    </row>
    <row r="28" spans="2:14" x14ac:dyDescent="0.3">
      <c r="B28" s="6" t="s">
        <v>61</v>
      </c>
      <c r="C28" s="8">
        <v>0</v>
      </c>
      <c r="D28" s="6"/>
    </row>
    <row r="29" spans="2:14" x14ac:dyDescent="0.3">
      <c r="B29" s="6" t="s">
        <v>62</v>
      </c>
      <c r="C29" s="6">
        <v>50</v>
      </c>
      <c r="D29" s="6" t="s">
        <v>64</v>
      </c>
    </row>
    <row r="30" spans="2:14" x14ac:dyDescent="0.3">
      <c r="B30" s="6" t="s">
        <v>63</v>
      </c>
      <c r="C30" s="6">
        <v>5</v>
      </c>
      <c r="D30" s="6" t="s">
        <v>21</v>
      </c>
    </row>
    <row r="31" spans="2:14" x14ac:dyDescent="0.3">
      <c r="B31" s="7" t="s">
        <v>66</v>
      </c>
      <c r="C31" s="7">
        <v>10</v>
      </c>
      <c r="D31" s="7" t="s">
        <v>67</v>
      </c>
    </row>
    <row r="32" spans="2:14" x14ac:dyDescent="0.3">
      <c r="B32" s="7" t="s">
        <v>63</v>
      </c>
      <c r="C32" s="7">
        <v>5</v>
      </c>
      <c r="D32" s="7" t="s">
        <v>21</v>
      </c>
    </row>
    <row r="33" spans="1:14" x14ac:dyDescent="0.3">
      <c r="I33">
        <f>(C42-I12)*12</f>
        <v>19576.261984191246</v>
      </c>
    </row>
    <row r="36" spans="1:14" x14ac:dyDescent="0.3">
      <c r="A36" t="s">
        <v>48</v>
      </c>
      <c r="B36" t="s">
        <v>72</v>
      </c>
      <c r="C36">
        <f>0.5*I20</f>
        <v>547.27657141906911</v>
      </c>
      <c r="F36">
        <v>20</v>
      </c>
      <c r="G36">
        <v>20</v>
      </c>
      <c r="J36" s="10" t="s">
        <v>74</v>
      </c>
      <c r="K36" s="9"/>
    </row>
    <row r="37" spans="1:14" x14ac:dyDescent="0.3">
      <c r="B37" t="s">
        <v>49</v>
      </c>
      <c r="C37">
        <f>8*C20*30</f>
        <v>4800</v>
      </c>
      <c r="F37">
        <v>30</v>
      </c>
      <c r="G37">
        <v>27</v>
      </c>
      <c r="I37" t="s">
        <v>61</v>
      </c>
      <c r="J37" t="s">
        <v>73</v>
      </c>
      <c r="K37" t="s">
        <v>69</v>
      </c>
      <c r="L37" t="s">
        <v>70</v>
      </c>
      <c r="M37" t="s">
        <v>71</v>
      </c>
      <c r="N37" t="s">
        <v>75</v>
      </c>
    </row>
    <row r="38" spans="1:14" x14ac:dyDescent="0.3">
      <c r="B38" t="s">
        <v>50</v>
      </c>
      <c r="C38">
        <f>I20*0.5</f>
        <v>547.27657141906911</v>
      </c>
      <c r="F38">
        <v>36</v>
      </c>
      <c r="G38">
        <v>34</v>
      </c>
      <c r="I38">
        <v>0</v>
      </c>
      <c r="J38">
        <v>-1705.71</v>
      </c>
      <c r="K38">
        <v>20</v>
      </c>
      <c r="L38">
        <f>-K38*E$12</f>
        <v>-139200</v>
      </c>
      <c r="M38">
        <f>J38+L38</f>
        <v>-140905.71</v>
      </c>
      <c r="N38">
        <v>985</v>
      </c>
    </row>
    <row r="39" spans="1:14" x14ac:dyDescent="0.3">
      <c r="B39" t="s">
        <v>51</v>
      </c>
      <c r="C39">
        <f>I20*0.5</f>
        <v>547.27657141906911</v>
      </c>
      <c r="F39">
        <v>40</v>
      </c>
      <c r="G39">
        <v>39</v>
      </c>
      <c r="I39">
        <v>1</v>
      </c>
      <c r="J39">
        <v>14639.92</v>
      </c>
      <c r="K39">
        <v>10</v>
      </c>
      <c r="L39">
        <f t="shared" ref="L39:L48" si="1">-K39*E$12</f>
        <v>-69600</v>
      </c>
      <c r="M39">
        <f>M38+J39+L39</f>
        <v>-195865.78999999998</v>
      </c>
      <c r="N39">
        <v>1528</v>
      </c>
    </row>
    <row r="40" spans="1:14" x14ac:dyDescent="0.3">
      <c r="B40" t="s">
        <v>52</v>
      </c>
      <c r="C40">
        <f>I25/12</f>
        <v>38.473662906756211</v>
      </c>
      <c r="F40">
        <v>43</v>
      </c>
      <c r="G40">
        <v>43</v>
      </c>
      <c r="I40">
        <v>2</v>
      </c>
      <c r="J40">
        <v>32562.83</v>
      </c>
      <c r="K40">
        <v>6</v>
      </c>
      <c r="L40">
        <f t="shared" si="1"/>
        <v>-41760</v>
      </c>
      <c r="M40">
        <f t="shared" ref="M40:M48" si="2">M39+J40+L40</f>
        <v>-205062.95999999996</v>
      </c>
      <c r="N40">
        <v>2428</v>
      </c>
    </row>
    <row r="41" spans="1:14" x14ac:dyDescent="0.3">
      <c r="B41" t="s">
        <v>53</v>
      </c>
      <c r="C41">
        <f>M22*C26</f>
        <v>1567.4001005442137</v>
      </c>
      <c r="F41">
        <v>45</v>
      </c>
      <c r="G41">
        <v>45</v>
      </c>
      <c r="I41">
        <v>3</v>
      </c>
      <c r="J41">
        <v>52477.91</v>
      </c>
      <c r="K41">
        <v>4</v>
      </c>
      <c r="L41">
        <f t="shared" si="1"/>
        <v>-27840</v>
      </c>
      <c r="M41">
        <f t="shared" si="2"/>
        <v>-180425.04999999996</v>
      </c>
      <c r="N41">
        <v>3614</v>
      </c>
    </row>
    <row r="42" spans="1:14" x14ac:dyDescent="0.3">
      <c r="C42">
        <f>SUM(C36:C41)</f>
        <v>8047.7034777081772</v>
      </c>
      <c r="F42">
        <v>47</v>
      </c>
      <c r="G42">
        <v>47</v>
      </c>
      <c r="I42">
        <v>4</v>
      </c>
      <c r="J42">
        <v>74462.67</v>
      </c>
      <c r="K42">
        <v>3</v>
      </c>
      <c r="L42">
        <f t="shared" si="1"/>
        <v>-20880</v>
      </c>
      <c r="M42">
        <f t="shared" si="2"/>
        <v>-126842.37999999996</v>
      </c>
      <c r="N42">
        <v>5362</v>
      </c>
    </row>
    <row r="43" spans="1:14" x14ac:dyDescent="0.3">
      <c r="F43">
        <v>48</v>
      </c>
      <c r="G43">
        <v>48</v>
      </c>
      <c r="I43">
        <v>5</v>
      </c>
      <c r="J43">
        <v>97040.06</v>
      </c>
      <c r="K43">
        <v>2</v>
      </c>
      <c r="L43">
        <f t="shared" si="1"/>
        <v>-13920</v>
      </c>
      <c r="M43">
        <f t="shared" si="2"/>
        <v>-43722.319999999963</v>
      </c>
      <c r="N43">
        <v>7500</v>
      </c>
    </row>
    <row r="44" spans="1:14" x14ac:dyDescent="0.3">
      <c r="F44">
        <v>49</v>
      </c>
      <c r="G44">
        <v>49</v>
      </c>
      <c r="I44">
        <v>6</v>
      </c>
      <c r="J44">
        <v>118363.95</v>
      </c>
      <c r="K44">
        <v>1</v>
      </c>
      <c r="L44">
        <f t="shared" si="1"/>
        <v>-6960</v>
      </c>
      <c r="M44">
        <f t="shared" si="2"/>
        <v>67681.630000000034</v>
      </c>
      <c r="N44">
        <v>9651</v>
      </c>
    </row>
    <row r="45" spans="1:14" x14ac:dyDescent="0.3">
      <c r="F45">
        <v>50</v>
      </c>
      <c r="G45">
        <v>49</v>
      </c>
      <c r="I45">
        <v>7</v>
      </c>
      <c r="J45">
        <v>136490.87</v>
      </c>
      <c r="K45">
        <v>0</v>
      </c>
      <c r="L45">
        <f t="shared" si="1"/>
        <v>0</v>
      </c>
      <c r="M45">
        <f t="shared" si="2"/>
        <v>204172.50000000003</v>
      </c>
      <c r="N45">
        <v>12397</v>
      </c>
    </row>
    <row r="46" spans="1:14" x14ac:dyDescent="0.3">
      <c r="F46">
        <v>50</v>
      </c>
      <c r="G46">
        <v>50</v>
      </c>
      <c r="I46">
        <v>8</v>
      </c>
      <c r="J46">
        <v>153110.76</v>
      </c>
      <c r="K46">
        <v>0</v>
      </c>
      <c r="L46">
        <f t="shared" si="1"/>
        <v>0</v>
      </c>
      <c r="M46">
        <f t="shared" si="2"/>
        <v>357283.26</v>
      </c>
      <c r="N46">
        <v>14930</v>
      </c>
    </row>
    <row r="47" spans="1:14" x14ac:dyDescent="0.3">
      <c r="I47">
        <v>9</v>
      </c>
      <c r="J47">
        <v>167766.1</v>
      </c>
      <c r="K47">
        <v>0</v>
      </c>
      <c r="L47">
        <f t="shared" si="1"/>
        <v>0</v>
      </c>
      <c r="M47">
        <f t="shared" si="2"/>
        <v>525049.36</v>
      </c>
      <c r="N47">
        <v>17522</v>
      </c>
    </row>
    <row r="48" spans="1:14" x14ac:dyDescent="0.3">
      <c r="I48">
        <v>10</v>
      </c>
      <c r="J48">
        <v>180251.33</v>
      </c>
      <c r="K48">
        <v>0</v>
      </c>
      <c r="L48">
        <f t="shared" si="1"/>
        <v>0</v>
      </c>
      <c r="M48">
        <f t="shared" si="2"/>
        <v>705300.69</v>
      </c>
      <c r="N48">
        <v>19622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Hosman</dc:creator>
  <cp:lastModifiedBy>Tim Hosman</cp:lastModifiedBy>
  <dcterms:created xsi:type="dcterms:W3CDTF">2016-05-13T08:53:23Z</dcterms:created>
  <dcterms:modified xsi:type="dcterms:W3CDTF">2016-06-02T15:26:18Z</dcterms:modified>
</cp:coreProperties>
</file>