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yanthompson/Documents/Dowdy Econ/Asibambisane/"/>
    </mc:Choice>
  </mc:AlternateContent>
  <bookViews>
    <workbookView xWindow="1020" yWindow="460" windowWidth="27780" windowHeight="17540" activeTab="2"/>
  </bookViews>
  <sheets>
    <sheet name="Costing Overall" sheetId="2" r:id="rId1"/>
    <sheet name="Summary Tables" sheetId="5" r:id="rId2"/>
    <sheet name="Price list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8" i="3" l="1"/>
  <c r="Y3" i="3"/>
  <c r="Z3" i="3"/>
  <c r="E1" i="2"/>
  <c r="H10" i="2"/>
  <c r="H83" i="2"/>
  <c r="I83" i="2"/>
  <c r="J6" i="3"/>
  <c r="K6" i="3"/>
  <c r="H84" i="2"/>
  <c r="I84" i="2"/>
  <c r="J4" i="3"/>
  <c r="K4" i="3"/>
  <c r="H85" i="2"/>
  <c r="I85" i="2"/>
  <c r="H88" i="2"/>
  <c r="C54" i="5"/>
  <c r="C94" i="5"/>
  <c r="H6" i="2"/>
  <c r="I6" i="2"/>
  <c r="W4" i="3"/>
  <c r="Y4" i="3"/>
  <c r="Z4" i="3"/>
  <c r="H11" i="2"/>
  <c r="H7" i="2"/>
  <c r="I7" i="2"/>
  <c r="W6" i="3"/>
  <c r="Y6" i="3"/>
  <c r="Z6" i="3"/>
  <c r="H13" i="2"/>
  <c r="H9" i="2"/>
  <c r="I9" i="2"/>
  <c r="I10" i="2"/>
  <c r="I11" i="2"/>
  <c r="I13" i="2"/>
  <c r="G8" i="2"/>
  <c r="W5" i="3"/>
  <c r="Y5" i="3"/>
  <c r="Z5" i="3"/>
  <c r="H8" i="2"/>
  <c r="I8" i="2"/>
  <c r="G12" i="2"/>
  <c r="C9" i="3"/>
  <c r="W7" i="3"/>
  <c r="Y7" i="3"/>
  <c r="Z7" i="3"/>
  <c r="H12" i="2"/>
  <c r="I12" i="2"/>
  <c r="G15" i="2"/>
  <c r="H15" i="2"/>
  <c r="C46" i="5"/>
  <c r="C93" i="5"/>
  <c r="E52" i="2"/>
  <c r="C4" i="3"/>
  <c r="D4" i="3"/>
  <c r="H52" i="2"/>
  <c r="I52" i="2"/>
  <c r="E53" i="2"/>
  <c r="D8" i="3"/>
  <c r="H53" i="2"/>
  <c r="I53" i="2"/>
  <c r="H54" i="2"/>
  <c r="H18" i="2"/>
  <c r="I18" i="2"/>
  <c r="J23" i="3"/>
  <c r="K23" i="3"/>
  <c r="H19" i="2"/>
  <c r="I19" i="2"/>
  <c r="J22" i="3"/>
  <c r="K22" i="3"/>
  <c r="H20" i="2"/>
  <c r="I20" i="2"/>
  <c r="H23" i="2"/>
  <c r="J11" i="3"/>
  <c r="K11" i="3"/>
  <c r="H28" i="2"/>
  <c r="I28" i="2"/>
  <c r="J12" i="3"/>
  <c r="K12" i="3"/>
  <c r="H29" i="2"/>
  <c r="I29" i="2"/>
  <c r="AE6" i="3"/>
  <c r="J10" i="3"/>
  <c r="K10" i="3"/>
  <c r="H30" i="2"/>
  <c r="I30" i="2"/>
  <c r="H34" i="2"/>
  <c r="H38" i="2"/>
  <c r="I38" i="2"/>
  <c r="D3" i="3"/>
  <c r="H46" i="2"/>
  <c r="I46" i="2"/>
  <c r="E47" i="2"/>
  <c r="D5" i="3"/>
  <c r="H47" i="2"/>
  <c r="I47" i="2"/>
  <c r="H48" i="2"/>
  <c r="G61" i="2"/>
  <c r="O3" i="3"/>
  <c r="H61" i="2"/>
  <c r="I61" i="2"/>
  <c r="H62" i="2"/>
  <c r="I62" i="2"/>
  <c r="G63" i="2"/>
  <c r="O11" i="3"/>
  <c r="H63" i="2"/>
  <c r="I63" i="2"/>
  <c r="G64" i="2"/>
  <c r="H64" i="2"/>
  <c r="I64" i="2"/>
  <c r="G65" i="2"/>
  <c r="H65" i="2"/>
  <c r="I65" i="2"/>
  <c r="I75" i="2"/>
  <c r="F93" i="2"/>
  <c r="C51" i="5"/>
  <c r="C92" i="5"/>
  <c r="C52" i="5"/>
  <c r="C91" i="5"/>
  <c r="C49" i="5"/>
  <c r="C50" i="5"/>
  <c r="C90" i="5"/>
  <c r="C47" i="5"/>
  <c r="C48" i="5"/>
  <c r="C89" i="5"/>
  <c r="H55" i="2"/>
  <c r="H24" i="2"/>
  <c r="H35" i="2"/>
  <c r="H49" i="2"/>
  <c r="G68" i="2"/>
  <c r="H68" i="2"/>
  <c r="I68" i="2"/>
  <c r="G70" i="2"/>
  <c r="H70" i="2"/>
  <c r="I70" i="2"/>
  <c r="H69" i="2"/>
  <c r="I69" i="2"/>
  <c r="G71" i="2"/>
  <c r="H71" i="2"/>
  <c r="I71" i="2"/>
  <c r="G72" i="2"/>
  <c r="H72" i="2"/>
  <c r="I72" i="2"/>
  <c r="H89" i="2"/>
  <c r="C53" i="5"/>
  <c r="C95" i="5"/>
  <c r="D47" i="5"/>
  <c r="D48" i="5"/>
  <c r="D89" i="5"/>
  <c r="D50" i="5"/>
  <c r="D52" i="5"/>
  <c r="D91" i="5"/>
  <c r="D54" i="5"/>
  <c r="D94" i="5"/>
  <c r="D53" i="5"/>
  <c r="D95" i="5"/>
  <c r="I21" i="2"/>
  <c r="I22" i="2"/>
  <c r="I23" i="2"/>
  <c r="I24" i="2"/>
  <c r="I25" i="2"/>
  <c r="I27" i="2"/>
  <c r="I37" i="2"/>
  <c r="I51" i="2"/>
  <c r="I60" i="2"/>
  <c r="I74" i="2"/>
  <c r="I82" i="2"/>
  <c r="I92" i="2"/>
  <c r="AE10" i="3"/>
  <c r="J26" i="3"/>
  <c r="J24" i="3"/>
  <c r="J21" i="3"/>
  <c r="J20" i="3"/>
  <c r="J19" i="3"/>
  <c r="J18" i="3"/>
  <c r="J17" i="3"/>
  <c r="J16" i="3"/>
  <c r="J15" i="3"/>
  <c r="J14" i="3"/>
  <c r="J13" i="3"/>
  <c r="J9" i="3"/>
  <c r="J8" i="3"/>
  <c r="J7" i="3"/>
  <c r="J5" i="3"/>
  <c r="J3" i="3"/>
  <c r="D2" i="2"/>
  <c r="Z83" i="2"/>
  <c r="AA83" i="2"/>
  <c r="Z84" i="2"/>
  <c r="AA84" i="2"/>
  <c r="C7" i="3"/>
  <c r="D7" i="3"/>
  <c r="Z39" i="2"/>
  <c r="AA39" i="2"/>
  <c r="D6" i="3"/>
  <c r="Z47" i="2"/>
  <c r="AA47" i="2"/>
  <c r="Z20" i="2"/>
  <c r="K20" i="3"/>
  <c r="Z28" i="2"/>
  <c r="AA28" i="2"/>
  <c r="Z29" i="2"/>
  <c r="AA29" i="2"/>
  <c r="K13" i="3"/>
  <c r="Z30" i="2"/>
  <c r="AA30" i="2"/>
  <c r="K24" i="3"/>
  <c r="Z31" i="2"/>
  <c r="AA31" i="2"/>
  <c r="K25" i="3"/>
  <c r="Z32" i="2"/>
  <c r="AA32" i="2"/>
  <c r="K7" i="3"/>
  <c r="Z33" i="2"/>
  <c r="AA33" i="2"/>
  <c r="K17" i="3"/>
  <c r="Z34" i="2"/>
  <c r="AA34" i="2"/>
  <c r="K5" i="3"/>
  <c r="Z35" i="2"/>
  <c r="AA35" i="2"/>
  <c r="AA37" i="2"/>
  <c r="Z36" i="2"/>
  <c r="O8" i="3"/>
  <c r="Z61" i="2"/>
  <c r="AA61" i="2"/>
  <c r="O4" i="3"/>
  <c r="Z62" i="2"/>
  <c r="AA62" i="2"/>
  <c r="O13" i="3"/>
  <c r="Z63" i="2"/>
  <c r="AA63" i="2"/>
  <c r="Z64" i="2"/>
  <c r="AA64" i="2"/>
  <c r="Z65" i="2"/>
  <c r="AA65" i="2"/>
  <c r="Z66" i="2"/>
  <c r="AA66" i="2"/>
  <c r="S6" i="3"/>
  <c r="Z67" i="2"/>
  <c r="AA67" i="2"/>
  <c r="Z68" i="2"/>
  <c r="AA68" i="2"/>
  <c r="Z69" i="2"/>
  <c r="AA69" i="2"/>
  <c r="O14" i="3"/>
  <c r="Z70" i="2"/>
  <c r="AA70" i="2"/>
  <c r="O20" i="3"/>
  <c r="Z71" i="2"/>
  <c r="AA71" i="2"/>
  <c r="AA74" i="2"/>
  <c r="Z73" i="2"/>
  <c r="Z52" i="2"/>
  <c r="AA52" i="2"/>
  <c r="Z53" i="2"/>
  <c r="AA53" i="2"/>
  <c r="Z54" i="2"/>
  <c r="AA54" i="2"/>
  <c r="Y93" i="2"/>
  <c r="Z38" i="2"/>
  <c r="AA38" i="2"/>
  <c r="Z46" i="2"/>
  <c r="AA46" i="2"/>
  <c r="Z19" i="2"/>
  <c r="Z72" i="2"/>
  <c r="X93" i="2"/>
  <c r="AA17" i="2"/>
  <c r="AA27" i="2"/>
  <c r="AA45" i="2"/>
  <c r="AA51" i="2"/>
  <c r="AA60" i="2"/>
  <c r="AA82" i="2"/>
  <c r="AA92" i="2"/>
  <c r="AA93" i="2"/>
  <c r="AE11" i="3"/>
  <c r="AE9" i="3"/>
  <c r="AE7" i="3"/>
  <c r="R6" i="2"/>
  <c r="P106" i="2"/>
  <c r="Q99" i="2"/>
  <c r="Q100" i="2"/>
  <c r="Q101" i="2"/>
  <c r="Q102" i="2"/>
  <c r="Q103" i="2"/>
  <c r="Q104" i="2"/>
  <c r="Q105" i="2"/>
  <c r="Q106" i="2"/>
  <c r="P107" i="2"/>
  <c r="C60" i="5"/>
  <c r="K26" i="3"/>
  <c r="R21" i="2"/>
  <c r="R22" i="2"/>
  <c r="C61" i="5"/>
  <c r="N52" i="2"/>
  <c r="Q52" i="2"/>
  <c r="R52" i="2"/>
  <c r="Q54" i="2"/>
  <c r="R54" i="2"/>
  <c r="Q55" i="2"/>
  <c r="N55" i="2"/>
  <c r="R55" i="2"/>
  <c r="R28" i="2"/>
  <c r="R31" i="2"/>
  <c r="N38" i="2"/>
  <c r="Q38" i="2"/>
  <c r="R38" i="2"/>
  <c r="N48" i="2"/>
  <c r="Q48" i="2"/>
  <c r="R48" i="2"/>
  <c r="Q75" i="2"/>
  <c r="R75" i="2"/>
  <c r="N83" i="2"/>
  <c r="Q83" i="2"/>
  <c r="R83" i="2"/>
  <c r="N87" i="2"/>
  <c r="Q87" i="2"/>
  <c r="R87" i="2"/>
  <c r="O93" i="2"/>
  <c r="Q58" i="2"/>
  <c r="C65" i="5"/>
  <c r="C67" i="5"/>
  <c r="E102" i="5"/>
  <c r="O106" i="2"/>
  <c r="O107" i="2"/>
  <c r="D60" i="5"/>
  <c r="R23" i="2"/>
  <c r="R24" i="2"/>
  <c r="D61" i="5"/>
  <c r="Q53" i="2"/>
  <c r="N53" i="2"/>
  <c r="R53" i="2"/>
  <c r="Q56" i="2"/>
  <c r="N56" i="2"/>
  <c r="R56" i="2"/>
  <c r="R32" i="2"/>
  <c r="N39" i="2"/>
  <c r="Q39" i="2"/>
  <c r="R39" i="2"/>
  <c r="N49" i="2"/>
  <c r="Q49" i="2"/>
  <c r="R49" i="2"/>
  <c r="Q76" i="2"/>
  <c r="R76" i="2"/>
  <c r="N84" i="2"/>
  <c r="Q84" i="2"/>
  <c r="R84" i="2"/>
  <c r="N88" i="2"/>
  <c r="Q88" i="2"/>
  <c r="R88" i="2"/>
  <c r="P93" i="2"/>
  <c r="Q59" i="2"/>
  <c r="D65" i="5"/>
  <c r="D67" i="5"/>
  <c r="F102" i="5"/>
  <c r="C74" i="5"/>
  <c r="C75" i="5"/>
  <c r="Z58" i="2"/>
  <c r="C79" i="5"/>
  <c r="C81" i="5"/>
  <c r="G102" i="5"/>
  <c r="D74" i="5"/>
  <c r="D75" i="5"/>
  <c r="Z59" i="2"/>
  <c r="D79" i="5"/>
  <c r="D81" i="5"/>
  <c r="H102" i="5"/>
  <c r="C103" i="5"/>
  <c r="D103" i="5"/>
  <c r="C62" i="5"/>
  <c r="C68" i="5"/>
  <c r="E103" i="5"/>
  <c r="D62" i="5"/>
  <c r="D68" i="5"/>
  <c r="F103" i="5"/>
  <c r="C76" i="5"/>
  <c r="C82" i="5"/>
  <c r="G103" i="5"/>
  <c r="D76" i="5"/>
  <c r="D82" i="5"/>
  <c r="H103" i="5"/>
  <c r="I103" i="5"/>
  <c r="C104" i="5"/>
  <c r="D104" i="5"/>
  <c r="C66" i="5"/>
  <c r="E104" i="5"/>
  <c r="D66" i="5"/>
  <c r="F104" i="5"/>
  <c r="C80" i="5"/>
  <c r="G104" i="5"/>
  <c r="D80" i="5"/>
  <c r="H104" i="5"/>
  <c r="I104" i="5"/>
  <c r="C64" i="5"/>
  <c r="C63" i="5"/>
  <c r="E105" i="5"/>
  <c r="D64" i="5"/>
  <c r="D63" i="5"/>
  <c r="F105" i="5"/>
  <c r="C77" i="5"/>
  <c r="C78" i="5"/>
  <c r="G105" i="5"/>
  <c r="D77" i="5"/>
  <c r="D78" i="5"/>
  <c r="H105" i="5"/>
  <c r="H106" i="5"/>
  <c r="G106" i="5"/>
  <c r="E106" i="5"/>
  <c r="F106" i="5"/>
  <c r="I105" i="2"/>
  <c r="I107" i="2"/>
  <c r="F107" i="2"/>
  <c r="G105" i="2"/>
  <c r="F105" i="2"/>
  <c r="E89" i="5"/>
  <c r="G89" i="5"/>
  <c r="F89" i="5"/>
  <c r="H89" i="5"/>
  <c r="E90" i="5"/>
  <c r="G90" i="5"/>
  <c r="F90" i="5"/>
  <c r="H90" i="5"/>
  <c r="E91" i="5"/>
  <c r="G91" i="5"/>
  <c r="F91" i="5"/>
  <c r="H91" i="5"/>
  <c r="E92" i="5"/>
  <c r="G92" i="5"/>
  <c r="F92" i="5"/>
  <c r="H92" i="5"/>
  <c r="E93" i="5"/>
  <c r="G93" i="5"/>
  <c r="F93" i="5"/>
  <c r="H93" i="5"/>
  <c r="E94" i="5"/>
  <c r="G94" i="5"/>
  <c r="F94" i="5"/>
  <c r="H94" i="5"/>
  <c r="E95" i="5"/>
  <c r="G95" i="5"/>
  <c r="F95" i="5"/>
  <c r="H95" i="5"/>
  <c r="G96" i="5"/>
  <c r="H96" i="5"/>
  <c r="E96" i="5"/>
  <c r="F96" i="5"/>
  <c r="Q23" i="2"/>
  <c r="Q21" i="2"/>
  <c r="Q18" i="2"/>
  <c r="E74" i="5"/>
  <c r="E75" i="5"/>
  <c r="E76" i="5"/>
  <c r="E77" i="5"/>
  <c r="E78" i="5"/>
  <c r="Z57" i="2"/>
  <c r="E79" i="5"/>
  <c r="E80" i="5"/>
  <c r="E81" i="5"/>
  <c r="E82" i="5"/>
  <c r="E83" i="5"/>
  <c r="D83" i="5"/>
  <c r="C83" i="5"/>
  <c r="R17" i="2"/>
  <c r="E60" i="5"/>
  <c r="R19" i="2"/>
  <c r="R27" i="2"/>
  <c r="E61" i="5"/>
  <c r="R37" i="2"/>
  <c r="E62" i="5"/>
  <c r="R45" i="2"/>
  <c r="E63" i="5"/>
  <c r="R51" i="2"/>
  <c r="E64" i="5"/>
  <c r="R60" i="2"/>
  <c r="R92" i="2"/>
  <c r="R74" i="2"/>
  <c r="R82" i="2"/>
  <c r="R93" i="2"/>
  <c r="Q57" i="2"/>
  <c r="E65" i="5"/>
  <c r="E66" i="5"/>
  <c r="E67" i="5"/>
  <c r="E68" i="5"/>
  <c r="E69" i="5"/>
  <c r="D69" i="5"/>
  <c r="C69" i="5"/>
  <c r="E47" i="5"/>
  <c r="E48" i="5"/>
  <c r="E50" i="5"/>
  <c r="E52" i="5"/>
  <c r="E53" i="5"/>
  <c r="E54" i="5"/>
  <c r="Y94" i="2"/>
  <c r="X94" i="2"/>
  <c r="AA94" i="2"/>
  <c r="N23" i="2"/>
  <c r="N21" i="2"/>
  <c r="Q19" i="2"/>
  <c r="P94" i="2"/>
  <c r="O94" i="2"/>
  <c r="N59" i="2"/>
  <c r="N58" i="2"/>
  <c r="N106" i="2"/>
  <c r="N107" i="2"/>
  <c r="L12" i="3"/>
  <c r="L11" i="3"/>
  <c r="L10" i="3"/>
  <c r="E30" i="5"/>
  <c r="D30" i="5"/>
  <c r="E19" i="5"/>
  <c r="D19" i="5"/>
  <c r="E10" i="5"/>
  <c r="D10" i="5"/>
  <c r="R94" i="2"/>
  <c r="C27" i="5"/>
  <c r="D27" i="5"/>
  <c r="E27" i="5"/>
  <c r="F27" i="5"/>
  <c r="D28" i="5"/>
  <c r="E28" i="5"/>
  <c r="C29" i="5"/>
  <c r="D29" i="5"/>
  <c r="E29" i="5"/>
  <c r="F29" i="5"/>
  <c r="D31" i="5"/>
  <c r="E31" i="5"/>
  <c r="C32" i="5"/>
  <c r="D32" i="5"/>
  <c r="E32" i="5"/>
  <c r="F32" i="5"/>
  <c r="C33" i="5"/>
  <c r="D33" i="5"/>
  <c r="E33" i="5"/>
  <c r="F33" i="5"/>
  <c r="E34" i="5"/>
  <c r="D34" i="5"/>
  <c r="C20" i="5"/>
  <c r="C21" i="5"/>
  <c r="D20" i="5"/>
  <c r="D21" i="5"/>
  <c r="D22" i="5"/>
  <c r="D23" i="5"/>
  <c r="E20" i="5"/>
  <c r="E21" i="5"/>
  <c r="E22" i="5"/>
  <c r="E23" i="5"/>
  <c r="F21" i="5"/>
  <c r="F20" i="5"/>
  <c r="C6" i="5"/>
  <c r="C7" i="5"/>
  <c r="C9" i="5"/>
  <c r="C11" i="5"/>
  <c r="C12" i="5"/>
  <c r="C13" i="5"/>
  <c r="D5" i="5"/>
  <c r="D6" i="5"/>
  <c r="D7" i="5"/>
  <c r="D8" i="5"/>
  <c r="D9" i="5"/>
  <c r="D11" i="5"/>
  <c r="D12" i="5"/>
  <c r="D13" i="5"/>
  <c r="D14" i="5"/>
  <c r="E5" i="5"/>
  <c r="E6" i="5"/>
  <c r="E7" i="5"/>
  <c r="E8" i="5"/>
  <c r="E9" i="5"/>
  <c r="E11" i="5"/>
  <c r="E12" i="5"/>
  <c r="E13" i="5"/>
  <c r="E14" i="5"/>
  <c r="F13" i="5"/>
  <c r="F12" i="5"/>
  <c r="F11" i="5"/>
  <c r="F9" i="5"/>
  <c r="F7" i="5"/>
  <c r="F6" i="5"/>
  <c r="K3" i="3"/>
  <c r="K8" i="3"/>
  <c r="K9" i="3"/>
  <c r="K14" i="3"/>
  <c r="K15" i="3"/>
  <c r="K16" i="3"/>
  <c r="K18" i="3"/>
  <c r="K19" i="3"/>
  <c r="H21" i="3"/>
  <c r="K21" i="3"/>
  <c r="C10" i="3"/>
  <c r="C11" i="3"/>
  <c r="O15" i="3"/>
  <c r="O10" i="3"/>
  <c r="O9" i="3"/>
  <c r="O6" i="3"/>
  <c r="O5" i="3"/>
  <c r="H17" i="2"/>
  <c r="I14" i="2"/>
  <c r="I17" i="2"/>
  <c r="H39" i="2"/>
  <c r="I39" i="2"/>
  <c r="I45" i="2"/>
  <c r="I93" i="2"/>
  <c r="H57" i="2"/>
  <c r="C10" i="5"/>
  <c r="F10" i="5"/>
  <c r="C5" i="5"/>
  <c r="C8" i="5"/>
  <c r="C14" i="5"/>
  <c r="F14" i="5"/>
  <c r="C19" i="5"/>
  <c r="F19" i="5"/>
  <c r="C22" i="5"/>
  <c r="C23" i="5"/>
  <c r="F23" i="5"/>
  <c r="C28" i="5"/>
  <c r="C30" i="5"/>
  <c r="C31" i="5"/>
  <c r="C34" i="5"/>
  <c r="F28" i="5"/>
  <c r="F30" i="5"/>
  <c r="F31" i="5"/>
  <c r="F34" i="5"/>
  <c r="F5" i="5"/>
  <c r="I94" i="2"/>
  <c r="E46" i="5"/>
  <c r="E49" i="5"/>
  <c r="E51" i="5"/>
  <c r="E55" i="5"/>
  <c r="F94" i="2"/>
  <c r="F8" i="5"/>
  <c r="F22" i="5"/>
  <c r="G16" i="2"/>
  <c r="H16" i="2"/>
  <c r="G93" i="2"/>
  <c r="G94" i="2"/>
  <c r="H58" i="2"/>
  <c r="H59" i="2"/>
  <c r="C102" i="5"/>
  <c r="C105" i="5"/>
  <c r="C106" i="5"/>
  <c r="D46" i="5"/>
  <c r="D51" i="5"/>
  <c r="D102" i="5"/>
  <c r="D49" i="5"/>
  <c r="D105" i="5"/>
  <c r="D106" i="5"/>
  <c r="I102" i="5"/>
  <c r="I105" i="5"/>
  <c r="I106" i="5"/>
  <c r="C55" i="5"/>
  <c r="D55" i="5"/>
  <c r="J94" i="2"/>
  <c r="C96" i="5"/>
  <c r="D90" i="5"/>
  <c r="D92" i="5"/>
  <c r="D93" i="5"/>
  <c r="D96" i="5"/>
</calcChain>
</file>

<file path=xl/comments1.xml><?xml version="1.0" encoding="utf-8"?>
<comments xmlns="http://schemas.openxmlformats.org/spreadsheetml/2006/main">
  <authors>
    <author>Ryan Thompson</author>
    <author>Microsoft Office User</author>
    <author>Rachel Mukora</author>
  </authors>
  <commentList>
    <comment ref="F5" authorId="0">
      <text>
        <r>
          <rPr>
            <b/>
            <sz val="10"/>
            <color indexed="81"/>
            <rFont val="Calibri"/>
          </rPr>
          <t>Ryan: 
I added this column to more accurately capture frequency for annual estimates</t>
        </r>
      </text>
    </comment>
    <comment ref="H8" authorId="1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Estimated @ $5 per material, 1 ELY</t>
        </r>
      </text>
    </comment>
    <comment ref="H10" authorId="1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https://www.wits.ac.za/witstheatre/venues-and-bookings/wits-downstairs-theatre/</t>
        </r>
      </text>
    </comment>
    <comment ref="G28" authorId="2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Per CHW. Decide on whether to cost for all 22 pairs?</t>
        </r>
      </text>
    </comment>
    <comment ref="E38" authorId="2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time and motion  to apportion to TB services only.</t>
        </r>
      </text>
    </comment>
    <comment ref="G38" authorId="2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observed 11 pairs (22 CHWs)</t>
        </r>
      </text>
    </comment>
    <comment ref="K38" authorId="2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Ben</t>
        </r>
      </text>
    </comment>
    <comment ref="W38" authorId="2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Spends the mornings seeing TB patients.</t>
        </r>
      </text>
    </comment>
    <comment ref="B46" authorId="2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Most team leaders are enrolled nurses. Used the median salary.</t>
        </r>
      </text>
    </comment>
    <comment ref="K46" authorId="2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Winnet</t>
        </r>
      </text>
    </comment>
    <comment ref="B47" authorId="2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Operational Manager Nursing (PHC)</t>
        </r>
      </text>
    </comment>
    <comment ref="B52" authorId="2">
      <text>
        <r>
          <rPr>
            <b/>
            <sz val="10"/>
            <color rgb="FF000000"/>
            <rFont val="Tahoma"/>
            <family val="2"/>
          </rPr>
          <t>Rachel Mukora: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Professional Nurse Grade 2 PHC trained.</t>
        </r>
      </text>
    </comment>
    <comment ref="G52" authorId="2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One co-ordinator per district.</t>
        </r>
      </text>
    </comment>
    <comment ref="Q52" authorId="2">
      <text>
        <r>
          <rPr>
            <b/>
            <sz val="12"/>
            <color indexed="81"/>
            <rFont val="Tahoma"/>
            <family val="2"/>
          </rPr>
          <t>Rachel Mukora:</t>
        </r>
        <r>
          <rPr>
            <sz val="12"/>
            <color indexed="81"/>
            <rFont val="Tahoma"/>
            <family val="2"/>
          </rPr>
          <t xml:space="preserve">
Fixed IT cost per employee</t>
        </r>
      </text>
    </comment>
    <comment ref="B53" authorId="2">
      <text>
        <r>
          <rPr>
            <b/>
            <sz val="12"/>
            <color rgb="FF000000"/>
            <rFont val="Tahoma"/>
            <family val="2"/>
          </rPr>
          <t>Rachel Mukora: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>Medical Specialist (sub-speciality) Grade 2</t>
        </r>
      </text>
    </comment>
    <comment ref="H83" authorId="1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1/5th cost of renting COPC venue</t>
        </r>
      </text>
    </comment>
    <comment ref="Q83" authorId="2">
      <text>
        <r>
          <rPr>
            <b/>
            <sz val="11"/>
            <color indexed="81"/>
            <rFont val="Tahoma"/>
            <family val="2"/>
          </rPr>
          <t>Rachel Mukora:</t>
        </r>
        <r>
          <rPr>
            <sz val="11"/>
            <color indexed="81"/>
            <rFont val="Tahoma"/>
            <family val="2"/>
          </rPr>
          <t xml:space="preserve">
Rental costs charged to Project divided by number of employess.</t>
        </r>
      </text>
    </comment>
    <comment ref="Q87" authorId="2">
      <text>
        <r>
          <rPr>
            <b/>
            <sz val="11"/>
            <color indexed="81"/>
            <rFont val="Tahoma"/>
            <family val="2"/>
          </rPr>
          <t>Rachel Mukora:</t>
        </r>
        <r>
          <rPr>
            <sz val="11"/>
            <color indexed="81"/>
            <rFont val="Tahoma"/>
            <family val="2"/>
          </rPr>
          <t xml:space="preserve">
used same cost as QI Coach</t>
        </r>
      </text>
    </comment>
    <comment ref="Q88" authorId="2">
      <text>
        <r>
          <rPr>
            <b/>
            <sz val="11"/>
            <color indexed="81"/>
            <rFont val="Tahoma"/>
            <family val="2"/>
          </rPr>
          <t>Rachel Mukora:</t>
        </r>
        <r>
          <rPr>
            <sz val="11"/>
            <color indexed="81"/>
            <rFont val="Tahoma"/>
            <family val="2"/>
          </rPr>
          <t xml:space="preserve">
used same cost as QI Coach</t>
        </r>
      </text>
    </comment>
  </commentList>
</comments>
</file>

<file path=xl/comments2.xml><?xml version="1.0" encoding="utf-8"?>
<comments xmlns="http://schemas.openxmlformats.org/spreadsheetml/2006/main">
  <authors>
    <author>Rachel Mukora</author>
    <author>Ryan Thompson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Market Prices used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Market Prices used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Bag of 200 pieces can be used on 50 clients.</t>
        </r>
      </text>
    </comment>
    <comment ref="C4" authorId="0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Median salary </t>
        </r>
      </text>
    </comment>
    <comment ref="D4" authorId="0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Median salary of a PN Grade 2 General Nursing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 xml:space="preserve">Rachel Mukora:
</t>
        </r>
        <r>
          <rPr>
            <sz val="9"/>
            <color indexed="81"/>
            <rFont val="Tahoma"/>
            <family val="2"/>
          </rPr>
          <t>Plastic chair - Makro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Assume 1 book can record  at least 1000 patients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26 litre cooler box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Costs US$0.35 each and can be used for 100 clients</t>
        </r>
      </text>
    </comment>
    <comment ref="C6" authorId="0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Median salary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Makro price</t>
        </r>
      </text>
    </comment>
    <comment ref="C7" authorId="0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Median salary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Steel filing cabinet - Makro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Hi Sense Bar Fridge - Makro</t>
        </r>
      </text>
    </comment>
    <comment ref="H9" authorId="0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includes notebook, mouse, carry case and cable lock.</t>
        </r>
      </text>
    </comment>
    <comment ref="H10" authorId="0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Paper punch - Makro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Braun blood pressure monitor</t>
        </r>
      </text>
    </comment>
    <comment ref="H12" authorId="0">
      <text>
        <r>
          <rPr>
            <b/>
            <sz val="9"/>
            <color rgb="FF000000"/>
            <rFont val="Tahoma"/>
            <family val="2"/>
          </rPr>
          <t>Rachel Mukora: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Accu-Chek - Omninela Medicals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Examination couch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Assume 1 register can record 1000 patients.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1 litre. Assumption - can be used for 500 patients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Asuumption - can be used for 500 patients.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Beurer digital fever thermometer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Dischem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Pampers price per nappy - Takealot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Stapler@R69.80 and Staples @R29.80 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Price per sanitary pad - Clicks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Big Jim 160L storage box - Makro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N95 mask at Dischem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Makro price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7200 sheets - Kimberly Clark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Rachel Mukora:</t>
        </r>
        <r>
          <rPr>
            <sz val="9"/>
            <color indexed="81"/>
            <rFont val="Tahoma"/>
            <family val="2"/>
          </rPr>
          <t xml:space="preserve">
From TB Reach</t>
        </r>
      </text>
    </comment>
    <comment ref="H25" authorId="1">
      <text>
        <r>
          <rPr>
            <b/>
            <sz val="10"/>
            <color indexed="81"/>
            <rFont val="Calibri"/>
          </rPr>
          <t>Ryan: UV Tube Light</t>
        </r>
      </text>
    </comment>
  </commentList>
</comments>
</file>

<file path=xl/sharedStrings.xml><?xml version="1.0" encoding="utf-8"?>
<sst xmlns="http://schemas.openxmlformats.org/spreadsheetml/2006/main" count="722" uniqueCount="438">
  <si>
    <t>CHW Operations</t>
  </si>
  <si>
    <t>Supervision</t>
  </si>
  <si>
    <t>Source</t>
  </si>
  <si>
    <t>Consumables</t>
  </si>
  <si>
    <t>Description</t>
  </si>
  <si>
    <t>Facilitators fee</t>
  </si>
  <si>
    <t>Manuals</t>
  </si>
  <si>
    <t>OTL time</t>
  </si>
  <si>
    <t>Tablets</t>
  </si>
  <si>
    <t>Laptops</t>
  </si>
  <si>
    <t>Public portal</t>
  </si>
  <si>
    <t>Insurance</t>
  </si>
  <si>
    <t>Travel</t>
  </si>
  <si>
    <t>None</t>
  </si>
  <si>
    <t>Aurum Finance</t>
  </si>
  <si>
    <t xml:space="preserve">Desk </t>
  </si>
  <si>
    <t>Chairs</t>
  </si>
  <si>
    <t>Sputum microspcopy</t>
  </si>
  <si>
    <t>Sputum culture</t>
  </si>
  <si>
    <t>TB room meters sq</t>
  </si>
  <si>
    <t>TB waiting area meters sq</t>
  </si>
  <si>
    <t>Utilties</t>
  </si>
  <si>
    <t>AITA Training Venue</t>
  </si>
  <si>
    <t>Two Facilitators per day</t>
  </si>
  <si>
    <t xml:space="preserve">Training session every 6 months for two days each </t>
  </si>
  <si>
    <t>Gloves</t>
  </si>
  <si>
    <t>Masks</t>
  </si>
  <si>
    <t>Hand sanitizer</t>
  </si>
  <si>
    <t>Examination light</t>
  </si>
  <si>
    <t>UV light</t>
  </si>
  <si>
    <t>Weighing scale</t>
  </si>
  <si>
    <t>TST</t>
  </si>
  <si>
    <t>Used on Fridays only for in-service training and by OTLs for admin work</t>
  </si>
  <si>
    <t>Boardroom desk</t>
  </si>
  <si>
    <t>Boardroom chairs</t>
  </si>
  <si>
    <t>COPC Training venue</t>
  </si>
  <si>
    <t>Two training sessions, 7 days each</t>
  </si>
  <si>
    <t>COPC Facilitators time</t>
  </si>
  <si>
    <t>OTLs time</t>
  </si>
  <si>
    <t>QI Operations</t>
  </si>
  <si>
    <t>TB Clinic</t>
  </si>
  <si>
    <t>Overheads per person</t>
  </si>
  <si>
    <t>Resource Item</t>
  </si>
  <si>
    <t>Public Portal</t>
  </si>
  <si>
    <t>PHC Manager</t>
  </si>
  <si>
    <t>Service Provision</t>
  </si>
  <si>
    <t xml:space="preserve">Introduction to QI </t>
  </si>
  <si>
    <t>Aurum General Ledger</t>
  </si>
  <si>
    <t>Total</t>
  </si>
  <si>
    <t>Travel to households done on foot</t>
  </si>
  <si>
    <t>Sub-total</t>
  </si>
  <si>
    <t>Typical clinic</t>
  </si>
  <si>
    <t xml:space="preserve">Insurance </t>
  </si>
  <si>
    <t>Municipality bill</t>
  </si>
  <si>
    <t>Monthly CTC</t>
  </si>
  <si>
    <t>Community Health Workers</t>
  </si>
  <si>
    <t>Building and Furniture</t>
  </si>
  <si>
    <t>Boardroom space</t>
  </si>
  <si>
    <t>Quantity</t>
  </si>
  <si>
    <t>Outreach Team Leader</t>
  </si>
  <si>
    <t>Resolution doc</t>
  </si>
  <si>
    <t>IT charge - QI Advisor</t>
  </si>
  <si>
    <t xml:space="preserve">Rental </t>
  </si>
  <si>
    <t xml:space="preserve">Training - QI Coach </t>
  </si>
  <si>
    <t xml:space="preserve">Training - TB nurse </t>
  </si>
  <si>
    <t>Three training manuals per CHW</t>
  </si>
  <si>
    <t>Technical Support/Medical Specialist</t>
  </si>
  <si>
    <t>FTE on WBOTs is 50% in entire district. Oversees 74 clinics in EKN district. Study took place in 2 clinics.</t>
  </si>
  <si>
    <t>FTE on WBOTs is 100%. Manages 74 clinics in EKN district. Study took place in 2 clinics.</t>
  </si>
  <si>
    <t>FTE on WBOTs is 20% in entire district. Oversees 74 clinics in EKN district. Study took place in 2 clinics.</t>
  </si>
  <si>
    <t>FTE %</t>
  </si>
  <si>
    <t>EQUIPMENT</t>
  </si>
  <si>
    <t>Item description</t>
  </si>
  <si>
    <t xml:space="preserve">Unit Price (ZAR) </t>
  </si>
  <si>
    <t>PV Annuity Factor (10.5%)</t>
  </si>
  <si>
    <t>Biohazard Box</t>
  </si>
  <si>
    <t>Cooler Box</t>
  </si>
  <si>
    <t xml:space="preserve">Filing cabinets </t>
  </si>
  <si>
    <t xml:space="preserve">Fridge </t>
  </si>
  <si>
    <t xml:space="preserve">Laptop / desktop computer </t>
  </si>
  <si>
    <t>Stapler/Staples</t>
  </si>
  <si>
    <t>Storage Boxes</t>
  </si>
  <si>
    <t>Table</t>
  </si>
  <si>
    <t>Xpert Machine</t>
  </si>
  <si>
    <t>SUPPLIES and DRUGS</t>
  </si>
  <si>
    <t xml:space="preserve">Description </t>
  </si>
  <si>
    <t>Unit Price (ZAR) per client</t>
  </si>
  <si>
    <t>A4 book</t>
  </si>
  <si>
    <t>Biohazard Bags</t>
  </si>
  <si>
    <t>Clinical Forms</t>
  </si>
  <si>
    <t>Fasteners/Folders/Hanging Folders</t>
  </si>
  <si>
    <t>Lab Forms</t>
  </si>
  <si>
    <t>Xpert Cartridges, Buffer &amp; Supplies</t>
  </si>
  <si>
    <t>MEDICAL TESTS</t>
  </si>
  <si>
    <t>Unit Price (ZAR)</t>
  </si>
  <si>
    <t>Register (Case ID Register, TB Register)</t>
  </si>
  <si>
    <t>Hand Sanitizer</t>
  </si>
  <si>
    <t>Medical Handwash</t>
  </si>
  <si>
    <t xml:space="preserve">Blood Pressure Machine </t>
  </si>
  <si>
    <t xml:space="preserve">Exam Table </t>
  </si>
  <si>
    <t xml:space="preserve">Otoscope </t>
  </si>
  <si>
    <t>Stethoscope</t>
  </si>
  <si>
    <t>Thermometer</t>
  </si>
  <si>
    <t>Glucometer</t>
  </si>
  <si>
    <t>Sputum Bottle</t>
  </si>
  <si>
    <t xml:space="preserve">Specimen Bags          </t>
  </si>
  <si>
    <t>Alcohol Swabs</t>
  </si>
  <si>
    <t>Dressings</t>
  </si>
  <si>
    <t>Sanitary pads</t>
  </si>
  <si>
    <t>Mid-upper arm circumference tape</t>
  </si>
  <si>
    <t>Unit Cost</t>
  </si>
  <si>
    <t>Total Cost</t>
  </si>
  <si>
    <t xml:space="preserve">Nappies </t>
  </si>
  <si>
    <t>Assuming the CHW supplies get replenished every month.</t>
  </si>
  <si>
    <t>TOTAL COST</t>
  </si>
  <si>
    <t>TB room</t>
  </si>
  <si>
    <t>Gene Xpert test</t>
  </si>
  <si>
    <t xml:space="preserve">N95 </t>
  </si>
  <si>
    <t>Paper towel</t>
  </si>
  <si>
    <t>Baseline assessment</t>
  </si>
  <si>
    <t>Staff Title</t>
  </si>
  <si>
    <t>Professional / Registered Nurse</t>
  </si>
  <si>
    <t>Quality Improvement Advisor</t>
  </si>
  <si>
    <t>Quality Improvement Coach</t>
  </si>
  <si>
    <t>Facility Manager</t>
  </si>
  <si>
    <t>SALARIES (2018-2019)</t>
  </si>
  <si>
    <t xml:space="preserve">WBOT Co-ordinator </t>
  </si>
  <si>
    <t>Details</t>
  </si>
  <si>
    <t>TB Nurse</t>
  </si>
  <si>
    <t>Operational Manager Nursing Grade 2 (PHC)</t>
  </si>
  <si>
    <t>Medical Specialist (sub-speciality) Grade 2</t>
  </si>
  <si>
    <t>Monthly salary (ZAR, Basic+Fringe benefits)</t>
  </si>
  <si>
    <t>Enrolled Nurse/Staff Nurse</t>
  </si>
  <si>
    <t>Variable Cost (per patient)</t>
  </si>
  <si>
    <t>Annual operating days</t>
  </si>
  <si>
    <t>AITA App license</t>
  </si>
  <si>
    <t>Fixed Cost (Program Implementation)</t>
  </si>
  <si>
    <t>Capital (Implementation)</t>
  </si>
  <si>
    <t>Training (Implementation)</t>
  </si>
  <si>
    <t>ELY</t>
  </si>
  <si>
    <t>= back-calculated</t>
  </si>
  <si>
    <t>Annual salary (ZAR)</t>
  </si>
  <si>
    <t>QI Coach Timesheets</t>
  </si>
  <si>
    <t>Note: reimbursed 3.55 Rand/km traveled</t>
  </si>
  <si>
    <t>Notes</t>
  </si>
  <si>
    <t># of OTLs over 2 days</t>
  </si>
  <si>
    <t>CHWs time</t>
  </si>
  <si>
    <t>Capital (Existing Infrastructure)</t>
  </si>
  <si>
    <t>Overhead</t>
  </si>
  <si>
    <t>Quality Improvement</t>
  </si>
  <si>
    <t>Frequency/year</t>
  </si>
  <si>
    <t>Nurse salaries monthly and annually, assuming 50% TB effort</t>
  </si>
  <si>
    <t>Capital (Existing Infra)</t>
  </si>
  <si>
    <t>Good if no costs</t>
  </si>
  <si>
    <t>22 CHWs, so # is 14*22. Assumes 249 working days/year</t>
  </si>
  <si>
    <t>Good for annual once confirm 1 or 2 outreach team leaders</t>
  </si>
  <si>
    <t>Frequency/Year</t>
  </si>
  <si>
    <t>Bi-annual session</t>
  </si>
  <si>
    <t>Changed from 4 to 8 (2 day sessions)</t>
  </si>
  <si>
    <t>based on 22 CHW, check if get manuals 1 or 2x a year</t>
  </si>
  <si>
    <t>Both clinics, annual. Divide by 2 to get per clinic cost</t>
  </si>
  <si>
    <t>Travel by QI Coach</t>
  </si>
  <si>
    <t>Should we use this office space for CHW as well?</t>
  </si>
  <si>
    <t>Office space makes sense to me, but see if more costs</t>
  </si>
  <si>
    <t>Frequency is # of trips/year</t>
  </si>
  <si>
    <t>Examination Light</t>
  </si>
  <si>
    <t>UV Light</t>
  </si>
  <si>
    <t>From Xpel. Figure out where to put this/what the frequency would be</t>
  </si>
  <si>
    <t>Calculated from Hojoon's paper, inflated to 2020 Rand</t>
  </si>
  <si>
    <t>https://www.ncbi.nlm.nih.gov/pmc/articles/PMC6635914/</t>
  </si>
  <si>
    <t>8.75 from Naidoo 2016, inflated from 2013 to 2019 USD then converted to Rand</t>
  </si>
  <si>
    <t>No travel, it's the TB clinic</t>
  </si>
  <si>
    <t>UV tube light, ELY = 1 year</t>
  </si>
  <si>
    <t>200 frequency was given to me, also used for ssm, culture, and tst but no basis for it</t>
  </si>
  <si>
    <t>Community Health</t>
  </si>
  <si>
    <t>Includes</t>
  </si>
  <si>
    <t>Training, new Capital, overhead, travel</t>
  </si>
  <si>
    <t>Consumables (cost per patient)</t>
  </si>
  <si>
    <t>Salaries of staff and supervisors</t>
  </si>
  <si>
    <t>Fixed Cost (Existing Infrastructure)</t>
  </si>
  <si>
    <t>Direct HR (Implementation)</t>
  </si>
  <si>
    <t>Expense Type</t>
  </si>
  <si>
    <t>Type of Cost</t>
  </si>
  <si>
    <t>Annual Expense</t>
  </si>
  <si>
    <t>For both clinics combined</t>
  </si>
  <si>
    <t>1 per CHW</t>
  </si>
  <si>
    <t>Seems reasonable, no existing infrastructure for QI</t>
  </si>
  <si>
    <t>Car</t>
  </si>
  <si>
    <t>No consumables for QI Coach (assume)</t>
  </si>
  <si>
    <t>No new capital with implementation, seems reasonable b/c focus on CHW</t>
  </si>
  <si>
    <t>Weighted by ELY, so no frequency/year.</t>
  </si>
  <si>
    <t>Why 50% FTE?</t>
  </si>
  <si>
    <t>NOTE: Here, Unit Cost is per-year, based on ELY</t>
  </si>
  <si>
    <t>Good, can give per clinic if needed. Annual</t>
  </si>
  <si>
    <t>Good, annual, by clinic. But make sure only one nurse for TB</t>
  </si>
  <si>
    <t>Good, annual by clinic</t>
  </si>
  <si>
    <t>Annual Equip Cost</t>
  </si>
  <si>
    <t>Decide on ELY and quantity per clinic. Annual</t>
  </si>
  <si>
    <t>Equipment</t>
  </si>
  <si>
    <t>Staff</t>
  </si>
  <si>
    <t>Implementation</t>
  </si>
  <si>
    <t>CHWs</t>
  </si>
  <si>
    <t>QI Coach</t>
  </si>
  <si>
    <t>Cost Category</t>
  </si>
  <si>
    <t>Per-Patient</t>
  </si>
  <si>
    <t>Building</t>
  </si>
  <si>
    <t>Staff + Supervisor Salaries, annual</t>
  </si>
  <si>
    <t>Includes all equipment (existing and implementation), annual</t>
  </si>
  <si>
    <t>Assuming unit cost is for 2 days, so listing frequency as 2 (2*2 =4)</t>
  </si>
  <si>
    <t>Total Annual Cost</t>
  </si>
  <si>
    <t>Fixed Versus Variable Costs</t>
  </si>
  <si>
    <t>Does not include equipment purchased for implementation</t>
  </si>
  <si>
    <t>This is an aggregate, based on # of patients (which is not available currently)</t>
  </si>
  <si>
    <t>Existing capital + building</t>
  </si>
  <si>
    <t>HP brand, 5 ELY for now</t>
  </si>
  <si>
    <t>Laptop</t>
  </si>
  <si>
    <t>Tablet</t>
  </si>
  <si>
    <t>One per clinic, cost/year. (5 ELY) Double-check cost estimate, 2 values</t>
  </si>
  <si>
    <t>Calculation is just 10% of equipment costs</t>
  </si>
  <si>
    <t>Annual, based on ELY</t>
  </si>
  <si>
    <t>Salaries, apportion to TB-specific services</t>
  </si>
  <si>
    <t>Both clinics, annual. Good once apportion % TB from TAM</t>
  </si>
  <si>
    <t>This is good if assume monthly refill and each CHW (pair) gets own.</t>
  </si>
  <si>
    <t>Assuming this training covers 2 facilities but not anymore than that</t>
  </si>
  <si>
    <t>Apportion all of this to TB versus other activities (focus on total cost for now)</t>
  </si>
  <si>
    <t>Rand to USD 2019:   (https://data.worldbank.org/indicator/PA.NUS.FCRF?locations=ZA)</t>
  </si>
  <si>
    <t>Annual for each clinic, assumes 1 QI coach per 3 clinics</t>
  </si>
  <si>
    <t>Good if no other overhead costs. Annual, assumes 1 QI coach per 3 clinics</t>
  </si>
  <si>
    <t>100 sheets in a unit, assumes 72 rolls a year (based on price estimate of 7200 sheets)</t>
  </si>
  <si>
    <t>Overtime</t>
  </si>
  <si>
    <t>Supervision (non-site)</t>
  </si>
  <si>
    <t>Admin</t>
  </si>
  <si>
    <t>Training</t>
  </si>
  <si>
    <t>Data Review</t>
  </si>
  <si>
    <t>Meetings</t>
  </si>
  <si>
    <t>Category</t>
  </si>
  <si>
    <t>Total Hours Per Week (QI Coach TAM)</t>
  </si>
  <si>
    <t>Average %</t>
  </si>
  <si>
    <t>Admin costs for CHWs, 10% of total cost</t>
  </si>
  <si>
    <t>Estimate</t>
  </si>
  <si>
    <t>NEW COST, just 10% of total cost, calculated across the board</t>
  </si>
  <si>
    <t>Calculated after total costs</t>
  </si>
  <si>
    <t>Overhead Admin Costs</t>
  </si>
  <si>
    <t>Total with Overhead</t>
  </si>
  <si>
    <t>Added after total</t>
  </si>
  <si>
    <t>Admin costs for TB clinic 10% of total cost</t>
  </si>
  <si>
    <t>Includes 10% of total cost as overhead for each group</t>
  </si>
  <si>
    <t>Assumes 10% of total costs as administrative overhead (for each group)</t>
  </si>
  <si>
    <t>First-Year Costs by Category</t>
  </si>
  <si>
    <t>Clinic specific assumes equal cost for OTL, facilitator, venue, but CHW varies</t>
  </si>
  <si>
    <t>Apportioned AITA + tablet by # of CHWs, then one laptop per site</t>
  </si>
  <si>
    <t>Assumes cost per pair, not CHW. Apportioned to clinics by # of CHWs</t>
  </si>
  <si>
    <t>Per CHW pair (NOTE: Unit cost is cost per year, adjusted for ELY); 5ELY</t>
  </si>
  <si>
    <t>Per CHW pair (NOTE: Unit cost is cost per year, adjusted for ELY); 5 ELY</t>
  </si>
  <si>
    <t>Per CHW pair (NOTE: Unit cost is cost per year, adjusted for ELY); 2 ELY</t>
  </si>
  <si>
    <t>Annual</t>
  </si>
  <si>
    <t>With Overhead Admin</t>
  </si>
  <si>
    <t>Total (no 10% overhead)</t>
  </si>
  <si>
    <t>Community Health Worker Expenses by Clinic, Annual</t>
  </si>
  <si>
    <t>One per WBOT pair, assume annual expense (no ELY)</t>
  </si>
  <si>
    <t>For now, assume a capital cost and not annual (5 ELY)</t>
  </si>
  <si>
    <t>One per WBOT pair, cost/year (5 ELY).</t>
  </si>
  <si>
    <t>Assumed annual expense for AITA app, 5 ELY for tablet and laptop. Insurance is 10% of annual cost.</t>
  </si>
  <si>
    <t>Assumed 5 ELY for glucometer and blood pressure machine, 2 ELY for arm circumference tape. Cost is per PAIR of CHWs.</t>
  </si>
  <si>
    <t>For first year only, assumes training costs will cover these 2 clinics and no additional clinics. For additional years, will assume 50% of these costs recur annually after initiation.</t>
  </si>
  <si>
    <t>Assumes equal effort at both clinics by WBOT coordinator and technical support. An "administrative" overhead expense is also added to each site, based on 10% of the total annual cost at each site.</t>
  </si>
  <si>
    <t>Assumes one outreach team leader at each site (with equal pay), and a PHC manager shared by 74 clinics</t>
  </si>
  <si>
    <t>Does not include 10% admin cost, though this is included in the summary table</t>
  </si>
  <si>
    <t>This cost comes with an asterisk. It's variable, and is based on service volume at each site. Right now, assumes 100 patients/month for each pair of CHWs.</t>
  </si>
  <si>
    <t>Assume no travel expenses for CHWs, as they travel on foot</t>
  </si>
  <si>
    <t>5 ELYs for desks and chairs. Cost of renting boardroom is estimated as 20% the cost of renting the COPC venue</t>
  </si>
  <si>
    <t>Average cost of a used car in South Africa, 2019 (10 ELY). Source: Autotrader</t>
  </si>
  <si>
    <t>Source: TAM Report</t>
  </si>
  <si>
    <t>Assumed as 10% of annual car expense</t>
  </si>
  <si>
    <t>Assumes 5% of effort for QI Advisor across all three clinics, then divvied even</t>
  </si>
  <si>
    <t>QI Coach Expenses by Clinic, Annual</t>
  </si>
  <si>
    <t>As of now, no measures for training expenses for QI Coach. Figure out best way to estimate cost of trainings.</t>
  </si>
  <si>
    <t>Assuming no existing infrastructure for QI coaches</t>
  </si>
  <si>
    <t>Assumes 1 QI coach for 3 clinics, divided expenses by % effort at each clinic (from TAM)</t>
  </si>
  <si>
    <t>Assumes that 5% of total supervision effort (salary) is split evenly across the three clinics</t>
  </si>
  <si>
    <t>Assumes IT cost is annual, not monthly. Includes admin overhead, 10% of total costs</t>
  </si>
  <si>
    <t>Capital, overall</t>
  </si>
  <si>
    <t>Based on % effort, assuming coach works at 3 clinics (TAM)</t>
  </si>
  <si>
    <t>Assuming no consumables for QI coach</t>
  </si>
  <si>
    <t>Reimbursed at 3.55 Rand/km. From QI Coach Travel Table</t>
  </si>
  <si>
    <t xml:space="preserve">Assuming one car per QI coach. </t>
  </si>
  <si>
    <t>Car - QI Coach (total)</t>
  </si>
  <si>
    <t>Assume $5/notebook, new notebook every 3 months. Mult by % effort/clinic</t>
  </si>
  <si>
    <t>Divide this by 3 when calculating cost/site</t>
  </si>
  <si>
    <t>Implementation Capital</t>
  </si>
  <si>
    <t>Per clinic cost</t>
  </si>
  <si>
    <t>Cost varies based on patient volume, this is not a fixed cost.</t>
  </si>
  <si>
    <t>Costs By Clinic</t>
  </si>
  <si>
    <t>TB Clinic Expenses by Site, Annual</t>
  </si>
  <si>
    <t>Annual, but assumes same equipment in each clinic</t>
  </si>
  <si>
    <t>Administrative Overhead, Total</t>
  </si>
  <si>
    <t>Key WBOT activities</t>
  </si>
  <si>
    <t xml:space="preserve">Overall </t>
  </si>
  <si>
    <t>(all 11 WBOT pairs combined)</t>
  </si>
  <si>
    <t>(7 WBOT pairs)</t>
  </si>
  <si>
    <t>(4 WBOT pairs)</t>
  </si>
  <si>
    <t>Mean time (minutes)</t>
  </si>
  <si>
    <t>Total person-minutes</t>
  </si>
  <si>
    <t>Total Freq.</t>
  </si>
  <si>
    <t>Household follow-up visit</t>
  </si>
  <si>
    <t>Household follow-up w/ additional patient registration</t>
  </si>
  <si>
    <t>NR</t>
  </si>
  <si>
    <t>N/A</t>
  </si>
  <si>
    <t>Household registration visit</t>
  </si>
  <si>
    <t>Tracing visit for other disease</t>
  </si>
  <si>
    <t>Tracing visit for TB</t>
  </si>
  <si>
    <t>%TB</t>
  </si>
  <si>
    <t>Assumes 10 uses per mask</t>
  </si>
  <si>
    <t>Per-Patient. Includes consumables.</t>
  </si>
  <si>
    <t>Annual Expense. Includes salaries of staff and supervisors.</t>
  </si>
  <si>
    <t>Cost per year, based on ELY. 50% "effort" here, because capital shared with TB ward and rest of hospital. Split evenly because cannot tell how much furniture/quantity at each clinic individually.</t>
  </si>
  <si>
    <t>Assumes 50% effort by nurses for TB patients. Also assumes one TB nurse per clinic, equal salary for both.</t>
  </si>
  <si>
    <t>Assumes 10% FTE by the facility manager for the TB clinic. One manager per clinic, and equal pay at both.</t>
  </si>
  <si>
    <t>Includes 10% overhead costs for admin.</t>
  </si>
  <si>
    <t>No travel, everything done at the TB clinic.</t>
  </si>
  <si>
    <t>Assumes no new capital with implementation at the TB clinic.</t>
  </si>
  <si>
    <t>Annual Expense, includes Training, New Capital, Overhead, and Travel.</t>
  </si>
  <si>
    <t>Annual Expense, includes Existing Capital and Building Expenses.</t>
  </si>
  <si>
    <t>Good, but will be per patient. Assigned quantity of "0" to lab-based consumable items.</t>
  </si>
  <si>
    <t>Costs by Category (clinic-level)</t>
  </si>
  <si>
    <t>Fixed Versus Variable Costs (clinic-level)</t>
  </si>
  <si>
    <t>Annuity Calculation</t>
  </si>
  <si>
    <t>Discount Rate</t>
  </si>
  <si>
    <t>Variable - at designated discount rate</t>
  </si>
  <si>
    <t>1 or 2 outreach team leaders? Are they CHW, or separate people?</t>
  </si>
  <si>
    <t>5% of total effort for our QI coach. Divided by 1/3 for the 3 clinics. Annual</t>
  </si>
  <si>
    <t>(To reset to Rand, set cell E1 to a value of "1". To read in USD, set cell E1 to a value of "0.069212373").</t>
  </si>
  <si>
    <t>Only has office space for QI coach + advisor. Assumes 5% of total advisor office is spent by these three clinics, split evenly among them.</t>
  </si>
  <si>
    <t>Motubatse (estimate), oil + gas</t>
  </si>
  <si>
    <t>Motubatse (estimate), phone</t>
  </si>
  <si>
    <t>Motubatse (estimate), stationary</t>
  </si>
  <si>
    <t>Inflation rate (consumer prices)</t>
  </si>
  <si>
    <t>2014 cost, inflated. And, taken from a different clinic. No electricity estimate</t>
  </si>
  <si>
    <t>Assuming no training for nurses at TB clinics</t>
  </si>
  <si>
    <t>Assuming this cost is included in the TB room cost.</t>
  </si>
  <si>
    <t>Estimate. 25 sq. meters. Cost of 17163.62 per sq meter in 2018</t>
  </si>
  <si>
    <t>Estimate from Rachel, includes fringe</t>
  </si>
  <si>
    <t>Email from QI Advisor</t>
  </si>
  <si>
    <t>Practical assessments during site visits</t>
  </si>
  <si>
    <t>Excel Training</t>
  </si>
  <si>
    <t>CHWs used the boardroom from 1- 4pm Monday to Thursday (when they come back from their HH visits) and 8am-2pm on Fridays for admin work</t>
  </si>
  <si>
    <t>4.92 is unit cost per six hours (original estimate for 8-2 F). Mult by 3 to capture the additional 12 hours (1-4 M-R) that CHWs use this space</t>
  </si>
  <si>
    <t>Note: No office space for CHWs, they used the boardroom</t>
  </si>
  <si>
    <t>50 per CHW pair</t>
  </si>
  <si>
    <t>TRAININGS</t>
  </si>
  <si>
    <t>Venue Rental</t>
  </si>
  <si>
    <t>Facilitator Fee</t>
  </si>
  <si>
    <t>Training Materials</t>
  </si>
  <si>
    <t>OTL</t>
  </si>
  <si>
    <t>33% annual "refresher training" cost</t>
  </si>
  <si>
    <t>A cost of 1/3 the total initial training costs, to be incurred annually for "retention" training</t>
  </si>
  <si>
    <t>5 ELY</t>
  </si>
  <si>
    <t>CHW Salary</t>
  </si>
  <si>
    <t>Total cost includes a 33% "retention" fee. Annual cost assuming 5 ELY</t>
  </si>
  <si>
    <t>CHW--Clinic 1</t>
  </si>
  <si>
    <t>CHW--Clinic 2</t>
  </si>
  <si>
    <t>QI--Clinic 1</t>
  </si>
  <si>
    <t>QI--Clinic 2</t>
  </si>
  <si>
    <t>TB--Clinic1</t>
  </si>
  <si>
    <t>TB--Clinic 2</t>
  </si>
  <si>
    <t>Clinic1</t>
  </si>
  <si>
    <t>Clinic 2</t>
  </si>
  <si>
    <t>Clinic 1</t>
  </si>
  <si>
    <t>Assumes 10 ELY for a car. Car cost based on average cost of a used car in SA, 2019. Total cost is divided across clinics based on the % effort of QI coach at each clinic from TAM. Added 10% of total capital cost as insurance, annually.</t>
  </si>
  <si>
    <t>Assumes CHW salary of $2906.98 annually. Apportioned 0.32% (Clinic 1) and 0.59% (Clinic 2) to TB care based on TAM</t>
  </si>
  <si>
    <t>Study Records</t>
  </si>
  <si>
    <t>Capital, Clinic 1</t>
  </si>
  <si>
    <t>Capital, Clinic 2</t>
  </si>
  <si>
    <t>Insurance, Clinic 1</t>
  </si>
  <si>
    <t>Car - QI Coach, Clinic 2</t>
  </si>
  <si>
    <t>Insurance, Clinic 2</t>
  </si>
  <si>
    <t>Overall Existing Capital, Clinic 1</t>
  </si>
  <si>
    <t>Overall Existing Capital, Clinic 2</t>
  </si>
  <si>
    <t>Split in half, equal cost to both clinics</t>
  </si>
  <si>
    <t>Salary, Clinic 1</t>
  </si>
  <si>
    <t>Salary, Clinic 2</t>
  </si>
  <si>
    <t>Overall Supervision, Clinic 1</t>
  </si>
  <si>
    <t>Overall Supervision, Clinic 2</t>
  </si>
  <si>
    <t>IT charge - QI Coach --Clinic 1</t>
  </si>
  <si>
    <t>IT charge - QI Coach --Clinic 2</t>
  </si>
  <si>
    <t>Stationary (QI Coach)--Clinic 1</t>
  </si>
  <si>
    <t>Stationary (QI Coach)--Clinic 2</t>
  </si>
  <si>
    <t>Administrative Overhead, Clinic 1</t>
  </si>
  <si>
    <t>Administrative Overhead, Clinic 2</t>
  </si>
  <si>
    <t>Alcohol Swabs--Clinic 1</t>
  </si>
  <si>
    <t>Dressings--Clinic 1</t>
  </si>
  <si>
    <t>Gloves--Clinic 1</t>
  </si>
  <si>
    <t>Nappies --Clinic 1</t>
  </si>
  <si>
    <t>Sanitary pads--Clinic 1</t>
  </si>
  <si>
    <t>Alcohol Swabs--Clinic 2</t>
  </si>
  <si>
    <t>Dressings--Clinic 2</t>
  </si>
  <si>
    <t>Gloves--Clinic 2</t>
  </si>
  <si>
    <t>Nappies --Clinic 2</t>
  </si>
  <si>
    <t>Sanitary pads--Clinic 2</t>
  </si>
  <si>
    <t>Office space - QI Coach, Clinic 1</t>
  </si>
  <si>
    <t>Office space - QI Coach, Clinic 2</t>
  </si>
  <si>
    <t xml:space="preserve">Clinic 2 </t>
  </si>
  <si>
    <t>Clinic 3 (uncosted in this study)</t>
  </si>
  <si>
    <t>7 WBOT pairs at Clinic 1</t>
  </si>
  <si>
    <t>4 WBOT pairs at Clinic 2</t>
  </si>
  <si>
    <t>ASIBAMBISANE COSTING - 12 month period - WBOT Operations at two clinics, Ekurhuleni District</t>
  </si>
  <si>
    <t>Overall Cost, Clinic 1</t>
  </si>
  <si>
    <t>Overall Cost, Clinic 2</t>
  </si>
  <si>
    <t>Car - QI Coach, Clinic 1</t>
  </si>
  <si>
    <t>Overall Capital Clinic 1</t>
  </si>
  <si>
    <t>Overall Capital Clinic 2</t>
  </si>
  <si>
    <t>Equipment existing, Clinic 1</t>
  </si>
  <si>
    <t>Equipment existing, Clinic 2</t>
  </si>
  <si>
    <t>Monthly Salary--Clinic 1</t>
  </si>
  <si>
    <t>Monthly Salary--Clinic 2</t>
  </si>
  <si>
    <t>Supervision, Clinic 1</t>
  </si>
  <si>
    <t>Supervision, Clinic 2</t>
  </si>
  <si>
    <t>Overhead--Clinic 1</t>
  </si>
  <si>
    <t>Overhead--Clinic 2</t>
  </si>
  <si>
    <t>Admin costs for CHWs at Clinic 1 10% of total clinic cost</t>
  </si>
  <si>
    <t>Admin costs for CHWs at Clinic 2 10% of total clinic cost</t>
  </si>
  <si>
    <t>Consumables, Clinic 1</t>
  </si>
  <si>
    <t>Consumables, Clinic 2</t>
  </si>
  <si>
    <t>Office space - QI Advisor, Clinic 1</t>
  </si>
  <si>
    <t>Office space - QI Advisor, Clinic 2</t>
  </si>
  <si>
    <t>Training Costs, Clinic 1</t>
  </si>
  <si>
    <t>Training Costs, Clinic 2</t>
  </si>
  <si>
    <t>Equipment imp, Clinic 1</t>
  </si>
  <si>
    <t>Equipment imp, Clinic 2</t>
  </si>
  <si>
    <t>QI Advisor, Clinic 1</t>
  </si>
  <si>
    <t>QI Advisor, Clinic 2</t>
  </si>
  <si>
    <t>Overhead Admin--Clinic 1</t>
  </si>
  <si>
    <t>Overhead Admin--Clinic 2</t>
  </si>
  <si>
    <t>Building/Furniture--Clinic 1</t>
  </si>
  <si>
    <t>Building/Furniture--Clinic 2</t>
  </si>
  <si>
    <t>Overhead Admin, Clinic 1</t>
  </si>
  <si>
    <t>Overhead Admin, Clinic 2</t>
  </si>
  <si>
    <t>P-value (mean time, Clinic 1 vs. Clinic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</si>
</sst>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R&quot;* #,##0.00_-;\-&quot;R&quot;* #,##0.00_-;_-&quot;R&quot;* &quot;-&quot;??_-;_-@_-"/>
    <numFmt numFmtId="165" formatCode="_-* #,##0.00_-;\-* #,##0.00_-;_-* &quot;-&quot;??_-;_-@_-"/>
    <numFmt numFmtId="166" formatCode="0.0000"/>
    <numFmt numFmtId="167" formatCode="_ [$R-1C09]\ * #,##0.00_ ;_ [$R-1C09]\ * \-#,##0.00_ ;_ [$R-1C09]\ * &quot;-&quot;??_ ;_ @_ "/>
    <numFmt numFmtId="169" formatCode="0.00000000000000"/>
    <numFmt numFmtId="170" formatCode="0.00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1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1"/>
      <name val="Calibri"/>
    </font>
    <font>
      <b/>
      <sz val="24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i/>
      <sz val="9"/>
      <color rgb="FF000000"/>
      <name val="Calibri"/>
      <scheme val="minor"/>
    </font>
    <font>
      <i/>
      <sz val="9"/>
      <color rgb="FF000000"/>
      <name val="Calibri"/>
      <scheme val="minor"/>
    </font>
    <font>
      <i/>
      <sz val="10"/>
      <color rgb="FF000000"/>
      <name val="Calibri"/>
      <scheme val="minor"/>
    </font>
    <font>
      <sz val="10"/>
      <color rgb="FF000000"/>
      <name val="Calibri"/>
      <scheme val="minor"/>
    </font>
    <font>
      <u/>
      <sz val="10"/>
      <color theme="1"/>
      <name val="Calibri"/>
      <family val="2"/>
      <scheme val="minor"/>
    </font>
    <font>
      <sz val="11"/>
      <color rgb="FF0070C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</fills>
  <borders count="7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</borders>
  <cellStyleXfs count="273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449">
    <xf numFmtId="0" fontId="0" fillId="0" borderId="0" xfId="0"/>
    <xf numFmtId="0" fontId="5" fillId="0" borderId="0" xfId="0" applyFont="1"/>
    <xf numFmtId="0" fontId="6" fillId="5" borderId="24" xfId="0" applyFont="1" applyFill="1" applyBorder="1" applyAlignment="1">
      <alignment horizontal="left" vertical="center"/>
    </xf>
    <xf numFmtId="0" fontId="5" fillId="5" borderId="12" xfId="1" applyFont="1" applyFill="1" applyBorder="1"/>
    <xf numFmtId="0" fontId="5" fillId="5" borderId="13" xfId="1" applyFont="1" applyFill="1" applyBorder="1"/>
    <xf numFmtId="0" fontId="5" fillId="5" borderId="25" xfId="1" applyFont="1" applyFill="1" applyBorder="1"/>
    <xf numFmtId="0" fontId="6" fillId="5" borderId="12" xfId="0" applyFont="1" applyFill="1" applyBorder="1"/>
    <xf numFmtId="0" fontId="6" fillId="5" borderId="13" xfId="0" applyFont="1" applyFill="1" applyBorder="1"/>
    <xf numFmtId="0" fontId="6" fillId="5" borderId="25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5" borderId="11" xfId="0" applyFont="1" applyFill="1" applyBorder="1"/>
    <xf numFmtId="0" fontId="5" fillId="5" borderId="15" xfId="0" applyFont="1" applyFill="1" applyBorder="1"/>
    <xf numFmtId="0" fontId="10" fillId="0" borderId="26" xfId="0" applyFont="1" applyBorder="1" applyAlignment="1"/>
    <xf numFmtId="0" fontId="5" fillId="5" borderId="15" xfId="1" applyFont="1" applyFill="1" applyBorder="1"/>
    <xf numFmtId="0" fontId="11" fillId="0" borderId="0" xfId="0" applyFont="1"/>
    <xf numFmtId="0" fontId="5" fillId="5" borderId="22" xfId="0" applyFont="1" applyFill="1" applyBorder="1"/>
    <xf numFmtId="0" fontId="5" fillId="7" borderId="6" xfId="1" applyFont="1" applyFill="1" applyBorder="1"/>
    <xf numFmtId="0" fontId="5" fillId="7" borderId="10" xfId="1" applyFont="1" applyFill="1" applyBorder="1"/>
    <xf numFmtId="0" fontId="5" fillId="7" borderId="1" xfId="1" applyFont="1" applyFill="1" applyBorder="1" applyAlignment="1">
      <alignment wrapText="1"/>
    </xf>
    <xf numFmtId="0" fontId="5" fillId="7" borderId="23" xfId="1" applyFont="1" applyFill="1" applyBorder="1"/>
    <xf numFmtId="0" fontId="5" fillId="7" borderId="1" xfId="1" applyFont="1" applyFill="1" applyBorder="1"/>
    <xf numFmtId="0" fontId="5" fillId="7" borderId="2" xfId="1" applyFont="1" applyFill="1" applyBorder="1"/>
    <xf numFmtId="0" fontId="5" fillId="7" borderId="1" xfId="1" applyFont="1" applyFill="1" applyBorder="1" applyAlignment="1"/>
    <xf numFmtId="0" fontId="5" fillId="7" borderId="2" xfId="1" applyFont="1" applyFill="1" applyBorder="1" applyAlignment="1"/>
    <xf numFmtId="0" fontId="5" fillId="7" borderId="17" xfId="1" applyFont="1" applyFill="1" applyBorder="1"/>
    <xf numFmtId="0" fontId="5" fillId="7" borderId="3" xfId="1" applyFont="1" applyFill="1" applyBorder="1" applyAlignment="1"/>
    <xf numFmtId="0" fontId="5" fillId="7" borderId="4" xfId="1" applyFont="1" applyFill="1" applyBorder="1"/>
    <xf numFmtId="0" fontId="5" fillId="7" borderId="5" xfId="1" applyFont="1" applyFill="1" applyBorder="1"/>
    <xf numFmtId="0" fontId="5" fillId="7" borderId="8" xfId="1" applyFont="1" applyFill="1" applyBorder="1"/>
    <xf numFmtId="0" fontId="5" fillId="7" borderId="9" xfId="1" applyFont="1" applyFill="1" applyBorder="1"/>
    <xf numFmtId="0" fontId="5" fillId="7" borderId="6" xfId="2" applyFont="1" applyFill="1" applyBorder="1"/>
    <xf numFmtId="0" fontId="5" fillId="7" borderId="4" xfId="2" applyFont="1" applyFill="1" applyBorder="1"/>
    <xf numFmtId="0" fontId="5" fillId="7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7" borderId="1" xfId="0" applyFont="1" applyFill="1" applyBorder="1"/>
    <xf numFmtId="0" fontId="5" fillId="7" borderId="5" xfId="2" applyFont="1" applyFill="1" applyBorder="1"/>
    <xf numFmtId="9" fontId="5" fillId="7" borderId="5" xfId="2" applyNumberFormat="1" applyFont="1" applyFill="1" applyBorder="1"/>
    <xf numFmtId="0" fontId="5" fillId="7" borderId="1" xfId="2" applyFont="1" applyFill="1" applyBorder="1"/>
    <xf numFmtId="9" fontId="5" fillId="7" borderId="1" xfId="2" applyNumberFormat="1" applyFont="1" applyFill="1" applyBorder="1"/>
    <xf numFmtId="9" fontId="5" fillId="7" borderId="5" xfId="1" applyNumberFormat="1" applyFont="1" applyFill="1" applyBorder="1"/>
    <xf numFmtId="0" fontId="6" fillId="8" borderId="21" xfId="0" applyFont="1" applyFill="1" applyBorder="1" applyAlignment="1"/>
    <xf numFmtId="0" fontId="6" fillId="6" borderId="24" xfId="0" applyFont="1" applyFill="1" applyBorder="1" applyAlignment="1"/>
    <xf numFmtId="1" fontId="5" fillId="7" borderId="5" xfId="2" applyNumberFormat="1" applyFont="1" applyFill="1" applyBorder="1"/>
    <xf numFmtId="1" fontId="5" fillId="7" borderId="1" xfId="2" applyNumberFormat="1" applyFont="1" applyFill="1" applyBorder="1"/>
    <xf numFmtId="3" fontId="5" fillId="7" borderId="1" xfId="2" applyNumberFormat="1" applyFont="1" applyFill="1" applyBorder="1"/>
    <xf numFmtId="0" fontId="5" fillId="7" borderId="5" xfId="1" applyFont="1" applyFill="1" applyBorder="1" applyAlignment="1">
      <alignment wrapText="1"/>
    </xf>
    <xf numFmtId="0" fontId="5" fillId="7" borderId="8" xfId="0" applyFont="1" applyFill="1" applyBorder="1"/>
    <xf numFmtId="0" fontId="5" fillId="7" borderId="9" xfId="0" applyFont="1" applyFill="1" applyBorder="1"/>
    <xf numFmtId="9" fontId="5" fillId="7" borderId="5" xfId="3" applyFont="1" applyFill="1" applyBorder="1" applyAlignment="1"/>
    <xf numFmtId="1" fontId="5" fillId="7" borderId="5" xfId="0" applyNumberFormat="1" applyFont="1" applyFill="1" applyBorder="1" applyAlignment="1"/>
    <xf numFmtId="9" fontId="5" fillId="7" borderId="1" xfId="3" applyFont="1" applyFill="1" applyBorder="1" applyAlignment="1"/>
    <xf numFmtId="1" fontId="5" fillId="7" borderId="1" xfId="0" applyNumberFormat="1" applyFont="1" applyFill="1" applyBorder="1" applyAlignment="1"/>
    <xf numFmtId="1" fontId="5" fillId="7" borderId="5" xfId="1" applyNumberFormat="1" applyFont="1" applyFill="1" applyBorder="1"/>
    <xf numFmtId="4" fontId="5" fillId="7" borderId="5" xfId="0" applyNumberFormat="1" applyFont="1" applyFill="1" applyBorder="1"/>
    <xf numFmtId="9" fontId="5" fillId="7" borderId="1" xfId="3" applyFont="1" applyFill="1" applyBorder="1"/>
    <xf numFmtId="9" fontId="5" fillId="7" borderId="1" xfId="0" applyNumberFormat="1" applyFont="1" applyFill="1" applyBorder="1"/>
    <xf numFmtId="0" fontId="6" fillId="5" borderId="19" xfId="0" applyFont="1" applyFill="1" applyBorder="1" applyAlignment="1">
      <alignment horizontal="left" vertical="center"/>
    </xf>
    <xf numFmtId="0" fontId="5" fillId="5" borderId="28" xfId="1" applyFont="1" applyFill="1" applyBorder="1"/>
    <xf numFmtId="0" fontId="5" fillId="5" borderId="29" xfId="1" applyFont="1" applyFill="1" applyBorder="1"/>
    <xf numFmtId="0" fontId="5" fillId="5" borderId="30" xfId="1" applyFont="1" applyFill="1" applyBorder="1"/>
    <xf numFmtId="0" fontId="5" fillId="5" borderId="22" xfId="1" applyFont="1" applyFill="1" applyBorder="1"/>
    <xf numFmtId="0" fontId="5" fillId="5" borderId="32" xfId="0" applyFont="1" applyFill="1" applyBorder="1"/>
    <xf numFmtId="0" fontId="6" fillId="6" borderId="33" xfId="0" applyFont="1" applyFill="1" applyBorder="1" applyAlignment="1">
      <alignment horizontal="left" vertical="center"/>
    </xf>
    <xf numFmtId="0" fontId="5" fillId="6" borderId="34" xfId="1" applyFont="1" applyFill="1" applyBorder="1"/>
    <xf numFmtId="0" fontId="5" fillId="6" borderId="34" xfId="0" applyFont="1" applyFill="1" applyBorder="1"/>
    <xf numFmtId="164" fontId="5" fillId="7" borderId="23" xfId="1" applyNumberFormat="1" applyFont="1" applyFill="1" applyBorder="1"/>
    <xf numFmtId="164" fontId="5" fillId="7" borderId="2" xfId="1" applyNumberFormat="1" applyFont="1" applyFill="1" applyBorder="1"/>
    <xf numFmtId="164" fontId="5" fillId="7" borderId="1" xfId="1" applyNumberFormat="1" applyFont="1" applyFill="1" applyBorder="1"/>
    <xf numFmtId="164" fontId="5" fillId="7" borderId="9" xfId="1" applyNumberFormat="1" applyFont="1" applyFill="1" applyBorder="1"/>
    <xf numFmtId="164" fontId="5" fillId="5" borderId="15" xfId="1" applyNumberFormat="1" applyFont="1" applyFill="1" applyBorder="1"/>
    <xf numFmtId="164" fontId="5" fillId="7" borderId="1" xfId="0" applyNumberFormat="1" applyFont="1" applyFill="1" applyBorder="1"/>
    <xf numFmtId="0" fontId="13" fillId="9" borderId="35" xfId="0" applyFont="1" applyFill="1" applyBorder="1"/>
    <xf numFmtId="0" fontId="13" fillId="9" borderId="1" xfId="0" applyFont="1" applyFill="1" applyBorder="1"/>
    <xf numFmtId="0" fontId="13" fillId="9" borderId="7" xfId="0" applyFont="1" applyFill="1" applyBorder="1"/>
    <xf numFmtId="0" fontId="0" fillId="10" borderId="1" xfId="0" applyFont="1" applyFill="1" applyBorder="1"/>
    <xf numFmtId="0" fontId="0" fillId="10" borderId="35" xfId="0" applyFont="1" applyFill="1" applyBorder="1"/>
    <xf numFmtId="166" fontId="0" fillId="10" borderId="1" xfId="0" applyNumberFormat="1" applyFont="1" applyFill="1" applyBorder="1"/>
    <xf numFmtId="166" fontId="0" fillId="10" borderId="35" xfId="0" applyNumberFormat="1" applyFont="1" applyFill="1" applyBorder="1"/>
    <xf numFmtId="0" fontId="0" fillId="10" borderId="6" xfId="0" applyFont="1" applyFill="1" applyBorder="1"/>
    <xf numFmtId="0" fontId="0" fillId="10" borderId="8" xfId="0" applyFont="1" applyFill="1" applyBorder="1"/>
    <xf numFmtId="0" fontId="0" fillId="10" borderId="36" xfId="0" applyFont="1" applyFill="1" applyBorder="1"/>
    <xf numFmtId="0" fontId="0" fillId="0" borderId="0" xfId="0" applyFont="1"/>
    <xf numFmtId="0" fontId="12" fillId="6" borderId="31" xfId="0" applyFont="1" applyFill="1" applyBorder="1"/>
    <xf numFmtId="0" fontId="13" fillId="9" borderId="38" xfId="0" applyFont="1" applyFill="1" applyBorder="1"/>
    <xf numFmtId="0" fontId="13" fillId="9" borderId="6" xfId="0" applyFont="1" applyFill="1" applyBorder="1"/>
    <xf numFmtId="0" fontId="13" fillId="9" borderId="37" xfId="0" applyFont="1" applyFill="1" applyBorder="1"/>
    <xf numFmtId="0" fontId="0" fillId="10" borderId="40" xfId="0" applyFont="1" applyFill="1" applyBorder="1"/>
    <xf numFmtId="0" fontId="0" fillId="10" borderId="6" xfId="0" applyFont="1" applyFill="1" applyBorder="1" applyAlignment="1">
      <alignment horizontal="left"/>
    </xf>
    <xf numFmtId="0" fontId="0" fillId="10" borderId="6" xfId="0" applyFont="1" applyFill="1" applyBorder="1" applyAlignment="1"/>
    <xf numFmtId="0" fontId="13" fillId="9" borderId="39" xfId="0" applyFont="1" applyFill="1" applyBorder="1"/>
    <xf numFmtId="0" fontId="0" fillId="10" borderId="10" xfId="0" applyFont="1" applyFill="1" applyBorder="1"/>
    <xf numFmtId="0" fontId="13" fillId="6" borderId="32" xfId="0" applyFont="1" applyFill="1" applyBorder="1" applyAlignment="1">
      <alignment horizontal="center"/>
    </xf>
    <xf numFmtId="0" fontId="0" fillId="10" borderId="17" xfId="0" applyFont="1" applyFill="1" applyBorder="1"/>
    <xf numFmtId="0" fontId="0" fillId="10" borderId="48" xfId="0" applyFont="1" applyFill="1" applyBorder="1"/>
    <xf numFmtId="0" fontId="5" fillId="7" borderId="4" xfId="0" applyFont="1" applyFill="1" applyBorder="1" applyAlignment="1">
      <alignment horizontal="left"/>
    </xf>
    <xf numFmtId="9" fontId="5" fillId="7" borderId="1" xfId="1" applyNumberFormat="1" applyFont="1" applyFill="1" applyBorder="1"/>
    <xf numFmtId="9" fontId="5" fillId="7" borderId="5" xfId="0" applyNumberFormat="1" applyFont="1" applyFill="1" applyBorder="1"/>
    <xf numFmtId="0" fontId="16" fillId="9" borderId="6" xfId="0" applyFont="1" applyFill="1" applyBorder="1"/>
    <xf numFmtId="0" fontId="16" fillId="9" borderId="7" xfId="0" applyFont="1" applyFill="1" applyBorder="1"/>
    <xf numFmtId="0" fontId="17" fillId="10" borderId="6" xfId="0" applyFont="1" applyFill="1" applyBorder="1"/>
    <xf numFmtId="4" fontId="17" fillId="10" borderId="7" xfId="0" applyNumberFormat="1" applyFont="1" applyFill="1" applyBorder="1"/>
    <xf numFmtId="0" fontId="17" fillId="10" borderId="8" xfId="0" applyFont="1" applyFill="1" applyBorder="1"/>
    <xf numFmtId="4" fontId="17" fillId="10" borderId="27" xfId="0" applyNumberFormat="1" applyFont="1" applyFill="1" applyBorder="1"/>
    <xf numFmtId="0" fontId="5" fillId="7" borderId="29" xfId="0" applyFont="1" applyFill="1" applyBorder="1"/>
    <xf numFmtId="0" fontId="5" fillId="7" borderId="28" xfId="0" applyFont="1" applyFill="1" applyBorder="1"/>
    <xf numFmtId="164" fontId="5" fillId="7" borderId="2" xfId="0" applyNumberFormat="1" applyFont="1" applyFill="1" applyBorder="1"/>
    <xf numFmtId="164" fontId="5" fillId="7" borderId="50" xfId="0" applyNumberFormat="1" applyFont="1" applyFill="1" applyBorder="1"/>
    <xf numFmtId="0" fontId="16" fillId="9" borderId="51" xfId="0" applyFont="1" applyFill="1" applyBorder="1"/>
    <xf numFmtId="0" fontId="17" fillId="10" borderId="51" xfId="0" applyFont="1" applyFill="1" applyBorder="1"/>
    <xf numFmtId="0" fontId="17" fillId="10" borderId="52" xfId="0" applyFont="1" applyFill="1" applyBorder="1"/>
    <xf numFmtId="0" fontId="16" fillId="9" borderId="1" xfId="0" applyFont="1" applyFill="1" applyBorder="1"/>
    <xf numFmtId="0" fontId="17" fillId="10" borderId="1" xfId="0" applyFont="1" applyFill="1" applyBorder="1"/>
    <xf numFmtId="0" fontId="17" fillId="10" borderId="9" xfId="0" applyFont="1" applyFill="1" applyBorder="1"/>
    <xf numFmtId="0" fontId="17" fillId="10" borderId="47" xfId="0" applyFont="1" applyFill="1" applyBorder="1"/>
    <xf numFmtId="0" fontId="17" fillId="10" borderId="53" xfId="0" applyFont="1" applyFill="1" applyBorder="1"/>
    <xf numFmtId="1" fontId="5" fillId="7" borderId="3" xfId="1" applyNumberFormat="1" applyFont="1" applyFill="1" applyBorder="1" applyAlignment="1"/>
    <xf numFmtId="0" fontId="10" fillId="6" borderId="20" xfId="0" applyFont="1" applyFill="1" applyBorder="1" applyAlignment="1">
      <alignment vertical="center" wrapText="1"/>
    </xf>
    <xf numFmtId="164" fontId="5" fillId="7" borderId="49" xfId="1" applyNumberFormat="1" applyFont="1" applyFill="1" applyBorder="1"/>
    <xf numFmtId="167" fontId="0" fillId="10" borderId="1" xfId="0" applyNumberFormat="1" applyFont="1" applyFill="1" applyBorder="1"/>
    <xf numFmtId="167" fontId="0" fillId="10" borderId="1" xfId="4" applyNumberFormat="1" applyFont="1" applyFill="1" applyBorder="1"/>
    <xf numFmtId="167" fontId="17" fillId="10" borderId="51" xfId="0" applyNumberFormat="1" applyFont="1" applyFill="1" applyBorder="1"/>
    <xf numFmtId="167" fontId="17" fillId="10" borderId="7" xfId="0" applyNumberFormat="1" applyFont="1" applyFill="1" applyBorder="1" applyAlignment="1">
      <alignment horizontal="right"/>
    </xf>
    <xf numFmtId="167" fontId="17" fillId="10" borderId="7" xfId="0" applyNumberFormat="1" applyFont="1" applyFill="1" applyBorder="1"/>
    <xf numFmtId="167" fontId="17" fillId="10" borderId="7" xfId="0" applyNumberFormat="1" applyFont="1" applyFill="1" applyBorder="1" applyAlignment="1"/>
    <xf numFmtId="0" fontId="0" fillId="11" borderId="0" xfId="0" quotePrefix="1" applyFont="1" applyFill="1"/>
    <xf numFmtId="167" fontId="17" fillId="11" borderId="51" xfId="0" applyNumberFormat="1" applyFont="1" applyFill="1" applyBorder="1"/>
    <xf numFmtId="167" fontId="0" fillId="0" borderId="0" xfId="0" applyNumberFormat="1" applyFont="1"/>
    <xf numFmtId="9" fontId="5" fillId="7" borderId="5" xfId="3" applyFont="1" applyFill="1" applyBorder="1"/>
    <xf numFmtId="0" fontId="5" fillId="7" borderId="1" xfId="2" applyNumberFormat="1" applyFont="1" applyFill="1" applyBorder="1"/>
    <xf numFmtId="164" fontId="5" fillId="7" borderId="49" xfId="0" applyNumberFormat="1" applyFont="1" applyFill="1" applyBorder="1"/>
    <xf numFmtId="164" fontId="5" fillId="7" borderId="30" xfId="0" applyNumberFormat="1" applyFont="1" applyFill="1" applyBorder="1"/>
    <xf numFmtId="164" fontId="5" fillId="7" borderId="23" xfId="0" applyNumberFormat="1" applyFont="1" applyFill="1" applyBorder="1"/>
    <xf numFmtId="0" fontId="5" fillId="0" borderId="54" xfId="0" applyFont="1" applyBorder="1"/>
    <xf numFmtId="164" fontId="6" fillId="5" borderId="25" xfId="0" applyNumberFormat="1" applyFont="1" applyFill="1" applyBorder="1"/>
    <xf numFmtId="164" fontId="6" fillId="5" borderId="30" xfId="0" applyNumberFormat="1" applyFont="1" applyFill="1" applyBorder="1"/>
    <xf numFmtId="164" fontId="6" fillId="6" borderId="55" xfId="0" applyNumberFormat="1" applyFont="1" applyFill="1" applyBorder="1"/>
    <xf numFmtId="164" fontId="5" fillId="0" borderId="54" xfId="0" applyNumberFormat="1" applyFont="1" applyBorder="1"/>
    <xf numFmtId="0" fontId="5" fillId="7" borderId="10" xfId="0" applyFont="1" applyFill="1" applyBorder="1"/>
    <xf numFmtId="0" fontId="5" fillId="7" borderId="42" xfId="0" applyFont="1" applyFill="1" applyBorder="1"/>
    <xf numFmtId="0" fontId="5" fillId="7" borderId="42" xfId="1" applyFont="1" applyFill="1" applyBorder="1"/>
    <xf numFmtId="164" fontId="6" fillId="5" borderId="14" xfId="0" applyNumberFormat="1" applyFont="1" applyFill="1" applyBorder="1"/>
    <xf numFmtId="0" fontId="5" fillId="0" borderId="0" xfId="0" applyNumberFormat="1" applyFont="1"/>
    <xf numFmtId="0" fontId="6" fillId="5" borderId="15" xfId="0" applyNumberFormat="1" applyFont="1" applyFill="1" applyBorder="1"/>
    <xf numFmtId="0" fontId="5" fillId="7" borderId="5" xfId="0" applyNumberFormat="1" applyFont="1" applyFill="1" applyBorder="1"/>
    <xf numFmtId="0" fontId="5" fillId="7" borderId="1" xfId="0" applyNumberFormat="1" applyFont="1" applyFill="1" applyBorder="1"/>
    <xf numFmtId="0" fontId="5" fillId="7" borderId="9" xfId="0" applyNumberFormat="1" applyFont="1" applyFill="1" applyBorder="1"/>
    <xf numFmtId="0" fontId="5" fillId="5" borderId="15" xfId="0" applyNumberFormat="1" applyFont="1" applyFill="1" applyBorder="1"/>
    <xf numFmtId="0" fontId="5" fillId="7" borderId="42" xfId="0" applyNumberFormat="1" applyFont="1" applyFill="1" applyBorder="1"/>
    <xf numFmtId="0" fontId="5" fillId="5" borderId="22" xfId="0" applyNumberFormat="1" applyFont="1" applyFill="1" applyBorder="1"/>
    <xf numFmtId="0" fontId="6" fillId="5" borderId="15" xfId="0" applyNumberFormat="1" applyFont="1" applyFill="1" applyBorder="1" applyAlignment="1">
      <alignment horizontal="left"/>
    </xf>
    <xf numFmtId="0" fontId="5" fillId="7" borderId="5" xfId="2" applyNumberFormat="1" applyFont="1" applyFill="1" applyBorder="1"/>
    <xf numFmtId="0" fontId="5" fillId="7" borderId="5" xfId="1" applyNumberFormat="1" applyFont="1" applyFill="1" applyBorder="1"/>
    <xf numFmtId="0" fontId="5" fillId="7" borderId="5" xfId="3" applyNumberFormat="1" applyFont="1" applyFill="1" applyBorder="1" applyAlignment="1"/>
    <xf numFmtId="0" fontId="5" fillId="7" borderId="1" xfId="3" applyNumberFormat="1" applyFont="1" applyFill="1" applyBorder="1" applyAlignment="1"/>
    <xf numFmtId="0" fontId="5" fillId="7" borderId="5" xfId="3" applyNumberFormat="1" applyFont="1" applyFill="1" applyBorder="1"/>
    <xf numFmtId="0" fontId="5" fillId="7" borderId="1" xfId="3" applyNumberFormat="1" applyFont="1" applyFill="1" applyBorder="1"/>
    <xf numFmtId="43" fontId="5" fillId="0" borderId="0" xfId="0" applyNumberFormat="1" applyFont="1"/>
    <xf numFmtId="164" fontId="5" fillId="7" borderId="30" xfId="2" quotePrefix="1" applyNumberFormat="1" applyFont="1" applyFill="1" applyBorder="1" applyAlignment="1">
      <alignment horizontal="left"/>
    </xf>
    <xf numFmtId="164" fontId="5" fillId="7" borderId="2" xfId="2" applyNumberFormat="1" applyFont="1" applyFill="1" applyBorder="1" applyAlignment="1">
      <alignment horizontal="left"/>
    </xf>
    <xf numFmtId="0" fontId="5" fillId="0" borderId="54" xfId="0" applyFont="1" applyBorder="1" applyAlignment="1">
      <alignment horizontal="left"/>
    </xf>
    <xf numFmtId="0" fontId="6" fillId="5" borderId="25" xfId="0" applyFont="1" applyFill="1" applyBorder="1" applyAlignment="1">
      <alignment horizontal="left"/>
    </xf>
    <xf numFmtId="164" fontId="5" fillId="7" borderId="2" xfId="0" applyNumberFormat="1" applyFont="1" applyFill="1" applyBorder="1" applyAlignment="1">
      <alignment horizontal="left"/>
    </xf>
    <xf numFmtId="164" fontId="5" fillId="7" borderId="50" xfId="0" applyNumberFormat="1" applyFont="1" applyFill="1" applyBorder="1" applyAlignment="1">
      <alignment horizontal="left"/>
    </xf>
    <xf numFmtId="164" fontId="6" fillId="5" borderId="25" xfId="0" applyNumberFormat="1" applyFont="1" applyFill="1" applyBorder="1" applyAlignment="1">
      <alignment horizontal="left"/>
    </xf>
    <xf numFmtId="164" fontId="5" fillId="7" borderId="3" xfId="0" applyNumberFormat="1" applyFont="1" applyFill="1" applyBorder="1" applyAlignment="1">
      <alignment horizontal="left"/>
    </xf>
    <xf numFmtId="164" fontId="5" fillId="7" borderId="23" xfId="0" applyNumberFormat="1" applyFont="1" applyFill="1" applyBorder="1" applyAlignment="1">
      <alignment horizontal="left"/>
    </xf>
    <xf numFmtId="164" fontId="6" fillId="5" borderId="30" xfId="0" applyNumberFormat="1" applyFont="1" applyFill="1" applyBorder="1" applyAlignment="1">
      <alignment horizontal="left"/>
    </xf>
    <xf numFmtId="164" fontId="5" fillId="7" borderId="49" xfId="1" applyNumberFormat="1" applyFont="1" applyFill="1" applyBorder="1" applyAlignment="1">
      <alignment horizontal="left"/>
    </xf>
    <xf numFmtId="164" fontId="6" fillId="6" borderId="55" xfId="0" applyNumberFormat="1" applyFont="1" applyFill="1" applyBorder="1" applyAlignment="1">
      <alignment horizontal="left"/>
    </xf>
    <xf numFmtId="167" fontId="0" fillId="10" borderId="39" xfId="0" applyNumberFormat="1" applyFont="1" applyFill="1" applyBorder="1"/>
    <xf numFmtId="164" fontId="5" fillId="5" borderId="16" xfId="0" applyNumberFormat="1" applyFont="1" applyFill="1" applyBorder="1"/>
    <xf numFmtId="0" fontId="5" fillId="7" borderId="18" xfId="0" applyFont="1" applyFill="1" applyBorder="1"/>
    <xf numFmtId="0" fontId="5" fillId="7" borderId="7" xfId="0" applyFont="1" applyFill="1" applyBorder="1"/>
    <xf numFmtId="0" fontId="5" fillId="7" borderId="57" xfId="0" applyFont="1" applyFill="1" applyBorder="1"/>
    <xf numFmtId="0" fontId="5" fillId="5" borderId="31" xfId="0" applyFont="1" applyFill="1" applyBorder="1"/>
    <xf numFmtId="0" fontId="6" fillId="0" borderId="0" xfId="0" applyFont="1"/>
    <xf numFmtId="0" fontId="5" fillId="0" borderId="37" xfId="0" applyFont="1" applyBorder="1"/>
    <xf numFmtId="0" fontId="5" fillId="0" borderId="38" xfId="0" applyFont="1" applyBorder="1"/>
    <xf numFmtId="0" fontId="5" fillId="0" borderId="56" xfId="0" applyFont="1" applyBorder="1"/>
    <xf numFmtId="0" fontId="6" fillId="0" borderId="11" xfId="0" applyFont="1" applyBorder="1"/>
    <xf numFmtId="0" fontId="6" fillId="0" borderId="15" xfId="0" applyFont="1" applyBorder="1"/>
    <xf numFmtId="0" fontId="6" fillId="0" borderId="16" xfId="0" applyFont="1" applyBorder="1"/>
    <xf numFmtId="0" fontId="5" fillId="0" borderId="32" xfId="0" applyFont="1" applyBorder="1"/>
    <xf numFmtId="0" fontId="5" fillId="0" borderId="58" xfId="0" applyFont="1" applyBorder="1"/>
    <xf numFmtId="0" fontId="5" fillId="0" borderId="31" xfId="0" applyFont="1" applyBorder="1"/>
    <xf numFmtId="0" fontId="6" fillId="0" borderId="59" xfId="0" applyFont="1" applyBorder="1"/>
    <xf numFmtId="43" fontId="5" fillId="7" borderId="1" xfId="1" applyNumberFormat="1" applyFont="1" applyFill="1" applyBorder="1"/>
    <xf numFmtId="164" fontId="5" fillId="12" borderId="3" xfId="1" applyNumberFormat="1" applyFont="1" applyFill="1" applyBorder="1"/>
    <xf numFmtId="164" fontId="5" fillId="12" borderId="2" xfId="0" applyNumberFormat="1" applyFont="1" applyFill="1" applyBorder="1"/>
    <xf numFmtId="164" fontId="5" fillId="12" borderId="23" xfId="0" applyNumberFormat="1" applyFont="1" applyFill="1" applyBorder="1" applyAlignment="1">
      <alignment horizontal="left"/>
    </xf>
    <xf numFmtId="167" fontId="0" fillId="10" borderId="46" xfId="0" applyNumberFormat="1" applyFont="1" applyFill="1" applyBorder="1"/>
    <xf numFmtId="164" fontId="5" fillId="12" borderId="2" xfId="0" applyNumberFormat="1" applyFont="1" applyFill="1" applyBorder="1" applyAlignment="1">
      <alignment horizontal="left"/>
    </xf>
    <xf numFmtId="164" fontId="5" fillId="12" borderId="2" xfId="2" applyNumberFormat="1" applyFont="1" applyFill="1" applyBorder="1" applyAlignment="1">
      <alignment horizontal="left"/>
    </xf>
    <xf numFmtId="0" fontId="5" fillId="6" borderId="63" xfId="0" applyFont="1" applyFill="1" applyBorder="1"/>
    <xf numFmtId="0" fontId="5" fillId="6" borderId="64" xfId="0" applyFont="1" applyFill="1" applyBorder="1"/>
    <xf numFmtId="0" fontId="5" fillId="12" borderId="57" xfId="0" applyFont="1" applyFill="1" applyBorder="1"/>
    <xf numFmtId="0" fontId="5" fillId="12" borderId="7" xfId="0" applyFont="1" applyFill="1" applyBorder="1"/>
    <xf numFmtId="0" fontId="6" fillId="0" borderId="56" xfId="0" applyFont="1" applyBorder="1"/>
    <xf numFmtId="0" fontId="13" fillId="0" borderId="0" xfId="0" applyFont="1"/>
    <xf numFmtId="0" fontId="6" fillId="0" borderId="58" xfId="0" applyFont="1" applyBorder="1"/>
    <xf numFmtId="0" fontId="5" fillId="13" borderId="37" xfId="0" applyFont="1" applyFill="1" applyBorder="1"/>
    <xf numFmtId="0" fontId="6" fillId="13" borderId="56" xfId="0" applyFont="1" applyFill="1" applyBorder="1"/>
    <xf numFmtId="0" fontId="5" fillId="13" borderId="38" xfId="0" applyFont="1" applyFill="1" applyBorder="1"/>
    <xf numFmtId="0" fontId="5" fillId="13" borderId="56" xfId="0" applyFont="1" applyFill="1" applyBorder="1"/>
    <xf numFmtId="0" fontId="5" fillId="13" borderId="58" xfId="0" applyFont="1" applyFill="1" applyBorder="1"/>
    <xf numFmtId="0" fontId="6" fillId="13" borderId="11" xfId="0" applyFont="1" applyFill="1" applyBorder="1"/>
    <xf numFmtId="164" fontId="5" fillId="12" borderId="2" xfId="1" applyNumberFormat="1" applyFont="1" applyFill="1" applyBorder="1"/>
    <xf numFmtId="44" fontId="5" fillId="7" borderId="23" xfId="263" applyFont="1" applyFill="1" applyBorder="1"/>
    <xf numFmtId="44" fontId="5" fillId="7" borderId="2" xfId="263" applyFont="1" applyFill="1" applyBorder="1"/>
    <xf numFmtId="44" fontId="5" fillId="7" borderId="2" xfId="263" applyFont="1" applyFill="1" applyBorder="1" applyAlignment="1"/>
    <xf numFmtId="44" fontId="5" fillId="7" borderId="3" xfId="263" applyFont="1" applyFill="1" applyBorder="1" applyAlignment="1"/>
    <xf numFmtId="44" fontId="5" fillId="7" borderId="49" xfId="263" applyFont="1" applyFill="1" applyBorder="1"/>
    <xf numFmtId="44" fontId="5" fillId="7" borderId="1" xfId="263" applyFont="1" applyFill="1" applyBorder="1"/>
    <xf numFmtId="44" fontId="6" fillId="5" borderId="15" xfId="263" applyFont="1" applyFill="1" applyBorder="1"/>
    <xf numFmtId="44" fontId="5" fillId="7" borderId="42" xfId="263" applyFont="1" applyFill="1" applyBorder="1"/>
    <xf numFmtId="44" fontId="5" fillId="7" borderId="5" xfId="263" applyFont="1" applyFill="1" applyBorder="1"/>
    <xf numFmtId="44" fontId="5" fillId="7" borderId="9" xfId="263" applyFont="1" applyFill="1" applyBorder="1"/>
    <xf numFmtId="44" fontId="5" fillId="7" borderId="50" xfId="263" applyFont="1" applyFill="1" applyBorder="1"/>
    <xf numFmtId="44" fontId="5" fillId="5" borderId="15" xfId="263" applyFont="1" applyFill="1" applyBorder="1"/>
    <xf numFmtId="164" fontId="5" fillId="12" borderId="50" xfId="0" applyNumberFormat="1" applyFont="1" applyFill="1" applyBorder="1"/>
    <xf numFmtId="44" fontId="5" fillId="7" borderId="29" xfId="263" applyFont="1" applyFill="1" applyBorder="1"/>
    <xf numFmtId="44" fontId="5" fillId="7" borderId="30" xfId="263" applyFont="1" applyFill="1" applyBorder="1"/>
    <xf numFmtId="44" fontId="5" fillId="7" borderId="49" xfId="263" applyFont="1" applyFill="1" applyBorder="1" applyAlignment="1">
      <alignment horizontal="right"/>
    </xf>
    <xf numFmtId="44" fontId="5" fillId="5" borderId="22" xfId="263" applyFont="1" applyFill="1" applyBorder="1"/>
    <xf numFmtId="44" fontId="6" fillId="5" borderId="22" xfId="263" applyFont="1" applyFill="1" applyBorder="1"/>
    <xf numFmtId="44" fontId="5" fillId="6" borderId="34" xfId="263" applyFont="1" applyFill="1" applyBorder="1"/>
    <xf numFmtId="44" fontId="6" fillId="6" borderId="34" xfId="263" applyFont="1" applyFill="1" applyBorder="1"/>
    <xf numFmtId="44" fontId="5" fillId="4" borderId="49" xfId="263" applyFont="1" applyFill="1" applyBorder="1"/>
    <xf numFmtId="44" fontId="5" fillId="7" borderId="5" xfId="263" applyFont="1" applyFill="1" applyBorder="1" applyAlignment="1">
      <alignment horizontal="right"/>
    </xf>
    <xf numFmtId="44" fontId="5" fillId="7" borderId="1" xfId="263" applyFont="1" applyFill="1" applyBorder="1" applyAlignment="1">
      <alignment horizontal="right"/>
    </xf>
    <xf numFmtId="44" fontId="5" fillId="7" borderId="2" xfId="263" applyFont="1" applyFill="1" applyBorder="1" applyAlignment="1">
      <alignment horizontal="right"/>
    </xf>
    <xf numFmtId="44" fontId="5" fillId="7" borderId="5" xfId="263" applyFont="1" applyFill="1" applyBorder="1" applyAlignment="1"/>
    <xf numFmtId="44" fontId="5" fillId="7" borderId="49" xfId="263" applyFont="1" applyFill="1" applyBorder="1" applyAlignment="1"/>
    <xf numFmtId="44" fontId="5" fillId="7" borderId="1" xfId="263" applyFont="1" applyFill="1" applyBorder="1" applyAlignment="1"/>
    <xf numFmtId="164" fontId="5" fillId="7" borderId="30" xfId="2" applyNumberFormat="1" applyFont="1" applyFill="1" applyBorder="1" applyAlignment="1">
      <alignment horizontal="left"/>
    </xf>
    <xf numFmtId="44" fontId="5" fillId="7" borderId="0" xfId="263" applyFont="1" applyFill="1"/>
    <xf numFmtId="0" fontId="5" fillId="0" borderId="0" xfId="0" applyFont="1" applyBorder="1"/>
    <xf numFmtId="0" fontId="5" fillId="0" borderId="0" xfId="0" applyNumberFormat="1" applyFont="1" applyBorder="1"/>
    <xf numFmtId="0" fontId="5" fillId="0" borderId="26" xfId="0" applyFont="1" applyBorder="1"/>
    <xf numFmtId="0" fontId="5" fillId="0" borderId="26" xfId="0" applyNumberFormat="1" applyFont="1" applyBorder="1"/>
    <xf numFmtId="0" fontId="5" fillId="0" borderId="11" xfId="0" applyFont="1" applyBorder="1"/>
    <xf numFmtId="0" fontId="5" fillId="0" borderId="15" xfId="0" applyFont="1" applyBorder="1"/>
    <xf numFmtId="0" fontId="5" fillId="0" borderId="16" xfId="0" applyFont="1" applyBorder="1"/>
    <xf numFmtId="10" fontId="5" fillId="0" borderId="0" xfId="3" applyNumberFormat="1" applyFont="1"/>
    <xf numFmtId="44" fontId="5" fillId="0" borderId="0" xfId="0" applyNumberFormat="1" applyFont="1"/>
    <xf numFmtId="44" fontId="5" fillId="0" borderId="60" xfId="263" applyFont="1" applyBorder="1"/>
    <xf numFmtId="44" fontId="5" fillId="0" borderId="22" xfId="263" applyFont="1" applyBorder="1"/>
    <xf numFmtId="44" fontId="5" fillId="0" borderId="31" xfId="263" applyFont="1" applyBorder="1"/>
    <xf numFmtId="44" fontId="5" fillId="13" borderId="61" xfId="263" applyFont="1" applyFill="1" applyBorder="1"/>
    <xf numFmtId="44" fontId="5" fillId="13" borderId="0" xfId="263" applyFont="1" applyFill="1" applyBorder="1"/>
    <xf numFmtId="44" fontId="5" fillId="13" borderId="38" xfId="263" applyFont="1" applyFill="1" applyBorder="1"/>
    <xf numFmtId="44" fontId="5" fillId="0" borderId="61" xfId="263" applyFont="1" applyBorder="1"/>
    <xf numFmtId="44" fontId="5" fillId="0" borderId="0" xfId="263" applyFont="1" applyBorder="1"/>
    <xf numFmtId="44" fontId="5" fillId="0" borderId="38" xfId="263" applyFont="1" applyBorder="1"/>
    <xf numFmtId="44" fontId="5" fillId="0" borderId="62" xfId="263" applyFont="1" applyBorder="1"/>
    <xf numFmtId="44" fontId="5" fillId="0" borderId="26" xfId="263" applyFont="1" applyBorder="1"/>
    <xf numFmtId="44" fontId="5" fillId="0" borderId="58" xfId="263" applyFont="1" applyBorder="1"/>
    <xf numFmtId="44" fontId="6" fillId="13" borderId="62" xfId="263" applyFont="1" applyFill="1" applyBorder="1"/>
    <xf numFmtId="44" fontId="6" fillId="13" borderId="26" xfId="263" applyFont="1" applyFill="1" applyBorder="1"/>
    <xf numFmtId="44" fontId="6" fillId="13" borderId="58" xfId="263" applyFont="1" applyFill="1" applyBorder="1"/>
    <xf numFmtId="44" fontId="5" fillId="13" borderId="62" xfId="263" applyFont="1" applyFill="1" applyBorder="1"/>
    <xf numFmtId="44" fontId="5" fillId="13" borderId="26" xfId="263" applyFont="1" applyFill="1" applyBorder="1"/>
    <xf numFmtId="44" fontId="6" fillId="0" borderId="62" xfId="263" applyFont="1" applyBorder="1"/>
    <xf numFmtId="44" fontId="6" fillId="0" borderId="26" xfId="263" applyFont="1" applyBorder="1"/>
    <xf numFmtId="44" fontId="6" fillId="13" borderId="15" xfId="263" applyFont="1" applyFill="1" applyBorder="1"/>
    <xf numFmtId="44" fontId="5" fillId="7" borderId="1" xfId="1" applyNumberFormat="1" applyFont="1" applyFill="1" applyBorder="1"/>
    <xf numFmtId="44" fontId="5" fillId="6" borderId="34" xfId="1" applyNumberFormat="1" applyFont="1" applyFill="1" applyBorder="1"/>
    <xf numFmtId="10" fontId="5" fillId="7" borderId="1" xfId="0" applyNumberFormat="1" applyFont="1" applyFill="1" applyBorder="1"/>
    <xf numFmtId="0" fontId="5" fillId="7" borderId="10" xfId="2" applyFont="1" applyFill="1" applyBorder="1"/>
    <xf numFmtId="9" fontId="5" fillId="7" borderId="42" xfId="1" applyNumberFormat="1" applyFont="1" applyFill="1" applyBorder="1"/>
    <xf numFmtId="164" fontId="5" fillId="7" borderId="23" xfId="2" applyNumberFormat="1" applyFont="1" applyFill="1" applyBorder="1" applyAlignment="1">
      <alignment horizontal="left"/>
    </xf>
    <xf numFmtId="44" fontId="5" fillId="7" borderId="23" xfId="263" applyFont="1" applyFill="1" applyBorder="1" applyAlignment="1">
      <alignment horizontal="left"/>
    </xf>
    <xf numFmtId="164" fontId="5" fillId="12" borderId="14" xfId="0" applyNumberFormat="1" applyFont="1" applyFill="1" applyBorder="1" applyAlignment="1">
      <alignment horizontal="left"/>
    </xf>
    <xf numFmtId="10" fontId="5" fillId="7" borderId="9" xfId="0" applyNumberFormat="1" applyFont="1" applyFill="1" applyBorder="1"/>
    <xf numFmtId="44" fontId="5" fillId="6" borderId="34" xfId="0" applyNumberFormat="1" applyFont="1" applyFill="1" applyBorder="1"/>
    <xf numFmtId="9" fontId="5" fillId="7" borderId="9" xfId="0" applyNumberFormat="1" applyFont="1" applyFill="1" applyBorder="1"/>
    <xf numFmtId="0" fontId="27" fillId="0" borderId="0" xfId="0" applyFont="1" applyAlignment="1">
      <alignment vertical="center"/>
    </xf>
    <xf numFmtId="0" fontId="5" fillId="7" borderId="17" xfId="0" applyFont="1" applyFill="1" applyBorder="1"/>
    <xf numFmtId="0" fontId="5" fillId="7" borderId="47" xfId="0" applyFont="1" applyFill="1" applyBorder="1"/>
    <xf numFmtId="9" fontId="5" fillId="7" borderId="47" xfId="3" applyFont="1" applyFill="1" applyBorder="1"/>
    <xf numFmtId="0" fontId="5" fillId="7" borderId="47" xfId="0" applyNumberFormat="1" applyFont="1" applyFill="1" applyBorder="1"/>
    <xf numFmtId="44" fontId="5" fillId="7" borderId="47" xfId="263" applyFont="1" applyFill="1" applyBorder="1"/>
    <xf numFmtId="44" fontId="5" fillId="7" borderId="3" xfId="263" applyFont="1" applyFill="1" applyBorder="1"/>
    <xf numFmtId="164" fontId="5" fillId="7" borderId="65" xfId="1" applyNumberFormat="1" applyFont="1" applyFill="1" applyBorder="1"/>
    <xf numFmtId="0" fontId="5" fillId="7" borderId="47" xfId="1" applyFont="1" applyFill="1" applyBorder="1"/>
    <xf numFmtId="164" fontId="5" fillId="12" borderId="3" xfId="0" applyNumberFormat="1" applyFont="1" applyFill="1" applyBorder="1"/>
    <xf numFmtId="44" fontId="5" fillId="7" borderId="49" xfId="263" quotePrefix="1" applyFont="1" applyFill="1" applyBorder="1"/>
    <xf numFmtId="0" fontId="13" fillId="0" borderId="11" xfId="0" applyFont="1" applyBorder="1"/>
    <xf numFmtId="0" fontId="13" fillId="0" borderId="1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4" fontId="0" fillId="0" borderId="37" xfId="0" applyNumberFormat="1" applyBorder="1"/>
    <xf numFmtId="44" fontId="0" fillId="0" borderId="38" xfId="0" applyNumberFormat="1" applyBorder="1"/>
    <xf numFmtId="44" fontId="0" fillId="13" borderId="37" xfId="0" applyNumberFormat="1" applyFill="1" applyBorder="1"/>
    <xf numFmtId="44" fontId="0" fillId="13" borderId="38" xfId="0" applyNumberFormat="1" applyFill="1" applyBorder="1"/>
    <xf numFmtId="44" fontId="0" fillId="0" borderId="0" xfId="0" applyNumberFormat="1"/>
    <xf numFmtId="44" fontId="13" fillId="13" borderId="11" xfId="0" applyNumberFormat="1" applyFont="1" applyFill="1" applyBorder="1"/>
    <xf numFmtId="44" fontId="13" fillId="13" borderId="16" xfId="0" applyNumberFormat="1" applyFont="1" applyFill="1" applyBorder="1"/>
    <xf numFmtId="0" fontId="5" fillId="0" borderId="19" xfId="0" applyFont="1" applyBorder="1"/>
    <xf numFmtId="0" fontId="5" fillId="13" borderId="20" xfId="0" applyFont="1" applyFill="1" applyBorder="1"/>
    <xf numFmtId="0" fontId="5" fillId="0" borderId="20" xfId="0" applyFont="1" applyBorder="1"/>
    <xf numFmtId="0" fontId="5" fillId="13" borderId="21" xfId="0" applyFont="1" applyFill="1" applyBorder="1"/>
    <xf numFmtId="0" fontId="31" fillId="14" borderId="68" xfId="0" applyFont="1" applyFill="1" applyBorder="1" applyAlignment="1">
      <alignment horizontal="center" vertical="center" wrapText="1"/>
    </xf>
    <xf numFmtId="0" fontId="31" fillId="0" borderId="68" xfId="0" applyFont="1" applyBorder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2" fillId="14" borderId="0" xfId="0" applyFont="1" applyFill="1" applyAlignment="1">
      <alignment horizontal="right" vertical="center" wrapText="1"/>
    </xf>
    <xf numFmtId="3" fontId="32" fillId="14" borderId="0" xfId="0" applyNumberFormat="1" applyFont="1" applyFill="1" applyAlignment="1">
      <alignment horizontal="right" vertical="center" wrapText="1"/>
    </xf>
    <xf numFmtId="0" fontId="32" fillId="0" borderId="0" xfId="0" applyFont="1" applyAlignment="1">
      <alignment horizontal="right" vertical="center" wrapText="1"/>
    </xf>
    <xf numFmtId="3" fontId="32" fillId="0" borderId="0" xfId="0" applyNumberFormat="1" applyFont="1" applyAlignment="1">
      <alignment horizontal="right" vertical="center" wrapText="1"/>
    </xf>
    <xf numFmtId="0" fontId="32" fillId="0" borderId="68" xfId="0" applyFont="1" applyBorder="1" applyAlignment="1">
      <alignment vertical="center" wrapText="1"/>
    </xf>
    <xf numFmtId="0" fontId="32" fillId="14" borderId="68" xfId="0" applyFont="1" applyFill="1" applyBorder="1" applyAlignment="1">
      <alignment horizontal="right" vertical="center"/>
    </xf>
    <xf numFmtId="3" fontId="32" fillId="14" borderId="68" xfId="0" applyNumberFormat="1" applyFont="1" applyFill="1" applyBorder="1" applyAlignment="1">
      <alignment horizontal="right" vertical="center"/>
    </xf>
    <xf numFmtId="0" fontId="32" fillId="0" borderId="68" xfId="0" applyFont="1" applyBorder="1" applyAlignment="1">
      <alignment horizontal="right" vertical="center"/>
    </xf>
    <xf numFmtId="3" fontId="32" fillId="0" borderId="68" xfId="0" applyNumberFormat="1" applyFont="1" applyBorder="1" applyAlignment="1">
      <alignment horizontal="right" vertical="center" wrapText="1"/>
    </xf>
    <xf numFmtId="3" fontId="32" fillId="0" borderId="68" xfId="0" applyNumberFormat="1" applyFont="1" applyBorder="1" applyAlignment="1">
      <alignment horizontal="right" vertical="center"/>
    </xf>
    <xf numFmtId="3" fontId="5" fillId="0" borderId="0" xfId="0" applyNumberFormat="1" applyFont="1"/>
    <xf numFmtId="10" fontId="5" fillId="7" borderId="5" xfId="2" applyNumberFormat="1" applyFont="1" applyFill="1" applyBorder="1"/>
    <xf numFmtId="10" fontId="5" fillId="7" borderId="1" xfId="2" applyNumberFormat="1" applyFont="1" applyFill="1" applyBorder="1"/>
    <xf numFmtId="0" fontId="13" fillId="0" borderId="24" xfId="0" applyFont="1" applyBorder="1"/>
    <xf numFmtId="44" fontId="0" fillId="0" borderId="0" xfId="0" applyNumberFormat="1" applyBorder="1"/>
    <xf numFmtId="44" fontId="0" fillId="13" borderId="0" xfId="0" applyNumberFormat="1" applyFill="1" applyBorder="1"/>
    <xf numFmtId="44" fontId="0" fillId="13" borderId="26" xfId="0" applyNumberFormat="1" applyFill="1" applyBorder="1"/>
    <xf numFmtId="44" fontId="13" fillId="0" borderId="15" xfId="0" applyNumberFormat="1" applyFont="1" applyBorder="1"/>
    <xf numFmtId="44" fontId="0" fillId="13" borderId="56" xfId="0" applyNumberFormat="1" applyFill="1" applyBorder="1"/>
    <xf numFmtId="44" fontId="0" fillId="13" borderId="58" xfId="0" applyNumberFormat="1" applyFill="1" applyBorder="1"/>
    <xf numFmtId="44" fontId="13" fillId="0" borderId="11" xfId="0" applyNumberFormat="1" applyFont="1" applyBorder="1"/>
    <xf numFmtId="44" fontId="13" fillId="0" borderId="16" xfId="0" applyNumberFormat="1" applyFont="1" applyBorder="1"/>
    <xf numFmtId="44" fontId="0" fillId="13" borderId="0" xfId="0" applyNumberFormat="1" applyFill="1"/>
    <xf numFmtId="8" fontId="0" fillId="0" borderId="0" xfId="0" applyNumberFormat="1" applyFont="1"/>
    <xf numFmtId="169" fontId="0" fillId="0" borderId="0" xfId="0" applyNumberFormat="1"/>
    <xf numFmtId="0" fontId="33" fillId="4" borderId="0" xfId="0" applyFont="1" applyFill="1"/>
    <xf numFmtId="0" fontId="5" fillId="4" borderId="0" xfId="0" applyFont="1" applyFill="1"/>
    <xf numFmtId="170" fontId="5" fillId="0" borderId="0" xfId="3" applyNumberFormat="1" applyFont="1"/>
    <xf numFmtId="0" fontId="5" fillId="4" borderId="7" xfId="0" applyFont="1" applyFill="1" applyBorder="1"/>
    <xf numFmtId="0" fontId="34" fillId="0" borderId="0" xfId="0" applyFont="1"/>
    <xf numFmtId="164" fontId="5" fillId="7" borderId="49" xfId="0" applyNumberFormat="1" applyFont="1" applyFill="1" applyBorder="1" applyAlignment="1">
      <alignment horizontal="left"/>
    </xf>
    <xf numFmtId="164" fontId="6" fillId="7" borderId="2" xfId="0" applyNumberFormat="1" applyFont="1" applyFill="1" applyBorder="1"/>
    <xf numFmtId="167" fontId="0" fillId="10" borderId="35" xfId="0" applyNumberFormat="1" applyFont="1" applyFill="1" applyBorder="1"/>
    <xf numFmtId="44" fontId="5" fillId="7" borderId="54" xfId="263" applyFont="1" applyFill="1" applyBorder="1"/>
    <xf numFmtId="164" fontId="5" fillId="7" borderId="3" xfId="1" applyNumberFormat="1" applyFont="1" applyFill="1" applyBorder="1"/>
    <xf numFmtId="0" fontId="5" fillId="7" borderId="69" xfId="1" applyFont="1" applyFill="1" applyBorder="1"/>
    <xf numFmtId="164" fontId="5" fillId="7" borderId="72" xfId="1" applyNumberFormat="1" applyFont="1" applyFill="1" applyBorder="1"/>
    <xf numFmtId="0" fontId="5" fillId="7" borderId="47" xfId="1" applyFont="1" applyFill="1" applyBorder="1" applyAlignment="1"/>
    <xf numFmtId="0" fontId="5" fillId="7" borderId="73" xfId="0" applyFont="1" applyFill="1" applyBorder="1"/>
    <xf numFmtId="0" fontId="5" fillId="7" borderId="74" xfId="0" applyFont="1" applyFill="1" applyBorder="1"/>
    <xf numFmtId="0" fontId="5" fillId="7" borderId="75" xfId="0" applyFont="1" applyFill="1" applyBorder="1"/>
    <xf numFmtId="0" fontId="5" fillId="7" borderId="70" xfId="1" applyFont="1" applyFill="1" applyBorder="1" applyAlignment="1">
      <alignment wrapText="1"/>
    </xf>
    <xf numFmtId="0" fontId="5" fillId="7" borderId="71" xfId="1" applyFont="1" applyFill="1" applyBorder="1" applyAlignment="1">
      <alignment wrapText="1"/>
    </xf>
    <xf numFmtId="44" fontId="5" fillId="7" borderId="71" xfId="263" applyFont="1" applyFill="1" applyBorder="1" applyAlignment="1">
      <alignment wrapText="1"/>
    </xf>
    <xf numFmtId="164" fontId="5" fillId="7" borderId="71" xfId="1" applyNumberFormat="1" applyFont="1" applyFill="1" applyBorder="1"/>
    <xf numFmtId="44" fontId="5" fillId="5" borderId="25" xfId="263" applyFont="1" applyFill="1" applyBorder="1"/>
    <xf numFmtId="0" fontId="5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6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left" vertical="center" wrapText="1"/>
    </xf>
    <xf numFmtId="0" fontId="10" fillId="6" borderId="21" xfId="0" applyFont="1" applyFill="1" applyBorder="1" applyAlignment="1">
      <alignment horizontal="left" vertical="center" wrapText="1"/>
    </xf>
    <xf numFmtId="0" fontId="10" fillId="6" borderId="19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66" xfId="0" applyFont="1" applyBorder="1" applyAlignment="1">
      <alignment vertical="center" wrapText="1"/>
    </xf>
    <xf numFmtId="0" fontId="28" fillId="14" borderId="0" xfId="0" applyFont="1" applyFill="1" applyAlignment="1">
      <alignment horizontal="center" vertical="center" wrapText="1"/>
    </xf>
    <xf numFmtId="0" fontId="29" fillId="14" borderId="67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/>
    </xf>
    <xf numFmtId="44" fontId="5" fillId="0" borderId="37" xfId="263" applyFont="1" applyBorder="1" applyAlignment="1">
      <alignment horizontal="left"/>
    </xf>
    <xf numFmtId="44" fontId="5" fillId="0" borderId="0" xfId="263" applyFont="1" applyBorder="1" applyAlignment="1">
      <alignment horizontal="left"/>
    </xf>
    <xf numFmtId="44" fontId="5" fillId="0" borderId="38" xfId="263" applyFont="1" applyBorder="1" applyAlignment="1">
      <alignment horizontal="left"/>
    </xf>
    <xf numFmtId="44" fontId="5" fillId="13" borderId="37" xfId="263" applyFont="1" applyFill="1" applyBorder="1" applyAlignment="1">
      <alignment horizontal="left"/>
    </xf>
    <xf numFmtId="44" fontId="5" fillId="13" borderId="0" xfId="263" applyFont="1" applyFill="1" applyBorder="1" applyAlignment="1">
      <alignment horizontal="left"/>
    </xf>
    <xf numFmtId="44" fontId="5" fillId="13" borderId="38" xfId="263" applyFont="1" applyFill="1" applyBorder="1" applyAlignment="1">
      <alignment horizontal="left"/>
    </xf>
    <xf numFmtId="44" fontId="6" fillId="13" borderId="11" xfId="263" applyFont="1" applyFill="1" applyBorder="1" applyAlignment="1">
      <alignment horizontal="center"/>
    </xf>
    <xf numFmtId="44" fontId="6" fillId="13" borderId="15" xfId="263" applyFont="1" applyFill="1" applyBorder="1" applyAlignment="1">
      <alignment horizontal="center"/>
    </xf>
    <xf numFmtId="44" fontId="6" fillId="13" borderId="16" xfId="263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0" fillId="13" borderId="37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13" borderId="38" xfId="0" applyFill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13" borderId="20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38" xfId="0" applyFont="1" applyBorder="1" applyAlignment="1">
      <alignment horizontal="left"/>
    </xf>
    <xf numFmtId="0" fontId="5" fillId="0" borderId="56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0" fontId="6" fillId="13" borderId="11" xfId="0" applyFont="1" applyFill="1" applyBorder="1" applyAlignment="1">
      <alignment horizontal="center"/>
    </xf>
    <xf numFmtId="0" fontId="6" fillId="13" borderId="15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13" fillId="0" borderId="3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44" fontId="5" fillId="0" borderId="20" xfId="263" applyFont="1" applyBorder="1" applyAlignment="1">
      <alignment horizontal="left"/>
    </xf>
    <xf numFmtId="44" fontId="5" fillId="13" borderId="20" xfId="263" applyFont="1" applyFill="1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0" borderId="0" xfId="0" applyFont="1" applyAlignment="1">
      <alignment horizontal="center"/>
    </xf>
    <xf numFmtId="0" fontId="13" fillId="6" borderId="43" xfId="0" applyFont="1" applyFill="1" applyBorder="1" applyAlignment="1">
      <alignment horizontal="center"/>
    </xf>
    <xf numFmtId="0" fontId="13" fillId="6" borderId="44" xfId="0" applyFont="1" applyFill="1" applyBorder="1" applyAlignment="1">
      <alignment horizontal="center"/>
    </xf>
    <xf numFmtId="0" fontId="13" fillId="6" borderId="45" xfId="0" applyFont="1" applyFill="1" applyBorder="1" applyAlignment="1">
      <alignment horizontal="center"/>
    </xf>
    <xf numFmtId="0" fontId="13" fillId="6" borderId="32" xfId="0" applyFont="1" applyFill="1" applyBorder="1" applyAlignment="1">
      <alignment horizontal="center"/>
    </xf>
    <xf numFmtId="0" fontId="13" fillId="6" borderId="31" xfId="0" applyFont="1" applyFill="1" applyBorder="1" applyAlignment="1">
      <alignment horizontal="center"/>
    </xf>
    <xf numFmtId="0" fontId="15" fillId="6" borderId="43" xfId="0" applyFont="1" applyFill="1" applyBorder="1" applyAlignment="1">
      <alignment horizontal="center" vertical="center"/>
    </xf>
    <xf numFmtId="0" fontId="15" fillId="6" borderId="44" xfId="0" applyFont="1" applyFill="1" applyBorder="1" applyAlignment="1">
      <alignment horizontal="center" vertical="center"/>
    </xf>
    <xf numFmtId="0" fontId="15" fillId="6" borderId="45" xfId="0" applyFont="1" applyFill="1" applyBorder="1" applyAlignment="1">
      <alignment horizontal="center" vertical="center"/>
    </xf>
    <xf numFmtId="167" fontId="0" fillId="0" borderId="7" xfId="0" applyNumberFormat="1" applyFont="1" applyFill="1" applyBorder="1"/>
    <xf numFmtId="167" fontId="14" fillId="0" borderId="7" xfId="0" applyNumberFormat="1" applyFont="1" applyFill="1" applyBorder="1" applyAlignment="1">
      <alignment horizontal="right"/>
    </xf>
    <xf numFmtId="167" fontId="0" fillId="0" borderId="7" xfId="0" applyNumberFormat="1" applyFont="1" applyFill="1" applyBorder="1" applyAlignment="1">
      <alignment horizontal="right"/>
    </xf>
    <xf numFmtId="167" fontId="0" fillId="0" borderId="7" xfId="0" applyNumberFormat="1" applyFont="1" applyFill="1" applyBorder="1" applyAlignment="1"/>
    <xf numFmtId="2" fontId="0" fillId="0" borderId="7" xfId="0" applyNumberFormat="1" applyFont="1" applyFill="1" applyBorder="1"/>
    <xf numFmtId="0" fontId="0" fillId="0" borderId="7" xfId="0" applyFont="1" applyFill="1" applyBorder="1"/>
    <xf numFmtId="0" fontId="0" fillId="0" borderId="41" xfId="0" applyFont="1" applyFill="1" applyBorder="1"/>
    <xf numFmtId="0" fontId="0" fillId="0" borderId="0" xfId="0" applyFont="1" applyFill="1"/>
    <xf numFmtId="0" fontId="0" fillId="0" borderId="0" xfId="0" quotePrefix="1" applyFont="1" applyFill="1"/>
    <xf numFmtId="4" fontId="0" fillId="0" borderId="7" xfId="0" applyNumberFormat="1" applyFont="1" applyFill="1" applyBorder="1"/>
    <xf numFmtId="0" fontId="0" fillId="0" borderId="27" xfId="0" applyFont="1" applyFill="1" applyBorder="1"/>
    <xf numFmtId="167" fontId="0" fillId="15" borderId="1" xfId="4" applyNumberFormat="1" applyFont="1" applyFill="1" applyBorder="1"/>
    <xf numFmtId="167" fontId="0" fillId="15" borderId="9" xfId="0" applyNumberFormat="1" applyFont="1" applyFill="1" applyBorder="1"/>
  </cellXfs>
  <cellStyles count="2730">
    <cellStyle name="20% - Accent3" xfId="1" builtinId="38"/>
    <cellStyle name="40% - Accent3" xfId="2" builtinId="39"/>
    <cellStyle name="Comma" xfId="4" builtinId="3"/>
    <cellStyle name="Currency" xfId="263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B669FF"/>
      <color rgb="FFF6A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48576"/>
  <sheetViews>
    <sheetView topLeftCell="A28" zoomScale="90" zoomScaleNormal="80" zoomScalePageLayoutView="80" workbookViewId="0">
      <pane xSplit="1" topLeftCell="B1" activePane="topRight" state="frozen"/>
      <selection activeCell="A28" sqref="A28"/>
      <selection pane="topRight" activeCell="B52" sqref="B52"/>
    </sheetView>
  </sheetViews>
  <sheetFormatPr baseColWidth="10" defaultColWidth="9.1640625" defaultRowHeight="14" x14ac:dyDescent="0.2"/>
  <cols>
    <col min="1" max="1" width="22" style="1" customWidth="1"/>
    <col min="2" max="2" width="33.1640625" style="1" bestFit="1" customWidth="1"/>
    <col min="3" max="3" width="62.1640625" style="1" customWidth="1"/>
    <col min="4" max="4" width="13.5" style="1" customWidth="1"/>
    <col min="5" max="5" width="10.6640625" style="1" bestFit="1" customWidth="1"/>
    <col min="6" max="6" width="12.6640625" style="1" bestFit="1" customWidth="1"/>
    <col min="7" max="7" width="12.33203125" style="1" customWidth="1"/>
    <col min="8" max="8" width="10.6640625" style="1" customWidth="1"/>
    <col min="9" max="9" width="14.5" style="1" bestFit="1" customWidth="1"/>
    <col min="10" max="10" width="54" style="134" customWidth="1"/>
    <col min="11" max="11" width="24.6640625" style="1" customWidth="1"/>
    <col min="12" max="12" width="33.33203125" style="1" customWidth="1"/>
    <col min="13" max="13" width="18.1640625" style="1" customWidth="1"/>
    <col min="14" max="14" width="9.83203125" style="1" bestFit="1" customWidth="1"/>
    <col min="15" max="15" width="13.1640625" style="143" customWidth="1"/>
    <col min="16" max="16" width="9.83203125" style="1" bestFit="1" customWidth="1"/>
    <col min="17" max="17" width="12.1640625" style="1" bestFit="1" customWidth="1"/>
    <col min="18" max="18" width="15.83203125" style="1" customWidth="1"/>
    <col min="19" max="19" width="55.33203125" style="161" customWidth="1"/>
    <col min="20" max="20" width="34.33203125" style="1" bestFit="1" customWidth="1"/>
    <col min="21" max="21" width="31.6640625" style="1" bestFit="1" customWidth="1"/>
    <col min="22" max="22" width="19.5" style="1" bestFit="1" customWidth="1"/>
    <col min="23" max="23" width="8.1640625" style="1" customWidth="1"/>
    <col min="24" max="24" width="13.33203125" style="143" customWidth="1"/>
    <col min="25" max="25" width="11.33203125" style="1" customWidth="1"/>
    <col min="26" max="26" width="14.33203125" style="1" bestFit="1" customWidth="1"/>
    <col min="27" max="27" width="20.1640625" style="1" customWidth="1"/>
    <col min="28" max="28" width="60.6640625" style="1" bestFit="1" customWidth="1"/>
    <col min="29" max="29" width="9.1640625" style="1"/>
    <col min="30" max="30" width="12.1640625" style="1" bestFit="1" customWidth="1"/>
    <col min="31" max="32" width="9.1640625" style="1"/>
    <col min="33" max="33" width="18.6640625" style="1" bestFit="1" customWidth="1"/>
    <col min="34" max="34" width="10.6640625" style="1" bestFit="1" customWidth="1"/>
    <col min="35" max="16384" width="9.1640625" style="1"/>
  </cols>
  <sheetData>
    <row r="1" spans="1:28" x14ac:dyDescent="0.2">
      <c r="A1" s="1" t="s">
        <v>134</v>
      </c>
      <c r="B1" s="1">
        <v>250</v>
      </c>
      <c r="D1" s="1" t="s">
        <v>225</v>
      </c>
      <c r="E1" s="1">
        <f>1/14.448</f>
        <v>6.9213732004429679E-2</v>
      </c>
      <c r="F1" s="331" t="s">
        <v>331</v>
      </c>
      <c r="G1" s="332"/>
      <c r="H1" s="332"/>
      <c r="I1" s="332"/>
      <c r="J1" s="332"/>
    </row>
    <row r="2" spans="1:28" x14ac:dyDescent="0.2">
      <c r="D2" s="1">
        <f>1/E1</f>
        <v>14.448</v>
      </c>
      <c r="F2" s="1" t="s">
        <v>403</v>
      </c>
      <c r="H2" s="1" t="s">
        <v>404</v>
      </c>
      <c r="J2" s="1"/>
    </row>
    <row r="3" spans="1:28" ht="22" thickBot="1" x14ac:dyDescent="0.3">
      <c r="A3" s="13" t="s">
        <v>405</v>
      </c>
      <c r="B3" s="13"/>
      <c r="C3" s="15"/>
      <c r="J3" s="1"/>
    </row>
    <row r="4" spans="1:28" ht="22" thickBot="1" x14ac:dyDescent="0.3">
      <c r="A4" s="43"/>
      <c r="B4" s="355" t="s">
        <v>0</v>
      </c>
      <c r="C4" s="356"/>
      <c r="D4" s="356"/>
      <c r="E4" s="356"/>
      <c r="F4" s="356"/>
      <c r="G4" s="356"/>
      <c r="H4" s="356"/>
      <c r="I4" s="356"/>
      <c r="J4" s="357"/>
      <c r="K4" s="355" t="s">
        <v>39</v>
      </c>
      <c r="L4" s="356"/>
      <c r="M4" s="356"/>
      <c r="N4" s="356"/>
      <c r="O4" s="356"/>
      <c r="P4" s="356"/>
      <c r="Q4" s="356"/>
      <c r="R4" s="356"/>
      <c r="S4" s="356"/>
      <c r="T4" s="355" t="s">
        <v>40</v>
      </c>
      <c r="U4" s="356"/>
      <c r="V4" s="356"/>
      <c r="W4" s="356"/>
      <c r="X4" s="356"/>
      <c r="Y4" s="356"/>
      <c r="Z4" s="356"/>
      <c r="AA4" s="356"/>
      <c r="AB4" s="357"/>
    </row>
    <row r="5" spans="1:28" ht="15" thickBot="1" x14ac:dyDescent="0.25">
      <c r="A5" s="42"/>
      <c r="B5" s="6" t="s">
        <v>42</v>
      </c>
      <c r="C5" s="7" t="s">
        <v>4</v>
      </c>
      <c r="D5" s="8" t="s">
        <v>2</v>
      </c>
      <c r="E5" s="9" t="s">
        <v>70</v>
      </c>
      <c r="F5" s="9" t="s">
        <v>150</v>
      </c>
      <c r="G5" s="9" t="s">
        <v>58</v>
      </c>
      <c r="H5" s="9" t="s">
        <v>110</v>
      </c>
      <c r="I5" s="9" t="s">
        <v>111</v>
      </c>
      <c r="J5" s="8" t="s">
        <v>144</v>
      </c>
      <c r="K5" s="6" t="s">
        <v>42</v>
      </c>
      <c r="L5" s="7" t="s">
        <v>4</v>
      </c>
      <c r="M5" s="8" t="s">
        <v>2</v>
      </c>
      <c r="N5" s="9" t="s">
        <v>70</v>
      </c>
      <c r="O5" s="151" t="s">
        <v>156</v>
      </c>
      <c r="P5" s="9" t="s">
        <v>58</v>
      </c>
      <c r="Q5" s="9" t="s">
        <v>110</v>
      </c>
      <c r="R5" s="9" t="s">
        <v>111</v>
      </c>
      <c r="S5" s="162" t="s">
        <v>144</v>
      </c>
      <c r="T5" s="6" t="s">
        <v>42</v>
      </c>
      <c r="U5" s="7" t="s">
        <v>4</v>
      </c>
      <c r="V5" s="8" t="s">
        <v>2</v>
      </c>
      <c r="W5" s="9" t="s">
        <v>70</v>
      </c>
      <c r="X5" s="144" t="s">
        <v>150</v>
      </c>
      <c r="Y5" s="9" t="s">
        <v>58</v>
      </c>
      <c r="Z5" s="9" t="s">
        <v>110</v>
      </c>
      <c r="AA5" s="10" t="s">
        <v>111</v>
      </c>
      <c r="AB5" s="172" t="s">
        <v>144</v>
      </c>
    </row>
    <row r="6" spans="1:28" x14ac:dyDescent="0.2">
      <c r="A6" s="360" t="s">
        <v>138</v>
      </c>
      <c r="B6" s="18" t="s">
        <v>22</v>
      </c>
      <c r="C6" s="19" t="s">
        <v>24</v>
      </c>
      <c r="D6" s="20" t="s">
        <v>370</v>
      </c>
      <c r="E6" s="20"/>
      <c r="F6" s="20">
        <v>2</v>
      </c>
      <c r="G6" s="20">
        <v>2</v>
      </c>
      <c r="H6" s="209">
        <f>H10</f>
        <v>82.011400498201496</v>
      </c>
      <c r="I6" s="209">
        <f t="shared" ref="I6:I13" si="0">G6*H6*F6</f>
        <v>328.04560199280598</v>
      </c>
      <c r="J6" s="68" t="s">
        <v>157</v>
      </c>
      <c r="K6" s="27" t="s">
        <v>63</v>
      </c>
      <c r="L6" s="28" t="s">
        <v>46</v>
      </c>
      <c r="M6" s="28" t="s">
        <v>342</v>
      </c>
      <c r="N6" s="34"/>
      <c r="O6" s="145">
        <v>1</v>
      </c>
      <c r="P6" s="34">
        <v>1</v>
      </c>
      <c r="Q6" s="217"/>
      <c r="R6" s="229">
        <f>P6*Q6*O6</f>
        <v>0</v>
      </c>
      <c r="S6" s="163"/>
      <c r="T6" s="32" t="s">
        <v>64</v>
      </c>
      <c r="U6" s="34"/>
      <c r="V6" s="34"/>
      <c r="W6" s="34"/>
      <c r="X6" s="145"/>
      <c r="Y6" s="34"/>
      <c r="Z6" s="217">
        <v>0</v>
      </c>
      <c r="AA6" s="210"/>
      <c r="AB6" s="174" t="s">
        <v>338</v>
      </c>
    </row>
    <row r="7" spans="1:28" x14ac:dyDescent="0.2">
      <c r="A7" s="358"/>
      <c r="B7" s="17" t="s">
        <v>5</v>
      </c>
      <c r="C7" s="21" t="s">
        <v>23</v>
      </c>
      <c r="D7" s="22"/>
      <c r="E7" s="22"/>
      <c r="F7" s="22">
        <v>2</v>
      </c>
      <c r="G7" s="22">
        <v>4</v>
      </c>
      <c r="H7" s="210">
        <f>H11</f>
        <v>33.056829185608407</v>
      </c>
      <c r="I7" s="209">
        <f t="shared" si="0"/>
        <v>264.45463348486726</v>
      </c>
      <c r="J7" s="68" t="s">
        <v>158</v>
      </c>
      <c r="K7" s="35"/>
      <c r="L7" s="36"/>
      <c r="M7" s="36"/>
      <c r="N7" s="36"/>
      <c r="O7" s="146"/>
      <c r="P7" s="36"/>
      <c r="Q7" s="214"/>
      <c r="R7" s="210"/>
      <c r="S7" s="163"/>
      <c r="T7" s="35"/>
      <c r="U7" s="36"/>
      <c r="V7" s="36"/>
      <c r="W7" s="36"/>
      <c r="X7" s="146"/>
      <c r="Y7" s="36"/>
      <c r="Z7" s="214"/>
      <c r="AA7" s="210"/>
      <c r="AB7" s="174"/>
    </row>
    <row r="8" spans="1:28" x14ac:dyDescent="0.2">
      <c r="A8" s="358"/>
      <c r="B8" s="17" t="s">
        <v>6</v>
      </c>
      <c r="C8" s="21" t="s">
        <v>65</v>
      </c>
      <c r="D8" s="22"/>
      <c r="E8" s="22"/>
      <c r="F8" s="22">
        <v>2</v>
      </c>
      <c r="G8" s="22">
        <f>3*22</f>
        <v>66</v>
      </c>
      <c r="H8" s="210">
        <f>'Price lists'!Z5</f>
        <v>1.3109034777490298</v>
      </c>
      <c r="I8" s="209">
        <f t="shared" si="0"/>
        <v>173.03925906287193</v>
      </c>
      <c r="J8" s="68" t="s">
        <v>159</v>
      </c>
      <c r="K8" s="35"/>
      <c r="L8" s="36"/>
      <c r="M8" s="36"/>
      <c r="N8" s="36"/>
      <c r="O8" s="146"/>
      <c r="P8" s="36"/>
      <c r="Q8" s="214"/>
      <c r="R8" s="210"/>
      <c r="S8" s="163"/>
      <c r="T8" s="35"/>
      <c r="U8" s="36"/>
      <c r="V8" s="36"/>
      <c r="W8" s="36"/>
      <c r="X8" s="146"/>
      <c r="Y8" s="36"/>
      <c r="Z8" s="214"/>
      <c r="AA8" s="210"/>
      <c r="AB8" s="174"/>
    </row>
    <row r="9" spans="1:28" x14ac:dyDescent="0.2">
      <c r="A9" s="358"/>
      <c r="B9" s="17" t="s">
        <v>7</v>
      </c>
      <c r="C9" s="21" t="s">
        <v>145</v>
      </c>
      <c r="D9" s="22"/>
      <c r="E9" s="22"/>
      <c r="F9" s="22">
        <v>2</v>
      </c>
      <c r="G9" s="22">
        <v>1</v>
      </c>
      <c r="H9" s="210">
        <f>H13</f>
        <v>13.072329480113323</v>
      </c>
      <c r="I9" s="209">
        <f t="shared" si="0"/>
        <v>26.144658960226646</v>
      </c>
      <c r="J9" s="68" t="s">
        <v>208</v>
      </c>
      <c r="K9" s="35"/>
      <c r="L9" s="36"/>
      <c r="M9" s="36"/>
      <c r="N9" s="36"/>
      <c r="O9" s="146"/>
      <c r="P9" s="36"/>
      <c r="Q9" s="214"/>
      <c r="R9" s="210"/>
      <c r="S9" s="163"/>
      <c r="T9" s="35"/>
      <c r="U9" s="36"/>
      <c r="V9" s="36"/>
      <c r="W9" s="36"/>
      <c r="X9" s="146"/>
      <c r="Y9" s="36"/>
      <c r="Z9" s="214"/>
      <c r="AA9" s="210"/>
      <c r="AB9" s="174"/>
    </row>
    <row r="10" spans="1:28" x14ac:dyDescent="0.2">
      <c r="A10" s="358"/>
      <c r="B10" s="17" t="s">
        <v>35</v>
      </c>
      <c r="C10" s="23" t="s">
        <v>36</v>
      </c>
      <c r="D10" s="24"/>
      <c r="E10" s="24"/>
      <c r="F10" s="24">
        <v>2</v>
      </c>
      <c r="G10" s="24">
        <v>7</v>
      </c>
      <c r="H10" s="211">
        <f>'Price lists'!Z3*$E$1</f>
        <v>82.011400498201496</v>
      </c>
      <c r="I10" s="209">
        <f t="shared" si="0"/>
        <v>1148.1596069748209</v>
      </c>
      <c r="J10" s="68" t="s">
        <v>356</v>
      </c>
      <c r="K10" s="35"/>
      <c r="L10" s="36" t="s">
        <v>343</v>
      </c>
      <c r="M10" s="36" t="s">
        <v>342</v>
      </c>
      <c r="N10" s="36"/>
      <c r="O10" s="146">
        <v>4</v>
      </c>
      <c r="P10" s="36">
        <v>1</v>
      </c>
      <c r="Q10" s="214"/>
      <c r="R10" s="210"/>
      <c r="S10" s="163"/>
      <c r="T10" s="35"/>
      <c r="U10" s="36"/>
      <c r="V10" s="36"/>
      <c r="W10" s="36"/>
      <c r="X10" s="146"/>
      <c r="Y10" s="214"/>
      <c r="Z10" s="214"/>
      <c r="AA10" s="210"/>
      <c r="AB10" s="174"/>
    </row>
    <row r="11" spans="1:28" x14ac:dyDescent="0.2">
      <c r="A11" s="358"/>
      <c r="B11" s="25" t="s">
        <v>37</v>
      </c>
      <c r="C11" s="23" t="s">
        <v>36</v>
      </c>
      <c r="D11" s="26"/>
      <c r="E11" s="26"/>
      <c r="F11" s="117">
        <v>2</v>
      </c>
      <c r="G11" s="24">
        <v>7</v>
      </c>
      <c r="H11" s="212">
        <f>('Price lists'!Z4)*'Costing Overall'!E1</f>
        <v>33.056829185608407</v>
      </c>
      <c r="I11" s="209">
        <f t="shared" si="0"/>
        <v>462.79560859851767</v>
      </c>
      <c r="J11" s="68" t="s">
        <v>356</v>
      </c>
      <c r="K11" s="35"/>
      <c r="L11" s="36"/>
      <c r="M11" s="36"/>
      <c r="N11" s="36"/>
      <c r="O11" s="146"/>
      <c r="P11" s="36"/>
      <c r="Q11" s="214"/>
      <c r="R11" s="210"/>
      <c r="S11" s="163"/>
      <c r="T11" s="35"/>
      <c r="U11" s="36"/>
      <c r="V11" s="36"/>
      <c r="W11" s="36"/>
      <c r="X11" s="146"/>
      <c r="Y11" s="214"/>
      <c r="Z11" s="214"/>
      <c r="AA11" s="210"/>
      <c r="AB11" s="174"/>
    </row>
    <row r="12" spans="1:28" x14ac:dyDescent="0.2">
      <c r="A12" s="358"/>
      <c r="B12" s="25" t="s">
        <v>146</v>
      </c>
      <c r="C12" s="23" t="s">
        <v>36</v>
      </c>
      <c r="D12" s="26"/>
      <c r="E12" s="26"/>
      <c r="F12" s="117">
        <v>2</v>
      </c>
      <c r="G12" s="24">
        <f>7*22</f>
        <v>154</v>
      </c>
      <c r="H12" s="212">
        <f>'Price lists'!Z7*'Costing Overall'!E1</f>
        <v>2.6857534666077685</v>
      </c>
      <c r="I12" s="209">
        <f t="shared" si="0"/>
        <v>827.21206771519269</v>
      </c>
      <c r="J12" s="68" t="s">
        <v>154</v>
      </c>
      <c r="K12" s="35"/>
      <c r="L12" s="36"/>
      <c r="M12" s="36"/>
      <c r="N12" s="36"/>
      <c r="O12" s="146"/>
      <c r="P12" s="36"/>
      <c r="Q12" s="214"/>
      <c r="R12" s="210"/>
      <c r="S12" s="163"/>
      <c r="T12" s="35"/>
      <c r="U12" s="36"/>
      <c r="V12" s="36"/>
      <c r="W12" s="36"/>
      <c r="X12" s="146"/>
      <c r="Y12" s="36"/>
      <c r="Z12" s="214"/>
      <c r="AA12" s="210"/>
      <c r="AB12" s="174"/>
    </row>
    <row r="13" spans="1:28" x14ac:dyDescent="0.2">
      <c r="A13" s="358"/>
      <c r="B13" s="25" t="s">
        <v>38</v>
      </c>
      <c r="C13" s="343" t="s">
        <v>36</v>
      </c>
      <c r="D13" s="26"/>
      <c r="E13" s="26"/>
      <c r="F13" s="117">
        <v>2</v>
      </c>
      <c r="G13" s="26">
        <v>7</v>
      </c>
      <c r="H13" s="212">
        <f>'Price lists'!Z6*'Costing Overall'!E1</f>
        <v>13.072329480113323</v>
      </c>
      <c r="I13" s="339">
        <f t="shared" si="0"/>
        <v>183.01261272158652</v>
      </c>
      <c r="J13" s="340" t="s">
        <v>356</v>
      </c>
      <c r="K13" s="35"/>
      <c r="L13" s="36"/>
      <c r="M13" s="36"/>
      <c r="N13" s="36"/>
      <c r="O13" s="146"/>
      <c r="P13" s="36"/>
      <c r="Q13" s="214"/>
      <c r="R13" s="210"/>
      <c r="S13" s="163"/>
      <c r="T13" s="35"/>
      <c r="U13" s="36"/>
      <c r="V13" s="36"/>
      <c r="W13" s="36"/>
      <c r="X13" s="146"/>
      <c r="Y13" s="36"/>
      <c r="Z13" s="214"/>
      <c r="AA13" s="210"/>
      <c r="AB13" s="174"/>
    </row>
    <row r="14" spans="1:28" x14ac:dyDescent="0.2">
      <c r="A14" s="358"/>
      <c r="B14" s="344" t="s">
        <v>354</v>
      </c>
      <c r="C14" s="345" t="s">
        <v>355</v>
      </c>
      <c r="D14" s="348"/>
      <c r="E14" s="348"/>
      <c r="F14" s="348"/>
      <c r="G14" s="348"/>
      <c r="H14" s="348"/>
      <c r="I14" s="349">
        <f>H17*(1/3)</f>
        <v>1137.6213498369632</v>
      </c>
      <c r="J14" s="346"/>
      <c r="K14" s="35"/>
      <c r="L14" s="36" t="s">
        <v>344</v>
      </c>
      <c r="M14" s="36" t="s">
        <v>342</v>
      </c>
      <c r="N14" s="36"/>
      <c r="O14" s="146">
        <v>1</v>
      </c>
      <c r="P14" s="36">
        <v>1</v>
      </c>
      <c r="Q14" s="214"/>
      <c r="R14" s="210"/>
      <c r="S14" s="163"/>
      <c r="T14" s="35"/>
      <c r="U14" s="36"/>
      <c r="V14" s="36"/>
      <c r="W14" s="36"/>
      <c r="X14" s="146"/>
      <c r="Y14" s="36"/>
      <c r="Z14" s="214"/>
      <c r="AA14" s="210"/>
      <c r="AB14" s="174"/>
    </row>
    <row r="15" spans="1:28" x14ac:dyDescent="0.2">
      <c r="A15" s="358"/>
      <c r="B15" s="341" t="s">
        <v>406</v>
      </c>
      <c r="C15" s="347" t="s">
        <v>425</v>
      </c>
      <c r="D15" s="348"/>
      <c r="E15" s="348"/>
      <c r="F15" s="348"/>
      <c r="G15" s="349">
        <f>((I6+I7+I9+I10+I11+I13)/2) +((I8+I12)*(14/22))</f>
        <v>1842.8299329524534</v>
      </c>
      <c r="H15" s="349">
        <f>G15+(G15*(1/3))</f>
        <v>2457.1065772699376</v>
      </c>
      <c r="I15" s="350"/>
      <c r="J15" s="342" t="s">
        <v>249</v>
      </c>
      <c r="K15" s="35"/>
      <c r="L15" s="36"/>
      <c r="M15" s="36"/>
      <c r="N15" s="36"/>
      <c r="O15" s="146"/>
      <c r="P15" s="36"/>
      <c r="Q15" s="214"/>
      <c r="R15" s="210"/>
      <c r="S15" s="163"/>
      <c r="T15" s="35"/>
      <c r="U15" s="36"/>
      <c r="V15" s="36"/>
      <c r="W15" s="36"/>
      <c r="X15" s="146"/>
      <c r="Y15" s="36"/>
      <c r="Z15" s="214"/>
      <c r="AA15" s="210"/>
      <c r="AB15" s="174"/>
    </row>
    <row r="16" spans="1:28" ht="15" thickBot="1" x14ac:dyDescent="0.25">
      <c r="A16" s="358"/>
      <c r="B16" s="17" t="s">
        <v>407</v>
      </c>
      <c r="C16" s="21" t="s">
        <v>426</v>
      </c>
      <c r="D16" s="22"/>
      <c r="E16" s="22"/>
      <c r="F16" s="22"/>
      <c r="G16" s="210">
        <f>((I6+I7+I9+I10+I11+I13)/2) +((I8+I12)*(8/22))</f>
        <v>1570.0341165584359</v>
      </c>
      <c r="H16" s="210">
        <f>G16+(G16*(1/3))</f>
        <v>2093.3788220779143</v>
      </c>
      <c r="I16" s="68"/>
      <c r="J16" s="189" t="s">
        <v>223</v>
      </c>
      <c r="K16" s="48"/>
      <c r="L16" s="49"/>
      <c r="M16" s="49"/>
      <c r="N16" s="49"/>
      <c r="O16" s="147"/>
      <c r="P16" s="49"/>
      <c r="Q16" s="218"/>
      <c r="R16" s="219"/>
      <c r="S16" s="164"/>
      <c r="T16" s="48"/>
      <c r="U16" s="49"/>
      <c r="V16" s="49"/>
      <c r="W16" s="49"/>
      <c r="X16" s="147"/>
      <c r="Y16" s="49"/>
      <c r="Z16" s="218"/>
      <c r="AA16" s="219"/>
      <c r="AB16" s="174"/>
    </row>
    <row r="17" spans="1:28" ht="15" thickBot="1" x14ac:dyDescent="0.25">
      <c r="A17" s="2" t="s">
        <v>50</v>
      </c>
      <c r="B17" s="3"/>
      <c r="C17" s="4"/>
      <c r="D17" s="5"/>
      <c r="E17" s="5"/>
      <c r="F17" s="5"/>
      <c r="G17" s="5"/>
      <c r="H17" s="351">
        <f>SUM(I6:I13)</f>
        <v>3412.8640495108898</v>
      </c>
      <c r="I17" s="215">
        <f>H17+I14</f>
        <v>4550.4853993478528</v>
      </c>
      <c r="J17" s="135" t="s">
        <v>358</v>
      </c>
      <c r="K17" s="11"/>
      <c r="L17" s="12"/>
      <c r="M17" s="12"/>
      <c r="N17" s="12"/>
      <c r="O17" s="148"/>
      <c r="P17" s="12"/>
      <c r="Q17" s="220"/>
      <c r="R17" s="215">
        <f>SUM(R6:R16)</f>
        <v>0</v>
      </c>
      <c r="S17" s="165"/>
      <c r="T17" s="11"/>
      <c r="U17" s="12"/>
      <c r="V17" s="12"/>
      <c r="W17" s="12"/>
      <c r="X17" s="148"/>
      <c r="Y17" s="12"/>
      <c r="Z17" s="220"/>
      <c r="AA17" s="215">
        <f>SUM(AA6:AA16)</f>
        <v>0</v>
      </c>
      <c r="AB17" s="172"/>
    </row>
    <row r="18" spans="1:28" ht="15" customHeight="1" x14ac:dyDescent="0.2">
      <c r="A18" s="360" t="s">
        <v>137</v>
      </c>
      <c r="B18" s="27" t="s">
        <v>135</v>
      </c>
      <c r="C18" s="28"/>
      <c r="D18" s="28" t="s">
        <v>370</v>
      </c>
      <c r="E18" s="28"/>
      <c r="F18" s="28">
        <v>1</v>
      </c>
      <c r="G18" s="28">
        <v>11</v>
      </c>
      <c r="H18" s="213">
        <f>3316*$E$1</f>
        <v>229.51273532668881</v>
      </c>
      <c r="I18" s="209">
        <f t="shared" ref="I18:I25" si="1">F18*G18*H18</f>
        <v>2524.6400885935768</v>
      </c>
      <c r="J18" s="68" t="s">
        <v>259</v>
      </c>
      <c r="K18" s="33" t="s">
        <v>286</v>
      </c>
      <c r="L18" s="34"/>
      <c r="M18" s="34"/>
      <c r="N18" s="34"/>
      <c r="O18" s="145">
        <v>1</v>
      </c>
      <c r="P18" s="34">
        <v>1</v>
      </c>
      <c r="Q18" s="213">
        <f>('Price lists'!K$26)*$E$1</f>
        <v>2593.2466495297763</v>
      </c>
      <c r="R18" s="213"/>
      <c r="S18" s="167" t="s">
        <v>271</v>
      </c>
      <c r="T18" s="35" t="s">
        <v>289</v>
      </c>
      <c r="U18" s="34"/>
      <c r="V18" s="34"/>
      <c r="W18" s="98"/>
      <c r="X18" s="145"/>
      <c r="Y18" s="34"/>
      <c r="Z18" s="217"/>
      <c r="AA18" s="213"/>
      <c r="AB18" s="197" t="s">
        <v>189</v>
      </c>
    </row>
    <row r="19" spans="1:28" ht="15" customHeight="1" x14ac:dyDescent="0.2">
      <c r="A19" s="358"/>
      <c r="B19" s="17" t="s">
        <v>8</v>
      </c>
      <c r="C19" s="21" t="s">
        <v>260</v>
      </c>
      <c r="D19" s="21"/>
      <c r="E19" s="21"/>
      <c r="F19" s="21">
        <v>1</v>
      </c>
      <c r="G19" s="21">
        <v>11</v>
      </c>
      <c r="H19" s="210">
        <f>('Price lists'!K23)*$E$1</f>
        <v>79.933138887135968</v>
      </c>
      <c r="I19" s="209">
        <f t="shared" si="1"/>
        <v>879.26452775849566</v>
      </c>
      <c r="J19" s="68" t="s">
        <v>261</v>
      </c>
      <c r="K19" s="35" t="s">
        <v>52</v>
      </c>
      <c r="L19" s="36"/>
      <c r="M19" s="36"/>
      <c r="N19" s="36"/>
      <c r="O19" s="146"/>
      <c r="P19" s="36"/>
      <c r="Q19" s="210">
        <f>Q18*0.1</f>
        <v>259.32466495297763</v>
      </c>
      <c r="R19" s="210">
        <f>R18*0.1</f>
        <v>0</v>
      </c>
      <c r="S19" s="163" t="s">
        <v>273</v>
      </c>
      <c r="T19" s="35" t="s">
        <v>371</v>
      </c>
      <c r="U19" s="36"/>
      <c r="V19" s="36"/>
      <c r="W19" s="57"/>
      <c r="X19" s="146"/>
      <c r="Y19" s="36"/>
      <c r="Z19" s="237">
        <f>AA18/2</f>
        <v>0</v>
      </c>
      <c r="AA19" s="210"/>
      <c r="AB19" s="174"/>
    </row>
    <row r="20" spans="1:28" ht="15" customHeight="1" x14ac:dyDescent="0.2">
      <c r="A20" s="358"/>
      <c r="B20" s="17" t="s">
        <v>9</v>
      </c>
      <c r="C20" s="21" t="s">
        <v>214</v>
      </c>
      <c r="D20" s="21"/>
      <c r="E20" s="21"/>
      <c r="F20" s="21">
        <v>1</v>
      </c>
      <c r="G20" s="21">
        <v>2</v>
      </c>
      <c r="H20" s="210">
        <f>('Price lists'!K22)*$E$1</f>
        <v>255.78604443883509</v>
      </c>
      <c r="I20" s="209">
        <f t="shared" si="1"/>
        <v>511.57208887767018</v>
      </c>
      <c r="J20" s="68" t="s">
        <v>217</v>
      </c>
      <c r="K20" s="35"/>
      <c r="L20" s="36"/>
      <c r="M20" s="36"/>
      <c r="N20" s="36"/>
      <c r="O20" s="146"/>
      <c r="P20" s="36"/>
      <c r="Q20" s="214"/>
      <c r="R20" s="210"/>
      <c r="S20" s="163"/>
      <c r="T20" s="35" t="s">
        <v>372</v>
      </c>
      <c r="U20" s="36"/>
      <c r="V20" s="36"/>
      <c r="W20" s="57"/>
      <c r="X20" s="146"/>
      <c r="Y20" s="36"/>
      <c r="Z20" s="214">
        <f>AA18/2</f>
        <v>0</v>
      </c>
      <c r="AA20" s="210"/>
      <c r="AB20" s="174"/>
    </row>
    <row r="21" spans="1:28" ht="14" customHeight="1" x14ac:dyDescent="0.2">
      <c r="A21" s="358"/>
      <c r="B21" s="17" t="s">
        <v>11</v>
      </c>
      <c r="C21" s="21"/>
      <c r="D21" s="21"/>
      <c r="E21" s="21"/>
      <c r="F21" s="21">
        <v>1</v>
      </c>
      <c r="G21" s="21">
        <v>1</v>
      </c>
      <c r="H21" s="210"/>
      <c r="I21" s="210">
        <f>SUM(I18:I20)*0.1</f>
        <v>391.54767052297427</v>
      </c>
      <c r="J21" s="68" t="s">
        <v>218</v>
      </c>
      <c r="K21" s="35" t="s">
        <v>408</v>
      </c>
      <c r="L21" s="36"/>
      <c r="M21" s="36"/>
      <c r="N21" s="57">
        <f>N38</f>
        <v>0.44478759979022203</v>
      </c>
      <c r="O21" s="146">
        <v>1</v>
      </c>
      <c r="P21" s="36">
        <v>1</v>
      </c>
      <c r="Q21" s="214">
        <f>('Price lists'!K$26)*$E$1</f>
        <v>2593.2466495297763</v>
      </c>
      <c r="R21" s="214">
        <f>(('Price lists'!K$26)*$E$1)*P107</f>
        <v>1153.4439529083843</v>
      </c>
      <c r="S21" s="163" t="s">
        <v>282</v>
      </c>
      <c r="T21" s="35"/>
      <c r="U21" s="36"/>
      <c r="V21" s="36"/>
      <c r="W21" s="57"/>
      <c r="X21" s="146"/>
      <c r="Y21" s="36"/>
      <c r="Z21" s="214"/>
      <c r="AA21" s="210"/>
      <c r="AB21" s="174"/>
    </row>
    <row r="22" spans="1:28" ht="14" customHeight="1" x14ac:dyDescent="0.2">
      <c r="A22" s="358"/>
      <c r="B22" s="17"/>
      <c r="C22" s="21"/>
      <c r="D22" s="21"/>
      <c r="E22" s="21"/>
      <c r="F22" s="21"/>
      <c r="G22" s="21"/>
      <c r="H22" s="214"/>
      <c r="I22" s="209">
        <f t="shared" si="1"/>
        <v>0</v>
      </c>
      <c r="J22" s="67"/>
      <c r="K22" s="35" t="s">
        <v>373</v>
      </c>
      <c r="L22" s="36"/>
      <c r="M22" s="36"/>
      <c r="N22" s="36"/>
      <c r="O22" s="146"/>
      <c r="P22" s="36"/>
      <c r="Q22" s="36"/>
      <c r="R22" s="214">
        <f>R21*0.1</f>
        <v>115.34439529083843</v>
      </c>
      <c r="S22" s="163"/>
      <c r="T22" s="35"/>
      <c r="U22" s="36"/>
      <c r="V22" s="36"/>
      <c r="W22" s="57"/>
      <c r="X22" s="146"/>
      <c r="Y22" s="36"/>
      <c r="Z22" s="214"/>
      <c r="AA22" s="210"/>
      <c r="AB22" s="174"/>
    </row>
    <row r="23" spans="1:28" ht="14" customHeight="1" x14ac:dyDescent="0.2">
      <c r="A23" s="358"/>
      <c r="B23" s="17" t="s">
        <v>409</v>
      </c>
      <c r="C23" s="21" t="s">
        <v>427</v>
      </c>
      <c r="D23" s="21"/>
      <c r="E23" s="21"/>
      <c r="F23" s="21"/>
      <c r="G23" s="188"/>
      <c r="H23" s="214">
        <f>((I18*(7/11))+(I19*(7/11))+(I20/2))*1.1</f>
        <v>2664.0978803291696</v>
      </c>
      <c r="I23" s="209">
        <f t="shared" si="1"/>
        <v>0</v>
      </c>
      <c r="J23" s="68" t="s">
        <v>250</v>
      </c>
      <c r="K23" s="35" t="s">
        <v>374</v>
      </c>
      <c r="L23" s="36"/>
      <c r="M23" s="36"/>
      <c r="N23" s="57">
        <f>N39</f>
        <v>0.23873900122370492</v>
      </c>
      <c r="O23" s="146">
        <v>1</v>
      </c>
      <c r="P23" s="36">
        <v>1</v>
      </c>
      <c r="Q23" s="214">
        <f>('Price lists'!K$26)*$E$1</f>
        <v>2593.2466495297763</v>
      </c>
      <c r="R23" s="214">
        <f>(('Price lists'!K$26)*$E$1)*O107</f>
        <v>619.10911503545799</v>
      </c>
      <c r="S23" s="163" t="s">
        <v>282</v>
      </c>
      <c r="T23" s="35"/>
      <c r="U23" s="36"/>
      <c r="V23" s="36"/>
      <c r="W23" s="57"/>
      <c r="X23" s="146"/>
      <c r="Y23" s="36"/>
      <c r="Z23" s="237"/>
      <c r="AA23" s="210"/>
      <c r="AB23" s="174"/>
    </row>
    <row r="24" spans="1:28" ht="14" customHeight="1" x14ac:dyDescent="0.2">
      <c r="A24" s="118"/>
      <c r="B24" s="17" t="s">
        <v>410</v>
      </c>
      <c r="C24" s="21" t="s">
        <v>428</v>
      </c>
      <c r="D24" s="21"/>
      <c r="E24" s="21"/>
      <c r="F24" s="21"/>
      <c r="G24" s="267"/>
      <c r="H24" s="214">
        <f>((I18*(4/11))+(I19*(4/11))+(I20/2))*1.1</f>
        <v>1642.9264954235475</v>
      </c>
      <c r="I24" s="209">
        <f t="shared" si="1"/>
        <v>0</v>
      </c>
      <c r="J24" s="68"/>
      <c r="K24" s="35" t="s">
        <v>375</v>
      </c>
      <c r="L24" s="36"/>
      <c r="M24" s="36"/>
      <c r="N24" s="36"/>
      <c r="O24" s="146"/>
      <c r="P24" s="36"/>
      <c r="Q24" s="36"/>
      <c r="R24" s="214">
        <f>R23*0.1</f>
        <v>61.910911503545805</v>
      </c>
      <c r="S24" s="193" t="s">
        <v>285</v>
      </c>
      <c r="T24" s="35"/>
      <c r="U24" s="36"/>
      <c r="V24" s="36"/>
      <c r="W24" s="57"/>
      <c r="X24" s="146"/>
      <c r="Y24" s="36"/>
      <c r="Z24" s="214"/>
      <c r="AA24" s="210"/>
      <c r="AB24" s="174"/>
    </row>
    <row r="25" spans="1:28" ht="14" customHeight="1" x14ac:dyDescent="0.2">
      <c r="A25" s="118"/>
      <c r="B25" s="17"/>
      <c r="C25" s="21"/>
      <c r="D25" s="21"/>
      <c r="E25" s="21"/>
      <c r="F25" s="21"/>
      <c r="G25" s="21"/>
      <c r="H25" s="214"/>
      <c r="I25" s="209">
        <f t="shared" si="1"/>
        <v>0</v>
      </c>
      <c r="J25" s="68"/>
      <c r="K25" s="35"/>
      <c r="L25" s="36"/>
      <c r="M25" s="36"/>
      <c r="N25" s="36"/>
      <c r="O25" s="146"/>
      <c r="P25" s="36"/>
      <c r="Q25" s="214"/>
      <c r="R25" s="210"/>
      <c r="S25" s="163"/>
      <c r="T25" s="35"/>
      <c r="U25" s="36"/>
      <c r="V25" s="36"/>
      <c r="W25" s="57"/>
      <c r="X25" s="146"/>
      <c r="Y25" s="36"/>
      <c r="Z25" s="214"/>
      <c r="AA25" s="210"/>
      <c r="AB25" s="174"/>
    </row>
    <row r="26" spans="1:28" ht="14" customHeight="1" thickBot="1" x14ac:dyDescent="0.25">
      <c r="A26" s="118"/>
      <c r="B26" s="17"/>
      <c r="C26" s="21"/>
      <c r="D26" s="21"/>
      <c r="E26" s="21"/>
      <c r="F26" s="21"/>
      <c r="G26" s="21"/>
      <c r="H26" s="69"/>
      <c r="I26" s="68"/>
      <c r="J26" s="208" t="s">
        <v>197</v>
      </c>
      <c r="K26" s="48"/>
      <c r="L26" s="49"/>
      <c r="M26" s="49"/>
      <c r="N26" s="49"/>
      <c r="O26" s="147"/>
      <c r="P26" s="49"/>
      <c r="Q26" s="218"/>
      <c r="R26" s="219"/>
      <c r="S26" s="166"/>
      <c r="T26" s="35"/>
      <c r="U26" s="36"/>
      <c r="V26" s="36"/>
      <c r="W26" s="36"/>
      <c r="X26" s="146"/>
      <c r="Y26" s="36"/>
      <c r="Z26" s="214"/>
      <c r="AA26" s="210"/>
      <c r="AB26" s="174"/>
    </row>
    <row r="27" spans="1:28" ht="15" thickBot="1" x14ac:dyDescent="0.25">
      <c r="A27" s="2" t="s">
        <v>50</v>
      </c>
      <c r="B27" s="3"/>
      <c r="C27" s="4"/>
      <c r="D27" s="5"/>
      <c r="E27" s="5"/>
      <c r="F27" s="14"/>
      <c r="G27" s="14"/>
      <c r="H27" s="71"/>
      <c r="I27" s="215">
        <f>SUM(I18:I26)</f>
        <v>4307.0243757527169</v>
      </c>
      <c r="J27" s="142" t="s">
        <v>219</v>
      </c>
      <c r="K27" s="11"/>
      <c r="L27" s="12"/>
      <c r="M27" s="12"/>
      <c r="N27" s="12"/>
      <c r="O27" s="148"/>
      <c r="P27" s="12"/>
      <c r="Q27" s="220"/>
      <c r="R27" s="215">
        <f>SUM(R18:R26)</f>
        <v>1949.8083747382266</v>
      </c>
      <c r="S27" s="165"/>
      <c r="T27" s="11"/>
      <c r="U27" s="12"/>
      <c r="V27" s="12"/>
      <c r="W27" s="12"/>
      <c r="X27" s="148"/>
      <c r="Y27" s="12"/>
      <c r="Z27" s="220"/>
      <c r="AA27" s="215">
        <f>SUM(AA18:AA26)</f>
        <v>0</v>
      </c>
      <c r="AB27" s="172"/>
    </row>
    <row r="28" spans="1:28" ht="14" customHeight="1" x14ac:dyDescent="0.2">
      <c r="A28" s="360" t="s">
        <v>152</v>
      </c>
      <c r="B28" s="139" t="s">
        <v>98</v>
      </c>
      <c r="C28" s="141"/>
      <c r="D28" s="141"/>
      <c r="E28" s="141"/>
      <c r="F28" s="141">
        <v>1</v>
      </c>
      <c r="G28" s="141">
        <v>11</v>
      </c>
      <c r="H28" s="216">
        <f>(VLOOKUP(B28,'Price lists'!G1:K26,5,FALSE))*$E$1</f>
        <v>22.381278888398072</v>
      </c>
      <c r="I28" s="209">
        <f>F28*G28*H28</f>
        <v>246.19406777237879</v>
      </c>
      <c r="J28" s="68" t="s">
        <v>252</v>
      </c>
      <c r="K28" s="139" t="s">
        <v>281</v>
      </c>
      <c r="L28" s="140"/>
      <c r="M28" s="140"/>
      <c r="N28" s="140"/>
      <c r="O28" s="149"/>
      <c r="P28" s="140"/>
      <c r="Q28" s="216"/>
      <c r="R28" s="213">
        <f>P28*Q28*O28</f>
        <v>0</v>
      </c>
      <c r="S28" s="191" t="s">
        <v>186</v>
      </c>
      <c r="T28" s="35" t="s">
        <v>82</v>
      </c>
      <c r="U28" s="34" t="s">
        <v>115</v>
      </c>
      <c r="V28" s="34" t="s">
        <v>119</v>
      </c>
      <c r="W28" s="98">
        <v>0.5</v>
      </c>
      <c r="X28" s="145">
        <v>1</v>
      </c>
      <c r="Y28" s="34">
        <v>2</v>
      </c>
      <c r="Z28" s="217">
        <f>(VLOOKUP(T28,'Price lists'!G11:K36,5,FALSE))*$E$1</f>
        <v>15.970641149649765</v>
      </c>
      <c r="AA28" s="210">
        <f t="shared" ref="AA28:AA35" si="2">W28*Y28*Z28</f>
        <v>15.970641149649765</v>
      </c>
      <c r="AB28" s="175" t="s">
        <v>192</v>
      </c>
    </row>
    <row r="29" spans="1:28" ht="14" customHeight="1" x14ac:dyDescent="0.2">
      <c r="A29" s="358"/>
      <c r="B29" s="35" t="s">
        <v>103</v>
      </c>
      <c r="C29" s="21"/>
      <c r="D29" s="21"/>
      <c r="E29" s="21"/>
      <c r="F29" s="21">
        <v>1</v>
      </c>
      <c r="G29" s="21">
        <v>11</v>
      </c>
      <c r="H29" s="214">
        <f>(VLOOKUP(B29,'Price lists'!G2:K26,5,FALSE))*$E$1</f>
        <v>7.9773272609361685</v>
      </c>
      <c r="I29" s="210">
        <f>F29*G29*H29</f>
        <v>87.750599870297847</v>
      </c>
      <c r="J29" s="68" t="s">
        <v>253</v>
      </c>
      <c r="K29" s="35"/>
      <c r="L29" s="36"/>
      <c r="M29" s="36"/>
      <c r="N29" s="36"/>
      <c r="O29" s="146"/>
      <c r="P29" s="36"/>
      <c r="Q29" s="214"/>
      <c r="R29" s="210"/>
      <c r="S29" s="163"/>
      <c r="T29" s="35" t="s">
        <v>16</v>
      </c>
      <c r="U29" s="36" t="s">
        <v>115</v>
      </c>
      <c r="V29" s="36" t="s">
        <v>119</v>
      </c>
      <c r="W29" s="57">
        <v>0.5</v>
      </c>
      <c r="X29" s="146">
        <v>1</v>
      </c>
      <c r="Y29" s="36">
        <v>6</v>
      </c>
      <c r="Z29" s="214">
        <f>(VLOOKUP(T29,'Price lists'!G$1:$K$26,5,FALSE))*$E$1</f>
        <v>0.94321103886820434</v>
      </c>
      <c r="AA29" s="210">
        <f t="shared" si="2"/>
        <v>2.8296331166046129</v>
      </c>
      <c r="AB29" s="174" t="s">
        <v>191</v>
      </c>
    </row>
    <row r="30" spans="1:28" ht="14" customHeight="1" x14ac:dyDescent="0.2">
      <c r="A30" s="358"/>
      <c r="B30" s="17" t="s">
        <v>109</v>
      </c>
      <c r="C30" s="21"/>
      <c r="D30" s="21"/>
      <c r="E30" s="21"/>
      <c r="F30" s="21">
        <v>1</v>
      </c>
      <c r="G30" s="21">
        <v>11</v>
      </c>
      <c r="H30" s="214">
        <f>(VLOOKUP(B30,'Price lists'!G3:K26,5,FALSE))*$E$1</f>
        <v>0.44482061826432207</v>
      </c>
      <c r="I30" s="210">
        <f>F30*G30*H30</f>
        <v>4.8930268009075428</v>
      </c>
      <c r="J30" s="68" t="s">
        <v>254</v>
      </c>
      <c r="K30" s="35"/>
      <c r="L30" s="36"/>
      <c r="M30" s="36"/>
      <c r="N30" s="36"/>
      <c r="O30" s="146"/>
      <c r="P30" s="36"/>
      <c r="Q30" s="214"/>
      <c r="R30" s="210"/>
      <c r="S30" s="163"/>
      <c r="T30" s="35" t="s">
        <v>99</v>
      </c>
      <c r="U30" s="36" t="s">
        <v>115</v>
      </c>
      <c r="V30" s="36" t="s">
        <v>119</v>
      </c>
      <c r="W30" s="57">
        <v>0.5</v>
      </c>
      <c r="X30" s="146">
        <v>1</v>
      </c>
      <c r="Y30" s="36">
        <v>2</v>
      </c>
      <c r="Z30" s="214">
        <f>(VLOOKUP(T30,'Price lists'!G$1:$K$26,5,FALSE))*$E$1</f>
        <v>15.685667979014463</v>
      </c>
      <c r="AA30" s="210">
        <f t="shared" si="2"/>
        <v>15.685667979014463</v>
      </c>
      <c r="AB30" s="174" t="s">
        <v>190</v>
      </c>
    </row>
    <row r="31" spans="1:28" ht="14" customHeight="1" x14ac:dyDescent="0.2">
      <c r="A31" s="358"/>
      <c r="B31" s="17"/>
      <c r="C31" s="21"/>
      <c r="D31" s="21"/>
      <c r="E31" s="21"/>
      <c r="F31" s="21"/>
      <c r="G31" s="21"/>
      <c r="H31" s="214"/>
      <c r="I31" s="210"/>
      <c r="J31" s="107"/>
      <c r="K31" s="35" t="s">
        <v>371</v>
      </c>
      <c r="L31" s="36"/>
      <c r="M31" s="36"/>
      <c r="N31" s="36"/>
      <c r="O31" s="146"/>
      <c r="P31" s="36"/>
      <c r="Q31" s="36"/>
      <c r="R31" s="214">
        <f>R28*P107</f>
        <v>0</v>
      </c>
      <c r="S31" s="163"/>
      <c r="T31" s="35" t="s">
        <v>28</v>
      </c>
      <c r="U31" s="36" t="s">
        <v>115</v>
      </c>
      <c r="V31" s="36" t="s">
        <v>119</v>
      </c>
      <c r="W31" s="57">
        <v>0.5</v>
      </c>
      <c r="X31" s="146">
        <v>1</v>
      </c>
      <c r="Y31" s="36">
        <v>2</v>
      </c>
      <c r="Z31" s="214">
        <f>(VLOOKUP(T31,'Price lists'!G$1:$K$26,5,FALSE))*$E$1</f>
        <v>313.04948950652289</v>
      </c>
      <c r="AA31" s="210">
        <f t="shared" si="2"/>
        <v>313.04948950652289</v>
      </c>
      <c r="AB31" s="174"/>
    </row>
    <row r="32" spans="1:28" ht="14" customHeight="1" x14ac:dyDescent="0.2">
      <c r="A32" s="358"/>
      <c r="B32" s="17"/>
      <c r="C32" s="21"/>
      <c r="D32" s="21"/>
      <c r="E32" s="21"/>
      <c r="F32" s="21"/>
      <c r="G32" s="21"/>
      <c r="H32" s="72"/>
      <c r="I32" s="107"/>
      <c r="J32" s="107"/>
      <c r="K32" s="35" t="s">
        <v>372</v>
      </c>
      <c r="L32" s="36"/>
      <c r="M32" s="36"/>
      <c r="N32" s="36"/>
      <c r="O32" s="146"/>
      <c r="P32" s="36"/>
      <c r="Q32" s="36"/>
      <c r="R32" s="214">
        <f>R28*O107</f>
        <v>0</v>
      </c>
      <c r="S32" s="163"/>
      <c r="T32" s="35" t="s">
        <v>29</v>
      </c>
      <c r="U32" s="36" t="s">
        <v>115</v>
      </c>
      <c r="V32" s="36" t="s">
        <v>119</v>
      </c>
      <c r="W32" s="57">
        <v>0.5</v>
      </c>
      <c r="X32" s="146">
        <v>1</v>
      </c>
      <c r="Y32" s="36">
        <v>2</v>
      </c>
      <c r="Z32" s="214">
        <f>(VLOOKUP(T32,'Price lists'!G$1:$K$26,5,FALSE))*$E$1</f>
        <v>30.523255813953487</v>
      </c>
      <c r="AA32" s="210">
        <f t="shared" si="2"/>
        <v>30.523255813953487</v>
      </c>
      <c r="AB32" s="174" t="s">
        <v>172</v>
      </c>
    </row>
    <row r="33" spans="1:28" ht="14" customHeight="1" x14ac:dyDescent="0.2">
      <c r="A33" s="358"/>
      <c r="B33" s="17"/>
      <c r="C33" s="21"/>
      <c r="D33" s="21"/>
      <c r="E33" s="21"/>
      <c r="F33" s="21"/>
      <c r="G33" s="21"/>
      <c r="H33" s="72"/>
      <c r="I33" s="107"/>
      <c r="J33" s="107"/>
      <c r="K33" s="35"/>
      <c r="L33" s="36"/>
      <c r="M33" s="36"/>
      <c r="N33" s="36"/>
      <c r="O33" s="146"/>
      <c r="P33" s="36"/>
      <c r="Q33" s="214"/>
      <c r="R33" s="210"/>
      <c r="S33" s="163"/>
      <c r="T33" s="35" t="s">
        <v>77</v>
      </c>
      <c r="U33" s="36" t="s">
        <v>115</v>
      </c>
      <c r="V33" s="36" t="s">
        <v>119</v>
      </c>
      <c r="W33" s="57">
        <v>0.5</v>
      </c>
      <c r="X33" s="146">
        <v>1</v>
      </c>
      <c r="Y33" s="36">
        <v>2</v>
      </c>
      <c r="Z33" s="214">
        <f>(VLOOKUP(T33,'Price lists'!G$1:$K$26,5,FALSE))*$E$1</f>
        <v>18.81437588956905</v>
      </c>
      <c r="AA33" s="210">
        <f t="shared" si="2"/>
        <v>18.81437588956905</v>
      </c>
      <c r="AB33" s="174"/>
    </row>
    <row r="34" spans="1:28" ht="14" customHeight="1" x14ac:dyDescent="0.2">
      <c r="A34" s="358"/>
      <c r="B34" s="17" t="s">
        <v>376</v>
      </c>
      <c r="C34" s="21" t="s">
        <v>411</v>
      </c>
      <c r="D34" s="21"/>
      <c r="E34" s="21"/>
      <c r="F34" s="21"/>
      <c r="G34" s="21"/>
      <c r="H34" s="214">
        <f>(I28*(7/11))+(I29*(7/11))+(I30*(7/11))</f>
        <v>215.62398737318992</v>
      </c>
      <c r="I34" s="107"/>
      <c r="J34" s="107"/>
      <c r="K34" s="35"/>
      <c r="L34" s="36"/>
      <c r="M34" s="36"/>
      <c r="N34" s="36"/>
      <c r="O34" s="146"/>
      <c r="P34" s="36"/>
      <c r="Q34" s="214"/>
      <c r="R34" s="210"/>
      <c r="S34" s="163"/>
      <c r="T34" s="35" t="s">
        <v>30</v>
      </c>
      <c r="U34" s="36" t="s">
        <v>115</v>
      </c>
      <c r="V34" s="36" t="s">
        <v>119</v>
      </c>
      <c r="W34" s="57">
        <v>0.5</v>
      </c>
      <c r="X34" s="146">
        <v>1</v>
      </c>
      <c r="Y34" s="36">
        <v>2</v>
      </c>
      <c r="Z34" s="214">
        <f>(VLOOKUP(T34,'Price lists'!G$1:$K$26,5,FALSE))*$E$1</f>
        <v>64.537163604048189</v>
      </c>
      <c r="AA34" s="210">
        <f t="shared" si="2"/>
        <v>64.537163604048189</v>
      </c>
      <c r="AB34" s="174"/>
    </row>
    <row r="35" spans="1:28" ht="14" customHeight="1" x14ac:dyDescent="0.2">
      <c r="A35" s="358"/>
      <c r="B35" s="17" t="s">
        <v>377</v>
      </c>
      <c r="C35" s="21" t="s">
        <v>412</v>
      </c>
      <c r="D35" s="21"/>
      <c r="E35" s="21"/>
      <c r="F35" s="21"/>
      <c r="G35" s="21"/>
      <c r="H35" s="214">
        <f>(I28*(4/11))+(I29*(4/11)+(I30*(4/11)))</f>
        <v>123.21370707039425</v>
      </c>
      <c r="I35" s="107"/>
      <c r="J35" s="107"/>
      <c r="K35" s="35"/>
      <c r="L35" s="36"/>
      <c r="M35" s="36"/>
      <c r="N35" s="36"/>
      <c r="O35" s="146"/>
      <c r="P35" s="36"/>
      <c r="Q35" s="214"/>
      <c r="R35" s="210"/>
      <c r="S35" s="163"/>
      <c r="T35" s="35" t="s">
        <v>76</v>
      </c>
      <c r="U35" s="36" t="s">
        <v>115</v>
      </c>
      <c r="V35" s="36" t="s">
        <v>119</v>
      </c>
      <c r="W35" s="57">
        <v>0.5</v>
      </c>
      <c r="X35" s="146">
        <v>1</v>
      </c>
      <c r="Y35" s="36">
        <v>2</v>
      </c>
      <c r="Z35" s="214">
        <f>(VLOOKUP(T35,'Price lists'!G$1:$K$26,5,FALSE))*$E$1</f>
        <v>7.7695010998296148</v>
      </c>
      <c r="AA35" s="210">
        <f t="shared" si="2"/>
        <v>7.7695010998296148</v>
      </c>
      <c r="AB35" s="198" t="s">
        <v>294</v>
      </c>
    </row>
    <row r="36" spans="1:28" ht="15" customHeight="1" thickBot="1" x14ac:dyDescent="0.25">
      <c r="A36" s="359"/>
      <c r="B36" s="29"/>
      <c r="C36" s="30"/>
      <c r="D36" s="30"/>
      <c r="E36" s="30"/>
      <c r="F36" s="30"/>
      <c r="G36" s="30"/>
      <c r="H36" s="70"/>
      <c r="I36" s="108"/>
      <c r="J36" s="221" t="s">
        <v>251</v>
      </c>
      <c r="K36" s="48"/>
      <c r="L36" s="49"/>
      <c r="M36" s="49"/>
      <c r="N36" s="49"/>
      <c r="O36" s="147"/>
      <c r="P36" s="49"/>
      <c r="Q36" s="218"/>
      <c r="R36" s="219"/>
      <c r="S36" s="164"/>
      <c r="T36" s="35" t="s">
        <v>290</v>
      </c>
      <c r="U36" s="36" t="s">
        <v>378</v>
      </c>
      <c r="V36" s="36"/>
      <c r="W36" s="57">
        <v>0.5</v>
      </c>
      <c r="X36" s="146"/>
      <c r="Y36" s="36"/>
      <c r="Z36" s="214">
        <f>AA37*W36</f>
        <v>234.58986407959605</v>
      </c>
      <c r="AA36" s="210"/>
      <c r="AB36" s="174"/>
    </row>
    <row r="37" spans="1:28" ht="15" thickBot="1" x14ac:dyDescent="0.25">
      <c r="A37" s="2" t="s">
        <v>50</v>
      </c>
      <c r="B37" s="3"/>
      <c r="C37" s="4"/>
      <c r="D37" s="5"/>
      <c r="E37" s="5"/>
      <c r="F37" s="14"/>
      <c r="G37" s="14"/>
      <c r="H37" s="71"/>
      <c r="I37" s="215">
        <f>SUM(I28:I36)</f>
        <v>338.83769444358416</v>
      </c>
      <c r="J37" s="136"/>
      <c r="K37" s="16"/>
      <c r="L37" s="16"/>
      <c r="M37" s="16"/>
      <c r="N37" s="16"/>
      <c r="O37" s="150"/>
      <c r="P37" s="16"/>
      <c r="Q37" s="225"/>
      <c r="R37" s="226">
        <f>SUM(R28:R36)</f>
        <v>0</v>
      </c>
      <c r="S37" s="168"/>
      <c r="T37" s="11"/>
      <c r="U37" s="12"/>
      <c r="V37" s="12"/>
      <c r="W37" s="12"/>
      <c r="X37" s="148"/>
      <c r="Y37" s="12"/>
      <c r="Z37" s="220"/>
      <c r="AA37" s="215">
        <f>SUM(AA28:AA36)</f>
        <v>469.17972815919211</v>
      </c>
      <c r="AB37" s="172"/>
    </row>
    <row r="38" spans="1:28" x14ac:dyDescent="0.2">
      <c r="A38" s="358" t="s">
        <v>45</v>
      </c>
      <c r="B38" s="32" t="s">
        <v>55</v>
      </c>
      <c r="C38" s="37" t="s">
        <v>379</v>
      </c>
      <c r="D38" s="37" t="s">
        <v>60</v>
      </c>
      <c r="E38" s="317">
        <v>1</v>
      </c>
      <c r="F38" s="44">
        <v>12</v>
      </c>
      <c r="G38" s="44">
        <v>14</v>
      </c>
      <c r="H38" s="217">
        <f>(VLOOKUP(B38,'Price lists'!A1:D26,4,FALSE))*$E$1</f>
        <v>242.24806201550388</v>
      </c>
      <c r="I38" s="213">
        <f>E38*F38*G38*H38</f>
        <v>40697.674418604649</v>
      </c>
      <c r="J38" s="119" t="s">
        <v>220</v>
      </c>
      <c r="K38" s="32" t="s">
        <v>123</v>
      </c>
      <c r="L38" s="37" t="s">
        <v>413</v>
      </c>
      <c r="M38" s="28" t="s">
        <v>47</v>
      </c>
      <c r="N38" s="38">
        <f>P107</f>
        <v>0.44478759979022203</v>
      </c>
      <c r="O38" s="152">
        <v>12</v>
      </c>
      <c r="P38" s="44">
        <v>1</v>
      </c>
      <c r="Q38" s="230">
        <f>(VLOOKUP(K38,'Price lists'!A1:D26,4,FALSE))*$E$1</f>
        <v>4041.1614064230344</v>
      </c>
      <c r="R38" s="224">
        <f>N38*P38*Q38*O38</f>
        <v>21569.501787933354</v>
      </c>
      <c r="S38" s="236"/>
      <c r="T38" s="106" t="s">
        <v>128</v>
      </c>
      <c r="U38" s="105" t="s">
        <v>367</v>
      </c>
      <c r="V38" s="34" t="s">
        <v>43</v>
      </c>
      <c r="W38" s="57">
        <v>0.5</v>
      </c>
      <c r="X38" s="149">
        <v>12</v>
      </c>
      <c r="Y38" s="34">
        <v>1</v>
      </c>
      <c r="Z38" s="217">
        <f>(VLOOKUP(T38,'Price lists'!A1:D26,4,FALSE))*$E$1</f>
        <v>1839.2078488372092</v>
      </c>
      <c r="AA38" s="213">
        <f>PRODUCT(W38:Z38)</f>
        <v>11035.247093023256</v>
      </c>
      <c r="AB38" s="175" t="s">
        <v>151</v>
      </c>
    </row>
    <row r="39" spans="1:28" x14ac:dyDescent="0.2">
      <c r="A39" s="358"/>
      <c r="B39" s="31"/>
      <c r="C39" s="36" t="s">
        <v>380</v>
      </c>
      <c r="D39" s="39" t="s">
        <v>60</v>
      </c>
      <c r="E39" s="318">
        <v>1</v>
      </c>
      <c r="F39" s="45">
        <v>12</v>
      </c>
      <c r="G39" s="45">
        <v>8</v>
      </c>
      <c r="H39" s="214">
        <f>(VLOOKUP(B38,'Price lists'!A1:D26,4,FALSE))*$E$1</f>
        <v>242.24806201550388</v>
      </c>
      <c r="I39" s="210">
        <f>E39*F39*G39*H39</f>
        <v>23255.813953488374</v>
      </c>
      <c r="J39" s="68"/>
      <c r="K39" s="31" t="s">
        <v>123</v>
      </c>
      <c r="L39" s="39" t="s">
        <v>414</v>
      </c>
      <c r="M39" s="39" t="s">
        <v>47</v>
      </c>
      <c r="N39" s="40">
        <f>O107</f>
        <v>0.23873900122370492</v>
      </c>
      <c r="O39" s="130">
        <v>12</v>
      </c>
      <c r="P39" s="45">
        <v>1</v>
      </c>
      <c r="Q39" s="231">
        <f>(VLOOKUP(K38,'Price lists'!A1:D26,4,FALSE))*$E$1</f>
        <v>4041.1614064230344</v>
      </c>
      <c r="R39" s="232">
        <f>N39*P39*Q39*O39</f>
        <v>11577.394055438615</v>
      </c>
      <c r="S39" s="160"/>
      <c r="T39" s="35" t="s">
        <v>128</v>
      </c>
      <c r="U39" s="36" t="s">
        <v>366</v>
      </c>
      <c r="V39" s="36" t="s">
        <v>43</v>
      </c>
      <c r="W39" s="57">
        <v>0.5</v>
      </c>
      <c r="X39" s="146">
        <v>12</v>
      </c>
      <c r="Y39" s="36">
        <v>1</v>
      </c>
      <c r="Z39" s="214">
        <f>(VLOOKUP(T39,'Price lists'!A1:D26,4,FALSE))*$E$1</f>
        <v>1839.2078488372092</v>
      </c>
      <c r="AA39" s="210">
        <f>PRODUCT(W39:Z39)</f>
        <v>11035.247093023256</v>
      </c>
      <c r="AB39" s="174"/>
    </row>
    <row r="40" spans="1:28" x14ac:dyDescent="0.2">
      <c r="A40" s="358"/>
      <c r="B40" s="17"/>
      <c r="C40" s="21"/>
      <c r="D40" s="21"/>
      <c r="E40" s="97"/>
      <c r="F40" s="21"/>
      <c r="G40" s="21"/>
      <c r="H40" s="214"/>
      <c r="I40" s="210"/>
      <c r="J40" s="107"/>
      <c r="K40" s="35"/>
      <c r="L40" s="36"/>
      <c r="M40" s="36"/>
      <c r="N40" s="36"/>
      <c r="O40" s="146"/>
      <c r="P40" s="36"/>
      <c r="Q40" s="214"/>
      <c r="R40" s="210"/>
      <c r="S40" s="163"/>
      <c r="T40" s="35"/>
      <c r="U40" s="36"/>
      <c r="V40" s="36"/>
      <c r="W40" s="36"/>
      <c r="X40" s="146"/>
      <c r="Y40" s="36"/>
      <c r="Z40" s="214"/>
      <c r="AA40" s="210"/>
      <c r="AB40" s="174"/>
    </row>
    <row r="41" spans="1:28" x14ac:dyDescent="0.2">
      <c r="A41" s="358"/>
      <c r="B41" s="17"/>
      <c r="C41" s="21"/>
      <c r="D41" s="21"/>
      <c r="E41" s="97"/>
      <c r="F41" s="21"/>
      <c r="G41" s="267"/>
      <c r="H41" s="214"/>
      <c r="I41" s="210"/>
      <c r="J41" s="107"/>
      <c r="K41" s="35"/>
      <c r="L41" s="36"/>
      <c r="M41" s="36"/>
      <c r="N41" s="36"/>
      <c r="O41" s="146"/>
      <c r="P41" s="36"/>
      <c r="Q41" s="214"/>
      <c r="R41" s="210"/>
      <c r="S41" s="193" t="s">
        <v>226</v>
      </c>
      <c r="T41" s="35"/>
      <c r="U41" s="36"/>
      <c r="V41" s="36"/>
      <c r="W41" s="57"/>
      <c r="X41" s="146"/>
      <c r="Y41" s="57"/>
      <c r="Z41" s="214"/>
      <c r="AA41" s="210"/>
      <c r="AB41" s="198" t="s">
        <v>194</v>
      </c>
    </row>
    <row r="42" spans="1:28" x14ac:dyDescent="0.2">
      <c r="A42" s="358"/>
      <c r="B42" s="17"/>
      <c r="C42" s="21"/>
      <c r="D42" s="21"/>
      <c r="E42" s="21"/>
      <c r="F42" s="21"/>
      <c r="G42" s="21"/>
      <c r="H42" s="214"/>
      <c r="I42" s="210"/>
      <c r="J42" s="107"/>
      <c r="K42" s="35"/>
      <c r="L42" s="36"/>
      <c r="M42" s="36"/>
      <c r="N42" s="36"/>
      <c r="O42" s="146"/>
      <c r="P42" s="36"/>
      <c r="Q42" s="214"/>
      <c r="R42" s="210"/>
      <c r="S42" s="163"/>
      <c r="T42" s="35"/>
      <c r="U42" s="36"/>
      <c r="V42" s="36"/>
      <c r="W42" s="57"/>
      <c r="X42" s="146"/>
      <c r="Y42" s="57"/>
      <c r="Z42" s="214"/>
      <c r="AA42" s="210"/>
      <c r="AB42" s="174"/>
    </row>
    <row r="43" spans="1:28" x14ac:dyDescent="0.2">
      <c r="A43" s="358"/>
      <c r="B43" s="17"/>
      <c r="C43" s="21"/>
      <c r="D43" s="21"/>
      <c r="E43" s="21"/>
      <c r="F43" s="21"/>
      <c r="G43" s="21"/>
      <c r="H43" s="214"/>
      <c r="I43" s="210"/>
      <c r="J43" s="190" t="s">
        <v>221</v>
      </c>
      <c r="K43" s="35"/>
      <c r="L43" s="36"/>
      <c r="M43" s="36"/>
      <c r="N43" s="36"/>
      <c r="O43" s="146"/>
      <c r="P43" s="36"/>
      <c r="Q43" s="214"/>
      <c r="R43" s="210"/>
      <c r="S43" s="163"/>
      <c r="T43" s="35"/>
      <c r="U43" s="36"/>
      <c r="V43" s="36"/>
      <c r="W43" s="36"/>
      <c r="X43" s="146"/>
      <c r="Y43" s="36"/>
      <c r="Z43" s="214"/>
      <c r="AA43" s="210"/>
      <c r="AB43" s="174"/>
    </row>
    <row r="44" spans="1:28" ht="15" thickBot="1" x14ac:dyDescent="0.25">
      <c r="A44" s="359"/>
      <c r="B44" s="29"/>
      <c r="C44" s="30"/>
      <c r="D44" s="30"/>
      <c r="E44" s="30"/>
      <c r="F44" s="30"/>
      <c r="G44" s="30"/>
      <c r="H44" s="218"/>
      <c r="I44" s="219"/>
      <c r="J44" s="108"/>
      <c r="K44" s="48"/>
      <c r="L44" s="49"/>
      <c r="M44" s="49"/>
      <c r="N44" s="49"/>
      <c r="O44" s="147"/>
      <c r="P44" s="49"/>
      <c r="Q44" s="218"/>
      <c r="R44" s="219"/>
      <c r="S44" s="164"/>
      <c r="T44" s="48"/>
      <c r="U44" s="49"/>
      <c r="V44" s="49"/>
      <c r="W44" s="49"/>
      <c r="X44" s="147"/>
      <c r="Y44" s="49"/>
      <c r="Z44" s="218"/>
      <c r="AA44" s="219"/>
      <c r="AB44" s="174"/>
    </row>
    <row r="45" spans="1:28" ht="15" thickBot="1" x14ac:dyDescent="0.25">
      <c r="A45" s="2" t="s">
        <v>50</v>
      </c>
      <c r="B45" s="3"/>
      <c r="C45" s="4"/>
      <c r="D45" s="5"/>
      <c r="E45" s="5"/>
      <c r="F45" s="14"/>
      <c r="G45" s="14"/>
      <c r="H45" s="71"/>
      <c r="I45" s="215">
        <f>SUM(I38:I44)</f>
        <v>63953.488372093023</v>
      </c>
      <c r="J45" s="135"/>
      <c r="K45" s="12"/>
      <c r="L45" s="12"/>
      <c r="M45" s="12"/>
      <c r="N45" s="12"/>
      <c r="O45" s="148"/>
      <c r="P45" s="12"/>
      <c r="Q45" s="220"/>
      <c r="R45" s="215">
        <f>SUM(R38:R44)</f>
        <v>33146.895843371967</v>
      </c>
      <c r="S45" s="165"/>
      <c r="T45" s="11"/>
      <c r="U45" s="12"/>
      <c r="V45" s="12"/>
      <c r="W45" s="12"/>
      <c r="X45" s="148"/>
      <c r="Y45" s="12"/>
      <c r="Z45" s="220"/>
      <c r="AA45" s="215">
        <f>SUM(AA38:AA44)</f>
        <v>22070.494186046511</v>
      </c>
      <c r="AB45" s="172"/>
    </row>
    <row r="46" spans="1:28" x14ac:dyDescent="0.2">
      <c r="A46" s="360" t="s">
        <v>1</v>
      </c>
      <c r="B46" s="32" t="s">
        <v>59</v>
      </c>
      <c r="C46" s="37" t="s">
        <v>54</v>
      </c>
      <c r="D46" s="37" t="s">
        <v>43</v>
      </c>
      <c r="E46" s="38">
        <v>1</v>
      </c>
      <c r="F46" s="44">
        <v>12</v>
      </c>
      <c r="G46" s="44">
        <v>2</v>
      </c>
      <c r="H46" s="217">
        <f>(VLOOKUP(B46,'Price lists'!A1:D26,4,FALSE))*$E$1</f>
        <v>1179.0905315614618</v>
      </c>
      <c r="I46" s="213">
        <f>E46*F46*G46*H46</f>
        <v>28298.172757475084</v>
      </c>
      <c r="J46" s="119" t="s">
        <v>329</v>
      </c>
      <c r="K46" s="27" t="s">
        <v>122</v>
      </c>
      <c r="L46" s="28"/>
      <c r="M46" s="28"/>
      <c r="N46" s="41"/>
      <c r="O46" s="153"/>
      <c r="P46" s="54"/>
      <c r="Q46" s="217"/>
      <c r="R46" s="224"/>
      <c r="S46" s="159"/>
      <c r="T46" s="106" t="s">
        <v>124</v>
      </c>
      <c r="U46" s="34" t="s">
        <v>367</v>
      </c>
      <c r="V46" s="34" t="s">
        <v>10</v>
      </c>
      <c r="W46" s="98">
        <v>0.1</v>
      </c>
      <c r="X46" s="145">
        <v>12</v>
      </c>
      <c r="Y46" s="34">
        <v>1</v>
      </c>
      <c r="Z46" s="217">
        <f>(VLOOKUP(T46,'Price lists'!A1:D26,4,FALSE))*$E$1</f>
        <v>2981.6410575858249</v>
      </c>
      <c r="AA46" s="213">
        <f>W46*Y46*Z46*X46</f>
        <v>3577.9692691029895</v>
      </c>
      <c r="AB46" s="175"/>
    </row>
    <row r="47" spans="1:28" x14ac:dyDescent="0.2">
      <c r="A47" s="358"/>
      <c r="B47" s="31" t="s">
        <v>44</v>
      </c>
      <c r="C47" s="39" t="s">
        <v>69</v>
      </c>
      <c r="D47" s="39" t="s">
        <v>43</v>
      </c>
      <c r="E47" s="40">
        <f>(2/74)*0.2</f>
        <v>5.4054054054054057E-3</v>
      </c>
      <c r="F47" s="45">
        <v>12</v>
      </c>
      <c r="G47" s="45">
        <v>1</v>
      </c>
      <c r="H47" s="214">
        <f>(VLOOKUP('Costing Overall'!B47,'Price lists'!A1:D26,4,FALSE))*$E$1</f>
        <v>2981.6410575858249</v>
      </c>
      <c r="I47" s="210">
        <f>E47*F47*G47*H47</f>
        <v>193.40374427583731</v>
      </c>
      <c r="J47" s="68"/>
      <c r="K47" s="31"/>
      <c r="L47" s="39"/>
      <c r="M47" s="39"/>
      <c r="N47" s="40"/>
      <c r="O47" s="130"/>
      <c r="P47" s="40"/>
      <c r="Q47" s="214"/>
      <c r="R47" s="232"/>
      <c r="S47" s="160"/>
      <c r="T47" s="35" t="s">
        <v>124</v>
      </c>
      <c r="U47" s="36" t="s">
        <v>366</v>
      </c>
      <c r="V47" s="36" t="s">
        <v>10</v>
      </c>
      <c r="W47" s="57">
        <v>0.1</v>
      </c>
      <c r="X47" s="146">
        <v>12</v>
      </c>
      <c r="Y47" s="36">
        <v>1</v>
      </c>
      <c r="Z47" s="214">
        <f>(VLOOKUP(T47,'Price lists'!A1:D26,4,FALSE))*$E$1</f>
        <v>2981.6410575858249</v>
      </c>
      <c r="AA47" s="210">
        <f>W47*Y47*Z47*X47</f>
        <v>3577.9692691029895</v>
      </c>
      <c r="AB47" s="174"/>
    </row>
    <row r="48" spans="1:28" x14ac:dyDescent="0.2">
      <c r="A48" s="358"/>
      <c r="B48" s="17" t="s">
        <v>381</v>
      </c>
      <c r="C48" s="21" t="s">
        <v>415</v>
      </c>
      <c r="D48" s="21"/>
      <c r="E48" s="21"/>
      <c r="F48" s="21"/>
      <c r="G48" s="21"/>
      <c r="H48" s="214">
        <f>(I46/2)+(I47/2)</f>
        <v>14245.788250875461</v>
      </c>
      <c r="I48" s="210"/>
      <c r="J48" s="107"/>
      <c r="K48" s="35" t="s">
        <v>429</v>
      </c>
      <c r="L48" s="36" t="s">
        <v>429</v>
      </c>
      <c r="M48" s="36" t="s">
        <v>47</v>
      </c>
      <c r="N48" s="57">
        <f>5%*(1/3)</f>
        <v>1.6666666666666666E-2</v>
      </c>
      <c r="O48" s="146">
        <v>12</v>
      </c>
      <c r="P48" s="36">
        <v>1</v>
      </c>
      <c r="Q48" s="214">
        <f>(VLOOKUP(K46,'Price lists'!A1:D26,4,FALSE))*$E$1</f>
        <v>4844.9612403100773</v>
      </c>
      <c r="R48" s="210">
        <f>N48*O48*P48*Q48</f>
        <v>968.99224806201551</v>
      </c>
      <c r="S48" s="193" t="s">
        <v>330</v>
      </c>
      <c r="T48" s="35"/>
      <c r="U48" s="36"/>
      <c r="V48" s="36"/>
      <c r="W48" s="36"/>
      <c r="X48" s="146"/>
      <c r="Y48" s="36"/>
      <c r="Z48" s="214"/>
      <c r="AA48" s="210"/>
      <c r="AB48" s="174"/>
    </row>
    <row r="49" spans="1:34" x14ac:dyDescent="0.2">
      <c r="A49" s="358"/>
      <c r="B49" s="17" t="s">
        <v>382</v>
      </c>
      <c r="C49" s="21" t="s">
        <v>416</v>
      </c>
      <c r="D49" s="21"/>
      <c r="E49" s="21"/>
      <c r="F49" s="21"/>
      <c r="G49" s="21"/>
      <c r="H49" s="214">
        <f>(I46/2)+(I47/2)</f>
        <v>14245.788250875461</v>
      </c>
      <c r="I49" s="210"/>
      <c r="J49" s="107"/>
      <c r="K49" s="35" t="s">
        <v>430</v>
      </c>
      <c r="L49" s="36" t="s">
        <v>430</v>
      </c>
      <c r="M49" s="36" t="s">
        <v>47</v>
      </c>
      <c r="N49" s="57">
        <f>5%*(1/3)</f>
        <v>1.6666666666666666E-2</v>
      </c>
      <c r="O49" s="146">
        <v>12</v>
      </c>
      <c r="P49" s="36">
        <v>1</v>
      </c>
      <c r="Q49" s="214">
        <f>(VLOOKUP(K46,'Price lists'!A1:D26,4,FALSE))*$E$1</f>
        <v>4844.9612403100773</v>
      </c>
      <c r="R49" s="210">
        <f>N49*O49*P49*Q49</f>
        <v>968.99224806201551</v>
      </c>
      <c r="S49" s="163"/>
      <c r="T49" s="35"/>
      <c r="U49" s="36"/>
      <c r="V49" s="36"/>
      <c r="W49" s="36"/>
      <c r="X49" s="146"/>
      <c r="Y49" s="36"/>
      <c r="Z49" s="214"/>
      <c r="AA49" s="210"/>
      <c r="AB49" s="198" t="s">
        <v>195</v>
      </c>
    </row>
    <row r="50" spans="1:34" ht="15" thickBot="1" x14ac:dyDescent="0.25">
      <c r="A50" s="358"/>
      <c r="B50" s="29"/>
      <c r="C50" s="30"/>
      <c r="D50" s="30"/>
      <c r="E50" s="30"/>
      <c r="F50" s="30"/>
      <c r="G50" s="30"/>
      <c r="H50" s="218"/>
      <c r="I50" s="219"/>
      <c r="J50" s="221" t="s">
        <v>155</v>
      </c>
      <c r="K50" s="48"/>
      <c r="L50" s="49"/>
      <c r="M50" s="49"/>
      <c r="N50" s="49"/>
      <c r="O50" s="147"/>
      <c r="P50" s="49"/>
      <c r="Q50" s="218"/>
      <c r="R50" s="219"/>
      <c r="S50" s="164"/>
      <c r="T50" s="48"/>
      <c r="U50" s="49"/>
      <c r="V50" s="49"/>
      <c r="W50" s="49"/>
      <c r="X50" s="147"/>
      <c r="Y50" s="49"/>
      <c r="Z50" s="218"/>
      <c r="AA50" s="219"/>
      <c r="AB50" s="174"/>
      <c r="AD50" s="1" t="s">
        <v>336</v>
      </c>
    </row>
    <row r="51" spans="1:34" ht="15" thickBot="1" x14ac:dyDescent="0.25">
      <c r="A51" s="2" t="s">
        <v>50</v>
      </c>
      <c r="B51" s="3"/>
      <c r="C51" s="4"/>
      <c r="D51" s="5"/>
      <c r="E51" s="5"/>
      <c r="F51" s="14"/>
      <c r="G51" s="14"/>
      <c r="H51" s="220"/>
      <c r="I51" s="215">
        <f>SUM(I46:I50)</f>
        <v>28491.576501750922</v>
      </c>
      <c r="J51" s="135"/>
      <c r="K51" s="12"/>
      <c r="L51" s="12"/>
      <c r="M51" s="12"/>
      <c r="N51" s="12"/>
      <c r="O51" s="148"/>
      <c r="P51" s="12"/>
      <c r="Q51" s="220"/>
      <c r="R51" s="215">
        <f>SUM(R46:R50)</f>
        <v>1937.984496124031</v>
      </c>
      <c r="S51" s="165"/>
      <c r="T51" s="11"/>
      <c r="U51" s="12"/>
      <c r="V51" s="12"/>
      <c r="W51" s="12"/>
      <c r="X51" s="148"/>
      <c r="Y51" s="12"/>
      <c r="Z51" s="220"/>
      <c r="AA51" s="215">
        <f>SUM(AA46:AA50)</f>
        <v>7155.9385382059791</v>
      </c>
      <c r="AB51" s="172"/>
      <c r="AD51" s="1">
        <v>2015</v>
      </c>
      <c r="AE51" s="1">
        <v>2016</v>
      </c>
      <c r="AF51" s="1">
        <v>2017</v>
      </c>
      <c r="AG51" s="1">
        <v>2018</v>
      </c>
      <c r="AH51" s="1">
        <v>2019</v>
      </c>
    </row>
    <row r="52" spans="1:34" x14ac:dyDescent="0.2">
      <c r="A52" s="360" t="s">
        <v>148</v>
      </c>
      <c r="B52" s="32" t="s">
        <v>126</v>
      </c>
      <c r="C52" s="37" t="s">
        <v>68</v>
      </c>
      <c r="D52" s="37" t="s">
        <v>43</v>
      </c>
      <c r="E52" s="38">
        <f>(2/74)*1</f>
        <v>2.7027027027027029E-2</v>
      </c>
      <c r="F52" s="44">
        <v>12</v>
      </c>
      <c r="G52" s="44">
        <v>1</v>
      </c>
      <c r="H52" s="217">
        <f>(VLOOKUP(B52,'Price lists'!A1:D26,4,FALSE))*$E$1</f>
        <v>1839.2078488372092</v>
      </c>
      <c r="I52" s="213">
        <f>E52*F52*G52*H52</f>
        <v>596.49984286612198</v>
      </c>
      <c r="J52" s="131"/>
      <c r="K52" s="32" t="s">
        <v>41</v>
      </c>
      <c r="L52" s="37" t="s">
        <v>383</v>
      </c>
      <c r="M52" s="37" t="s">
        <v>14</v>
      </c>
      <c r="N52" s="50">
        <f>P107</f>
        <v>0.44478759979022203</v>
      </c>
      <c r="O52" s="154">
        <v>1</v>
      </c>
      <c r="P52" s="51">
        <v>1</v>
      </c>
      <c r="Q52" s="233">
        <f>1496*$E$1</f>
        <v>103.5437430786268</v>
      </c>
      <c r="R52" s="234">
        <f>N52*P52*Q52*O52</f>
        <v>46.05497295723783</v>
      </c>
      <c r="S52" s="236"/>
      <c r="T52" s="33" t="s">
        <v>21</v>
      </c>
      <c r="U52" s="34" t="s">
        <v>333</v>
      </c>
      <c r="V52" s="34" t="s">
        <v>53</v>
      </c>
      <c r="W52" s="34"/>
      <c r="X52" s="145"/>
      <c r="Y52" s="34"/>
      <c r="Z52" s="217">
        <f>76995*E1</f>
        <v>5329.111295681063</v>
      </c>
      <c r="AA52" s="213">
        <f>Z52*(1+$AD$52)*(1+$AE$52)*(1+$AF$52)*(1+$AG$52)*(1+$AH$52)</f>
        <v>6794.7037325911606</v>
      </c>
      <c r="AB52" s="334" t="s">
        <v>337</v>
      </c>
      <c r="AD52" s="333">
        <v>4.5089999999999998E-2</v>
      </c>
      <c r="AE52" s="333">
        <v>6.5949999999999995E-2</v>
      </c>
      <c r="AF52" s="333">
        <v>5.1810000000000002E-2</v>
      </c>
      <c r="AG52" s="333">
        <v>4.505E-2</v>
      </c>
      <c r="AH52" s="333">
        <v>4.1239999999999999E-2</v>
      </c>
    </row>
    <row r="53" spans="1:34" x14ac:dyDescent="0.2">
      <c r="A53" s="358"/>
      <c r="B53" s="31" t="s">
        <v>66</v>
      </c>
      <c r="C53" s="39" t="s">
        <v>67</v>
      </c>
      <c r="D53" s="39" t="s">
        <v>43</v>
      </c>
      <c r="E53" s="40">
        <f>(2/74)*0.5</f>
        <v>1.3513513513513514E-2</v>
      </c>
      <c r="F53" s="46">
        <v>12</v>
      </c>
      <c r="G53" s="46">
        <v>1</v>
      </c>
      <c r="H53" s="214">
        <f>(VLOOKUP(B53,'Price lists'!A1:D26,4,FALSE))*$E$1</f>
        <v>8289.9017165005534</v>
      </c>
      <c r="I53" s="210">
        <f>E53*F53*G53*H53</f>
        <v>1344.3083864595492</v>
      </c>
      <c r="J53" s="107" t="s">
        <v>184</v>
      </c>
      <c r="K53" s="31"/>
      <c r="L53" s="39" t="s">
        <v>384</v>
      </c>
      <c r="M53" s="39" t="s">
        <v>14</v>
      </c>
      <c r="N53" s="52">
        <f>O107</f>
        <v>0.23873900122370492</v>
      </c>
      <c r="O53" s="155">
        <v>1</v>
      </c>
      <c r="P53" s="53">
        <v>1</v>
      </c>
      <c r="Q53" s="235">
        <f>1496*$E$1</f>
        <v>103.5437430786268</v>
      </c>
      <c r="R53" s="211">
        <f>Q53*P53*O53*N53</f>
        <v>24.719929805555271</v>
      </c>
      <c r="S53" s="166"/>
      <c r="T53" s="35"/>
      <c r="U53" s="36" t="s">
        <v>334</v>
      </c>
      <c r="V53" s="36"/>
      <c r="W53" s="36"/>
      <c r="X53" s="146"/>
      <c r="Y53" s="36"/>
      <c r="Z53" s="214">
        <f>100566*E1</f>
        <v>6960.5481727574752</v>
      </c>
      <c r="AA53" s="210">
        <f>Z53*(1+$AD$52)*(1+$AE$52)*(1+$AF$52)*(1+$AG$52)*(1+$AH$52)</f>
        <v>8874.8123329016507</v>
      </c>
      <c r="AB53" s="334" t="s">
        <v>337</v>
      </c>
    </row>
    <row r="54" spans="1:34" x14ac:dyDescent="0.2">
      <c r="A54" s="358"/>
      <c r="B54" s="25"/>
      <c r="C54" s="286" t="s">
        <v>417</v>
      </c>
      <c r="D54" s="286"/>
      <c r="E54" s="286"/>
      <c r="F54" s="286"/>
      <c r="G54" s="286"/>
      <c r="H54" s="283">
        <f>I52*0.5+I53*0.5</f>
        <v>970.40411466283558</v>
      </c>
      <c r="I54" s="284"/>
      <c r="J54" s="107" t="s">
        <v>267</v>
      </c>
      <c r="K54" s="31"/>
      <c r="L54" s="39" t="s">
        <v>61</v>
      </c>
      <c r="M54" s="39" t="s">
        <v>14</v>
      </c>
      <c r="N54" s="52">
        <v>0.05</v>
      </c>
      <c r="O54" s="155">
        <v>1</v>
      </c>
      <c r="P54" s="53">
        <v>1</v>
      </c>
      <c r="Q54" s="235">
        <f>1496*$E$1</f>
        <v>103.5437430786268</v>
      </c>
      <c r="R54" s="211">
        <f>Q54*P54*O54*N54</f>
        <v>5.1771871539313405</v>
      </c>
      <c r="S54" s="163" t="s">
        <v>288</v>
      </c>
      <c r="T54" s="35"/>
      <c r="U54" s="36" t="s">
        <v>335</v>
      </c>
      <c r="V54" s="36"/>
      <c r="W54" s="36"/>
      <c r="X54" s="146"/>
      <c r="Y54" s="36"/>
      <c r="Z54" s="214">
        <f>164466*E1</f>
        <v>11383.305647840532</v>
      </c>
      <c r="AA54" s="210">
        <f>Z54*(1+$AD$52)*(1+$AE$52)*(1+$AF$52)*(1+$AG$52)*(1+$AH$52)</f>
        <v>14513.900176431427</v>
      </c>
      <c r="AB54" s="334" t="s">
        <v>337</v>
      </c>
    </row>
    <row r="55" spans="1:34" x14ac:dyDescent="0.2">
      <c r="A55" s="358"/>
      <c r="B55" s="25"/>
      <c r="C55" s="21" t="s">
        <v>418</v>
      </c>
      <c r="D55" s="286"/>
      <c r="E55" s="286"/>
      <c r="F55" s="286"/>
      <c r="G55" s="286"/>
      <c r="H55" s="283">
        <f>I52*0.5+I53*0.5</f>
        <v>970.40411466283558</v>
      </c>
      <c r="I55" s="284"/>
      <c r="J55" s="107" t="s">
        <v>267</v>
      </c>
      <c r="K55" s="35" t="s">
        <v>385</v>
      </c>
      <c r="L55" s="36"/>
      <c r="M55" s="36"/>
      <c r="N55" s="56">
        <f>P107</f>
        <v>0.44478759979022203</v>
      </c>
      <c r="O55" s="146">
        <v>4</v>
      </c>
      <c r="P55" s="36">
        <v>1</v>
      </c>
      <c r="Q55" s="214">
        <f>72.25*$E$1</f>
        <v>5.0006921373200441</v>
      </c>
      <c r="R55" s="210">
        <f>O55*P55*Q55*N55</f>
        <v>8.8969834121936717</v>
      </c>
      <c r="S55" s="163" t="s">
        <v>287</v>
      </c>
      <c r="T55" s="279"/>
      <c r="U55" s="280"/>
      <c r="V55" s="280"/>
      <c r="W55" s="280"/>
      <c r="X55" s="282"/>
      <c r="Y55" s="280"/>
      <c r="Z55" s="283"/>
      <c r="AA55" s="284"/>
      <c r="AB55" s="173"/>
    </row>
    <row r="56" spans="1:34" ht="15" thickBot="1" x14ac:dyDescent="0.25">
      <c r="A56" s="358"/>
      <c r="B56" s="25"/>
      <c r="C56" s="286"/>
      <c r="D56" s="286"/>
      <c r="E56" s="286"/>
      <c r="F56" s="286"/>
      <c r="G56" s="286"/>
      <c r="H56" s="286"/>
      <c r="I56" s="286"/>
      <c r="J56" s="287" t="s">
        <v>160</v>
      </c>
      <c r="K56" s="279" t="s">
        <v>386</v>
      </c>
      <c r="L56" s="280"/>
      <c r="M56" s="280"/>
      <c r="N56" s="281">
        <f>O107</f>
        <v>0.23873900122370492</v>
      </c>
      <c r="O56" s="282">
        <v>4</v>
      </c>
      <c r="P56" s="280">
        <v>1</v>
      </c>
      <c r="Q56" s="283">
        <f>72.25*$E$1</f>
        <v>5.0006921373200441</v>
      </c>
      <c r="R56" s="284">
        <f>O56*P56*Q56*N56</f>
        <v>4.775440985164086</v>
      </c>
      <c r="S56" s="166"/>
      <c r="T56" s="279"/>
      <c r="U56" s="280"/>
      <c r="V56" s="280"/>
      <c r="W56" s="280"/>
      <c r="X56" s="282"/>
      <c r="Y56" s="280"/>
      <c r="Z56" s="283"/>
      <c r="AA56" s="284"/>
      <c r="AB56" s="173"/>
    </row>
    <row r="57" spans="1:34" x14ac:dyDescent="0.2">
      <c r="A57" s="358"/>
      <c r="B57" s="27" t="s">
        <v>295</v>
      </c>
      <c r="C57" s="28" t="s">
        <v>238</v>
      </c>
      <c r="D57" s="28" t="s">
        <v>239</v>
      </c>
      <c r="E57" s="41">
        <v>1</v>
      </c>
      <c r="F57" s="28">
        <v>1</v>
      </c>
      <c r="G57" s="28">
        <v>1</v>
      </c>
      <c r="H57" s="213">
        <f>I93*0.1</f>
        <v>10988.853789742205</v>
      </c>
      <c r="I57" s="288" t="s">
        <v>241</v>
      </c>
      <c r="J57" s="285" t="s">
        <v>240</v>
      </c>
      <c r="K57" s="33" t="s">
        <v>242</v>
      </c>
      <c r="L57" s="28" t="s">
        <v>238</v>
      </c>
      <c r="M57" s="28" t="s">
        <v>239</v>
      </c>
      <c r="N57" s="41">
        <v>1</v>
      </c>
      <c r="O57" s="28">
        <v>1</v>
      </c>
      <c r="P57" s="28">
        <v>1</v>
      </c>
      <c r="Q57" s="213">
        <f>R93*0.1</f>
        <v>3797.9094700925471</v>
      </c>
      <c r="R57" s="213" t="s">
        <v>244</v>
      </c>
      <c r="S57" s="285" t="s">
        <v>240</v>
      </c>
      <c r="T57" s="33" t="s">
        <v>242</v>
      </c>
      <c r="U57" s="28" t="s">
        <v>245</v>
      </c>
      <c r="V57" s="28" t="s">
        <v>239</v>
      </c>
      <c r="W57" s="41">
        <v>1</v>
      </c>
      <c r="X57" s="28">
        <v>1</v>
      </c>
      <c r="Y57" s="213"/>
      <c r="Z57" s="213">
        <f>AA93*0.1</f>
        <v>12534.101340225398</v>
      </c>
      <c r="AA57" s="213" t="s">
        <v>244</v>
      </c>
      <c r="AB57" s="285" t="s">
        <v>240</v>
      </c>
    </row>
    <row r="58" spans="1:34" x14ac:dyDescent="0.2">
      <c r="A58" s="358"/>
      <c r="B58" s="17" t="s">
        <v>387</v>
      </c>
      <c r="C58" s="21" t="s">
        <v>419</v>
      </c>
      <c r="D58" s="21" t="s">
        <v>239</v>
      </c>
      <c r="E58" s="97">
        <v>1</v>
      </c>
      <c r="F58" s="21">
        <v>1</v>
      </c>
      <c r="G58" s="21">
        <v>1</v>
      </c>
      <c r="H58" s="214">
        <f>F93*0.1</f>
        <v>6525.4954389808263</v>
      </c>
      <c r="I58" s="210"/>
      <c r="J58" s="107"/>
      <c r="K58" s="35"/>
      <c r="L58" s="36" t="s">
        <v>431</v>
      </c>
      <c r="M58" s="36" t="s">
        <v>239</v>
      </c>
      <c r="N58" s="269">
        <f>P107</f>
        <v>0.44478759979022203</v>
      </c>
      <c r="O58" s="146"/>
      <c r="P58" s="36"/>
      <c r="Q58" s="214">
        <f>O93*0.1</f>
        <v>2452.6902651985802</v>
      </c>
      <c r="R58" s="210"/>
      <c r="S58" s="68"/>
      <c r="T58" s="35" t="s">
        <v>435</v>
      </c>
      <c r="U58" s="36" t="s">
        <v>245</v>
      </c>
      <c r="V58" s="36" t="s">
        <v>239</v>
      </c>
      <c r="W58" s="57">
        <v>0.5</v>
      </c>
      <c r="X58" s="146"/>
      <c r="Y58" s="36"/>
      <c r="Z58" s="214">
        <f>X93*0.1</f>
        <v>6267.0506701126988</v>
      </c>
      <c r="AA58" s="210"/>
      <c r="AB58" s="174"/>
    </row>
    <row r="59" spans="1:34" ht="15" thickBot="1" x14ac:dyDescent="0.25">
      <c r="A59" s="358"/>
      <c r="B59" s="17" t="s">
        <v>388</v>
      </c>
      <c r="C59" s="21" t="s">
        <v>420</v>
      </c>
      <c r="D59" s="21" t="s">
        <v>239</v>
      </c>
      <c r="E59" s="97">
        <v>1</v>
      </c>
      <c r="F59" s="21">
        <v>1</v>
      </c>
      <c r="G59" s="21">
        <v>1</v>
      </c>
      <c r="H59" s="214">
        <f>G93*0.1</f>
        <v>4463.3583507613794</v>
      </c>
      <c r="I59" s="210"/>
      <c r="J59" s="107"/>
      <c r="K59" s="48"/>
      <c r="L59" s="49" t="s">
        <v>432</v>
      </c>
      <c r="M59" s="49" t="s">
        <v>239</v>
      </c>
      <c r="N59" s="275">
        <f>O107</f>
        <v>0.23873900122370492</v>
      </c>
      <c r="O59" s="147"/>
      <c r="P59" s="49"/>
      <c r="Q59" s="218">
        <f>P93*0.1</f>
        <v>1345.2192048939664</v>
      </c>
      <c r="R59" s="210"/>
      <c r="S59" s="219"/>
      <c r="T59" s="35" t="s">
        <v>436</v>
      </c>
      <c r="U59" s="36" t="s">
        <v>245</v>
      </c>
      <c r="V59" s="36" t="s">
        <v>239</v>
      </c>
      <c r="W59" s="57">
        <v>0.5</v>
      </c>
      <c r="X59" s="146"/>
      <c r="Y59" s="36"/>
      <c r="Z59" s="214">
        <f>Y93*0.1</f>
        <v>6267.0506701126988</v>
      </c>
      <c r="AA59" s="210"/>
      <c r="AB59" s="174"/>
    </row>
    <row r="60" spans="1:34" ht="15" thickBot="1" x14ac:dyDescent="0.25">
      <c r="A60" s="2" t="s">
        <v>50</v>
      </c>
      <c r="B60" s="3"/>
      <c r="C60" s="4"/>
      <c r="D60" s="5"/>
      <c r="E60" s="5"/>
      <c r="F60" s="14"/>
      <c r="G60" s="14"/>
      <c r="H60" s="220"/>
      <c r="I60" s="215">
        <f>SUM(I52:I58)</f>
        <v>1940.8082293256712</v>
      </c>
      <c r="J60" s="135" t="s">
        <v>255</v>
      </c>
      <c r="K60" s="11"/>
      <c r="L60" s="12"/>
      <c r="M60" s="12"/>
      <c r="N60" s="12"/>
      <c r="O60" s="148"/>
      <c r="P60" s="12"/>
      <c r="Q60" s="220"/>
      <c r="R60" s="215">
        <f>SUM(R52:R53,R55:R59)+R54*(2/3)</f>
        <v>87.898785262771753</v>
      </c>
      <c r="S60" s="274" t="s">
        <v>227</v>
      </c>
      <c r="T60" s="11"/>
      <c r="U60" s="12"/>
      <c r="V60" s="12"/>
      <c r="W60" s="12"/>
      <c r="X60" s="148"/>
      <c r="Y60" s="12"/>
      <c r="Z60" s="220"/>
      <c r="AA60" s="215">
        <f>SUM(AA52:AA59)</f>
        <v>30183.416241924238</v>
      </c>
      <c r="AB60" s="172"/>
    </row>
    <row r="61" spans="1:34" x14ac:dyDescent="0.2">
      <c r="A61" s="360" t="s">
        <v>3</v>
      </c>
      <c r="B61" s="96" t="s">
        <v>389</v>
      </c>
      <c r="C61" s="28" t="s">
        <v>113</v>
      </c>
      <c r="D61" s="28"/>
      <c r="E61" s="28"/>
      <c r="F61" s="28">
        <v>12</v>
      </c>
      <c r="G61" s="28">
        <f>50*7</f>
        <v>350</v>
      </c>
      <c r="H61" s="222">
        <f>('Price lists'!O3)*$E$1</f>
        <v>0.27685492801771872</v>
      </c>
      <c r="I61" s="223">
        <f>F61*G61*H61</f>
        <v>1162.7906976744187</v>
      </c>
      <c r="J61" s="132" t="s">
        <v>348</v>
      </c>
      <c r="K61" s="270"/>
      <c r="L61" s="141"/>
      <c r="M61" s="141"/>
      <c r="N61" s="271"/>
      <c r="O61" s="272"/>
      <c r="P61" s="272"/>
      <c r="Q61" s="273"/>
      <c r="R61" s="273"/>
      <c r="S61" s="272"/>
      <c r="T61" s="33" t="s">
        <v>104</v>
      </c>
      <c r="U61" s="34"/>
      <c r="V61" s="34" t="s">
        <v>119</v>
      </c>
      <c r="W61" s="34"/>
      <c r="X61" s="145">
        <v>12</v>
      </c>
      <c r="Y61" s="34">
        <v>50</v>
      </c>
      <c r="Z61" s="217">
        <f>(VLOOKUP(T61,'Price lists'!N1:O26,2,FALSE))*$E$1</f>
        <v>1.2527685492801772</v>
      </c>
      <c r="AA61" s="213">
        <f t="shared" ref="AA61:AA71" si="3">Y61*Z61*X61</f>
        <v>751.66112956810639</v>
      </c>
      <c r="AB61" s="174"/>
    </row>
    <row r="62" spans="1:34" x14ac:dyDescent="0.2">
      <c r="A62" s="358"/>
      <c r="B62" s="17" t="s">
        <v>390</v>
      </c>
      <c r="C62" s="21"/>
      <c r="D62" s="21"/>
      <c r="E62" s="21"/>
      <c r="F62" s="21">
        <v>12</v>
      </c>
      <c r="G62" s="21">
        <v>14</v>
      </c>
      <c r="H62" s="214">
        <f>('Price lists'!O16)*$E$1</f>
        <v>4.8415005537098565</v>
      </c>
      <c r="I62" s="210">
        <f t="shared" ref="I62:I65" si="4">F62*G62*H62</f>
        <v>813.37209302325596</v>
      </c>
      <c r="J62" s="107" t="s">
        <v>185</v>
      </c>
      <c r="K62" s="31"/>
      <c r="L62" s="39"/>
      <c r="M62" s="39"/>
      <c r="N62" s="40"/>
      <c r="O62" s="130"/>
      <c r="P62" s="40"/>
      <c r="Q62" s="214"/>
      <c r="R62" s="232"/>
      <c r="S62" s="163"/>
      <c r="T62" s="35" t="s">
        <v>87</v>
      </c>
      <c r="U62" s="36"/>
      <c r="V62" s="36" t="s">
        <v>119</v>
      </c>
      <c r="W62" s="36"/>
      <c r="X62" s="146">
        <v>12</v>
      </c>
      <c r="Y62" s="36">
        <v>2</v>
      </c>
      <c r="Z62" s="214">
        <f>(VLOOKUP(T62,'Price lists'!N2:O26,2,FALSE))*$E$1</f>
        <v>5.6852159468438535</v>
      </c>
      <c r="AA62" s="210">
        <f t="shared" si="3"/>
        <v>136.44518272425248</v>
      </c>
      <c r="AB62" s="174"/>
    </row>
    <row r="63" spans="1:34" x14ac:dyDescent="0.2">
      <c r="A63" s="358"/>
      <c r="B63" s="35" t="s">
        <v>391</v>
      </c>
      <c r="C63" s="21"/>
      <c r="D63" s="21"/>
      <c r="E63" s="21"/>
      <c r="F63" s="21">
        <v>12</v>
      </c>
      <c r="G63" s="21">
        <f>50*7</f>
        <v>350</v>
      </c>
      <c r="H63" s="216">
        <f>('Price lists'!O11)*$E$1</f>
        <v>0.10278239202657807</v>
      </c>
      <c r="I63" s="209">
        <f t="shared" si="4"/>
        <v>431.68604651162792</v>
      </c>
      <c r="J63" s="133" t="s">
        <v>348</v>
      </c>
      <c r="K63" s="35"/>
      <c r="L63" s="36"/>
      <c r="M63" s="36"/>
      <c r="N63" s="36"/>
      <c r="O63" s="146"/>
      <c r="P63" s="36"/>
      <c r="Q63" s="214"/>
      <c r="R63" s="210"/>
      <c r="S63" s="163"/>
      <c r="T63" s="35" t="s">
        <v>95</v>
      </c>
      <c r="U63" s="36"/>
      <c r="V63" s="36" t="s">
        <v>119</v>
      </c>
      <c r="W63" s="36"/>
      <c r="X63" s="146">
        <v>12</v>
      </c>
      <c r="Y63" s="36">
        <v>2</v>
      </c>
      <c r="Z63" s="214">
        <f>(VLOOKUP(T63,'Price lists'!N3:O26,2,FALSE))*$E$1</f>
        <v>8.0287929125138433</v>
      </c>
      <c r="AA63" s="210">
        <f t="shared" si="3"/>
        <v>192.69102990033224</v>
      </c>
      <c r="AB63" s="174"/>
    </row>
    <row r="64" spans="1:34" x14ac:dyDescent="0.2">
      <c r="A64" s="358"/>
      <c r="B64" s="17" t="s">
        <v>392</v>
      </c>
      <c r="C64" s="21"/>
      <c r="D64" s="21"/>
      <c r="E64" s="21"/>
      <c r="F64" s="21">
        <v>12</v>
      </c>
      <c r="G64" s="21">
        <f>50*7</f>
        <v>350</v>
      </c>
      <c r="H64" s="216">
        <f>('Price lists'!O17)*$E$1</f>
        <v>0.20764119601328904</v>
      </c>
      <c r="I64" s="209">
        <f t="shared" si="4"/>
        <v>872.09302325581393</v>
      </c>
      <c r="J64" s="133" t="s">
        <v>348</v>
      </c>
      <c r="K64" s="35"/>
      <c r="L64" s="36"/>
      <c r="M64" s="36"/>
      <c r="N64" s="36"/>
      <c r="O64" s="146"/>
      <c r="P64" s="36"/>
      <c r="Q64" s="214"/>
      <c r="R64" s="210"/>
      <c r="S64" s="163"/>
      <c r="T64" s="35" t="s">
        <v>116</v>
      </c>
      <c r="U64" s="36"/>
      <c r="V64" s="36" t="s">
        <v>119</v>
      </c>
      <c r="W64" s="36"/>
      <c r="X64" s="146">
        <v>12</v>
      </c>
      <c r="Y64" s="36">
        <v>0</v>
      </c>
      <c r="Z64" s="214">
        <f>(VLOOKUP(T64,'Price lists'!R1:S26,2,FALSE))*$E$1</f>
        <v>72.88205980066445</v>
      </c>
      <c r="AA64" s="210">
        <f t="shared" si="3"/>
        <v>0</v>
      </c>
      <c r="AB64" s="174" t="s">
        <v>173</v>
      </c>
    </row>
    <row r="65" spans="1:29" x14ac:dyDescent="0.2">
      <c r="A65" s="358"/>
      <c r="B65" s="17" t="s">
        <v>393</v>
      </c>
      <c r="C65" s="21"/>
      <c r="D65" s="21"/>
      <c r="E65" s="21"/>
      <c r="F65" s="21">
        <v>12</v>
      </c>
      <c r="G65" s="21">
        <f>50*7</f>
        <v>350</v>
      </c>
      <c r="H65" s="216">
        <f>('Price lists'!O18)*$E$1</f>
        <v>0.16472868217054262</v>
      </c>
      <c r="I65" s="209">
        <f t="shared" si="4"/>
        <v>691.86046511627899</v>
      </c>
      <c r="J65" s="133" t="s">
        <v>348</v>
      </c>
      <c r="K65" s="35"/>
      <c r="L65" s="36"/>
      <c r="M65" s="36"/>
      <c r="N65" s="36"/>
      <c r="O65" s="146"/>
      <c r="P65" s="36"/>
      <c r="Q65" s="214"/>
      <c r="R65" s="210"/>
      <c r="S65" s="194" t="s">
        <v>188</v>
      </c>
      <c r="T65" s="35" t="s">
        <v>17</v>
      </c>
      <c r="U65" s="36"/>
      <c r="V65" s="36" t="s">
        <v>119</v>
      </c>
      <c r="W65" s="36"/>
      <c r="X65" s="146">
        <v>12</v>
      </c>
      <c r="Y65" s="36">
        <v>0</v>
      </c>
      <c r="Z65" s="214">
        <f>(VLOOKUP(T65,'Price lists'!R2:S27,2,FALSE))*$E$1</f>
        <v>2.6128183831672205</v>
      </c>
      <c r="AA65" s="210">
        <f t="shared" si="3"/>
        <v>0</v>
      </c>
      <c r="AB65" s="175" t="s">
        <v>167</v>
      </c>
    </row>
    <row r="66" spans="1:29" x14ac:dyDescent="0.2">
      <c r="A66" s="358"/>
      <c r="B66" s="17"/>
      <c r="C66" s="21"/>
      <c r="D66" s="21"/>
      <c r="E66" s="21"/>
      <c r="F66" s="21"/>
      <c r="G66" s="21"/>
      <c r="H66" s="214"/>
      <c r="I66" s="210"/>
      <c r="J66" s="107"/>
      <c r="K66" s="35"/>
      <c r="L66" s="36"/>
      <c r="M66" s="36"/>
      <c r="N66" s="36"/>
      <c r="O66" s="146"/>
      <c r="P66" s="36"/>
      <c r="Q66" s="214"/>
      <c r="R66" s="210"/>
      <c r="S66" s="163"/>
      <c r="T66" s="35" t="s">
        <v>18</v>
      </c>
      <c r="U66" s="36"/>
      <c r="V66" s="36" t="s">
        <v>119</v>
      </c>
      <c r="W66" s="36"/>
      <c r="X66" s="146">
        <v>12</v>
      </c>
      <c r="Y66" s="36">
        <v>0</v>
      </c>
      <c r="Z66" s="214">
        <f>(VLOOKUP(T66,'Price lists'!R3:S28,2,FALSE))*$E$1</f>
        <v>10.7281284606866</v>
      </c>
      <c r="AA66" s="210">
        <f t="shared" si="3"/>
        <v>0</v>
      </c>
      <c r="AB66" s="173" t="s">
        <v>170</v>
      </c>
    </row>
    <row r="67" spans="1:29" x14ac:dyDescent="0.2">
      <c r="A67" s="358"/>
      <c r="B67" s="17"/>
      <c r="C67" s="21"/>
      <c r="D67" s="21"/>
      <c r="E67" s="21"/>
      <c r="F67" s="21"/>
      <c r="G67" s="21"/>
      <c r="H67" s="214"/>
      <c r="I67" s="210"/>
      <c r="J67" s="107"/>
      <c r="K67" s="35"/>
      <c r="L67" s="36"/>
      <c r="M67" s="36"/>
      <c r="N67" s="36"/>
      <c r="O67" s="146"/>
      <c r="P67" s="36"/>
      <c r="Q67" s="214"/>
      <c r="R67" s="210"/>
      <c r="S67" s="163"/>
      <c r="T67" s="35" t="s">
        <v>31</v>
      </c>
      <c r="U67" s="36"/>
      <c r="V67" s="36" t="s">
        <v>119</v>
      </c>
      <c r="W67" s="36"/>
      <c r="X67" s="146">
        <v>12</v>
      </c>
      <c r="Y67" s="36">
        <v>0</v>
      </c>
      <c r="Z67" s="214">
        <f>(VLOOKUP(T67,'Price lists'!R4:S29,2,FALSE))*$E$1</f>
        <v>4.6675294173453716</v>
      </c>
      <c r="AA67" s="210">
        <f t="shared" si="3"/>
        <v>0</v>
      </c>
      <c r="AB67" s="174" t="s">
        <v>168</v>
      </c>
      <c r="AC67" s="1" t="s">
        <v>169</v>
      </c>
    </row>
    <row r="68" spans="1:29" x14ac:dyDescent="0.2">
      <c r="A68" s="358"/>
      <c r="B68" s="17" t="s">
        <v>394</v>
      </c>
      <c r="C68" s="21"/>
      <c r="D68" s="21"/>
      <c r="E68" s="21"/>
      <c r="F68" s="21">
        <v>12</v>
      </c>
      <c r="G68" s="21">
        <f>50*4</f>
        <v>200</v>
      </c>
      <c r="H68" s="214">
        <f>('Price lists'!O3)*$E$1</f>
        <v>0.27685492801771872</v>
      </c>
      <c r="I68" s="210">
        <f t="shared" ref="I68:I72" si="5">F68*G68*H68</f>
        <v>664.45182724252493</v>
      </c>
      <c r="J68" s="107" t="s">
        <v>348</v>
      </c>
      <c r="K68" s="35"/>
      <c r="L68" s="36"/>
      <c r="M68" s="36"/>
      <c r="N68" s="36"/>
      <c r="O68" s="146"/>
      <c r="P68" s="36"/>
      <c r="Q68" s="214"/>
      <c r="R68" s="210"/>
      <c r="S68" s="163"/>
      <c r="T68" s="35" t="s">
        <v>25</v>
      </c>
      <c r="U68" s="36"/>
      <c r="V68" s="36" t="s">
        <v>119</v>
      </c>
      <c r="W68" s="36"/>
      <c r="X68" s="146">
        <v>12</v>
      </c>
      <c r="Y68" s="36">
        <v>200</v>
      </c>
      <c r="Z68" s="214">
        <f>(VLOOKUP(T68,'Price lists'!N1:O26,2,FALSE))*$E$1</f>
        <v>0.10278239202657807</v>
      </c>
      <c r="AA68" s="210">
        <f t="shared" si="3"/>
        <v>246.67774086378739</v>
      </c>
      <c r="AB68" s="174"/>
    </row>
    <row r="69" spans="1:29" x14ac:dyDescent="0.2">
      <c r="A69" s="358"/>
      <c r="B69" s="17" t="s">
        <v>395</v>
      </c>
      <c r="C69" s="21"/>
      <c r="D69" s="21"/>
      <c r="E69" s="21"/>
      <c r="F69" s="21">
        <v>12</v>
      </c>
      <c r="G69" s="21">
        <v>8</v>
      </c>
      <c r="H69" s="214">
        <f>('Price lists'!O16)*$E$1</f>
        <v>4.8415005537098565</v>
      </c>
      <c r="I69" s="210">
        <f t="shared" si="5"/>
        <v>464.78405315614623</v>
      </c>
      <c r="J69" s="190" t="s">
        <v>224</v>
      </c>
      <c r="K69" s="35"/>
      <c r="L69" s="36"/>
      <c r="M69" s="36"/>
      <c r="N69" s="36"/>
      <c r="O69" s="146"/>
      <c r="P69" s="36"/>
      <c r="Q69" s="214"/>
      <c r="R69" s="210"/>
      <c r="S69" s="163"/>
      <c r="T69" s="35" t="s">
        <v>26</v>
      </c>
      <c r="U69" s="36" t="s">
        <v>117</v>
      </c>
      <c r="V69" s="36" t="s">
        <v>119</v>
      </c>
      <c r="W69" s="36"/>
      <c r="X69" s="146">
        <v>12</v>
      </c>
      <c r="Y69" s="36">
        <v>20</v>
      </c>
      <c r="Z69" s="214">
        <f>(VLOOKUP(T69,'Price lists'!N2:O26,2,FALSE))*$E$1</f>
        <v>7.6135105204872646</v>
      </c>
      <c r="AA69" s="210">
        <f t="shared" si="3"/>
        <v>1827.2425249169435</v>
      </c>
      <c r="AB69" s="174" t="s">
        <v>312</v>
      </c>
    </row>
    <row r="70" spans="1:29" x14ac:dyDescent="0.2">
      <c r="A70" s="358"/>
      <c r="B70" s="35" t="s">
        <v>396</v>
      </c>
      <c r="C70" s="21"/>
      <c r="D70" s="21"/>
      <c r="E70" s="21"/>
      <c r="F70" s="21">
        <v>12</v>
      </c>
      <c r="G70" s="21">
        <f>50*4</f>
        <v>200</v>
      </c>
      <c r="H70" s="216">
        <f>('Price lists'!O11)*$E$1</f>
        <v>0.10278239202657807</v>
      </c>
      <c r="I70" s="209">
        <f t="shared" si="5"/>
        <v>246.67774086378736</v>
      </c>
      <c r="J70" s="107"/>
      <c r="K70" s="35"/>
      <c r="L70" s="36"/>
      <c r="M70" s="36"/>
      <c r="N70" s="36"/>
      <c r="O70" s="146"/>
      <c r="P70" s="36"/>
      <c r="Q70" s="214"/>
      <c r="R70" s="210"/>
      <c r="S70" s="163"/>
      <c r="T70" s="35" t="s">
        <v>27</v>
      </c>
      <c r="U70" s="36"/>
      <c r="V70" s="36" t="s">
        <v>119</v>
      </c>
      <c r="W70" s="36"/>
      <c r="X70" s="146">
        <v>12</v>
      </c>
      <c r="Y70" s="36">
        <v>200</v>
      </c>
      <c r="Z70" s="214">
        <f>(VLOOKUP(T70,'Price lists'!N3:O26,2,FALSE))*$E$1</f>
        <v>6.8867663344407526E-2</v>
      </c>
      <c r="AA70" s="210">
        <f t="shared" si="3"/>
        <v>165.28239202657807</v>
      </c>
      <c r="AB70" s="174"/>
    </row>
    <row r="71" spans="1:29" x14ac:dyDescent="0.2">
      <c r="A71" s="358"/>
      <c r="B71" s="17" t="s">
        <v>397</v>
      </c>
      <c r="C71" s="21"/>
      <c r="D71" s="21"/>
      <c r="E71" s="21"/>
      <c r="F71" s="21">
        <v>12</v>
      </c>
      <c r="G71" s="21">
        <f>50*4</f>
        <v>200</v>
      </c>
      <c r="H71" s="216">
        <f>('Price lists'!O17)*$E$1</f>
        <v>0.20764119601328904</v>
      </c>
      <c r="I71" s="209">
        <f t="shared" si="5"/>
        <v>498.33887043189367</v>
      </c>
      <c r="J71" s="107"/>
      <c r="K71" s="35"/>
      <c r="L71" s="36"/>
      <c r="M71" s="36"/>
      <c r="N71" s="36"/>
      <c r="O71" s="146"/>
      <c r="P71" s="36"/>
      <c r="Q71" s="214"/>
      <c r="R71" s="210"/>
      <c r="S71" s="163"/>
      <c r="T71" s="35" t="s">
        <v>118</v>
      </c>
      <c r="U71" s="36"/>
      <c r="V71" s="36" t="s">
        <v>119</v>
      </c>
      <c r="W71" s="36"/>
      <c r="X71" s="146">
        <v>12</v>
      </c>
      <c r="Y71" s="36">
        <v>6</v>
      </c>
      <c r="Z71" s="214">
        <f>(VLOOKUP(T71,'Price lists'!N4:O26,2,FALSE))*$E$1</f>
        <v>4.089849037160084</v>
      </c>
      <c r="AA71" s="210">
        <f t="shared" si="3"/>
        <v>294.46913067552606</v>
      </c>
      <c r="AB71" s="174" t="s">
        <v>228</v>
      </c>
    </row>
    <row r="72" spans="1:29" x14ac:dyDescent="0.2">
      <c r="A72" s="358"/>
      <c r="B72" s="17" t="s">
        <v>398</v>
      </c>
      <c r="C72" s="21"/>
      <c r="D72" s="21"/>
      <c r="E72" s="21"/>
      <c r="F72" s="21">
        <v>12</v>
      </c>
      <c r="G72" s="21">
        <f>50*4</f>
        <v>200</v>
      </c>
      <c r="H72" s="216">
        <f>('Price lists'!O18)*$E$1</f>
        <v>0.16472868217054262</v>
      </c>
      <c r="I72" s="209">
        <f t="shared" si="5"/>
        <v>395.3488372093023</v>
      </c>
      <c r="J72" s="107"/>
      <c r="K72" s="35"/>
      <c r="L72" s="36"/>
      <c r="M72" s="36"/>
      <c r="N72" s="36"/>
      <c r="O72" s="146"/>
      <c r="P72" s="36"/>
      <c r="Q72" s="214"/>
      <c r="R72" s="210"/>
      <c r="S72" s="163"/>
      <c r="T72" s="35"/>
      <c r="U72" s="36" t="s">
        <v>421</v>
      </c>
      <c r="V72" s="36"/>
      <c r="W72" s="57">
        <v>0.5</v>
      </c>
      <c r="X72" s="146"/>
      <c r="Y72" s="36"/>
      <c r="Z72" s="214">
        <f>AA74*W72</f>
        <v>1807.2345653377631</v>
      </c>
      <c r="AA72" s="210"/>
      <c r="AB72" s="174"/>
    </row>
    <row r="73" spans="1:29" ht="15" thickBot="1" x14ac:dyDescent="0.25">
      <c r="A73" s="358"/>
      <c r="B73" s="29"/>
      <c r="C73" s="30"/>
      <c r="D73" s="30"/>
      <c r="E73" s="30"/>
      <c r="F73" s="30"/>
      <c r="G73" s="30"/>
      <c r="H73" s="218"/>
      <c r="I73" s="219"/>
      <c r="J73" s="190" t="s">
        <v>222</v>
      </c>
      <c r="K73" s="48"/>
      <c r="L73" s="49"/>
      <c r="M73" s="49"/>
      <c r="N73" s="49"/>
      <c r="O73" s="147"/>
      <c r="P73" s="49"/>
      <c r="Q73" s="218"/>
      <c r="R73" s="219"/>
      <c r="S73" s="164"/>
      <c r="T73" s="48"/>
      <c r="U73" s="49" t="s">
        <v>422</v>
      </c>
      <c r="V73" s="49"/>
      <c r="W73" s="277">
        <v>0.5</v>
      </c>
      <c r="X73" s="147"/>
      <c r="Y73" s="49"/>
      <c r="Z73" s="218">
        <f>AA74*W73</f>
        <v>1807.2345653377631</v>
      </c>
      <c r="AA73" s="219"/>
      <c r="AB73" s="198" t="s">
        <v>323</v>
      </c>
    </row>
    <row r="74" spans="1:29" ht="15" thickBot="1" x14ac:dyDescent="0.25">
      <c r="A74" s="2" t="s">
        <v>50</v>
      </c>
      <c r="B74" s="3"/>
      <c r="C74" s="4"/>
      <c r="D74" s="5"/>
      <c r="E74" s="5"/>
      <c r="F74" s="14"/>
      <c r="G74" s="14"/>
      <c r="H74" s="220"/>
      <c r="I74" s="215">
        <f>SUM(I61:I73)</f>
        <v>6241.4036544850505</v>
      </c>
      <c r="J74" s="135" t="s">
        <v>255</v>
      </c>
      <c r="K74" s="11"/>
      <c r="L74" s="12"/>
      <c r="M74" s="12"/>
      <c r="N74" s="12"/>
      <c r="O74" s="148"/>
      <c r="P74" s="12"/>
      <c r="Q74" s="220"/>
      <c r="R74" s="215">
        <f>SUM(R61:R73)</f>
        <v>0</v>
      </c>
      <c r="S74" s="165"/>
      <c r="T74" s="11"/>
      <c r="U74" s="12"/>
      <c r="V74" s="12"/>
      <c r="W74" s="12"/>
      <c r="X74" s="148"/>
      <c r="Y74" s="12"/>
      <c r="Z74" s="220"/>
      <c r="AA74" s="215">
        <f>SUM(AA61:AA73)</f>
        <v>3614.4691306755262</v>
      </c>
      <c r="AB74" s="172"/>
    </row>
    <row r="75" spans="1:29" x14ac:dyDescent="0.2">
      <c r="A75" s="360" t="s">
        <v>12</v>
      </c>
      <c r="B75" s="27" t="s">
        <v>13</v>
      </c>
      <c r="C75" s="28" t="s">
        <v>49</v>
      </c>
      <c r="D75" s="28"/>
      <c r="E75" s="28">
        <v>0</v>
      </c>
      <c r="F75" s="28">
        <v>0</v>
      </c>
      <c r="G75" s="28"/>
      <c r="H75" s="217">
        <v>0</v>
      </c>
      <c r="I75" s="213">
        <f>E75*F75*G75*H75</f>
        <v>0</v>
      </c>
      <c r="J75" s="107"/>
      <c r="K75" s="32" t="s">
        <v>161</v>
      </c>
      <c r="L75" s="37" t="s">
        <v>367</v>
      </c>
      <c r="M75" s="37" t="s">
        <v>142</v>
      </c>
      <c r="N75" s="129">
        <v>1</v>
      </c>
      <c r="O75" s="156">
        <v>21</v>
      </c>
      <c r="P75" s="55">
        <v>1</v>
      </c>
      <c r="Q75" s="217">
        <f>3.55*102*$E$1</f>
        <v>25.062292358803983</v>
      </c>
      <c r="R75" s="213">
        <f>P75*Q75*O75*N75</f>
        <v>526.30813953488359</v>
      </c>
      <c r="S75" s="169" t="s">
        <v>164</v>
      </c>
      <c r="T75" s="33" t="s">
        <v>13</v>
      </c>
      <c r="U75" s="34"/>
      <c r="V75" s="34"/>
      <c r="W75" s="34"/>
      <c r="X75" s="145"/>
      <c r="Y75" s="34"/>
      <c r="Z75" s="217"/>
      <c r="AA75" s="213">
        <v>0</v>
      </c>
      <c r="AB75" s="198" t="s">
        <v>171</v>
      </c>
    </row>
    <row r="76" spans="1:29" x14ac:dyDescent="0.2">
      <c r="A76" s="358"/>
      <c r="B76" s="17"/>
      <c r="C76" s="21"/>
      <c r="D76" s="21"/>
      <c r="E76" s="21"/>
      <c r="F76" s="21"/>
      <c r="G76" s="21"/>
      <c r="H76" s="214"/>
      <c r="I76" s="210"/>
      <c r="J76" s="107"/>
      <c r="K76" s="31"/>
      <c r="L76" s="39" t="s">
        <v>366</v>
      </c>
      <c r="M76" s="36" t="s">
        <v>142</v>
      </c>
      <c r="N76" s="40">
        <v>1</v>
      </c>
      <c r="O76" s="130">
        <v>12</v>
      </c>
      <c r="P76" s="130">
        <v>1</v>
      </c>
      <c r="Q76" s="214">
        <f>3.55*40*$E$1</f>
        <v>9.8283499446290143</v>
      </c>
      <c r="R76" s="232">
        <f>P76*Q76*O76*N76</f>
        <v>117.94019933554817</v>
      </c>
      <c r="S76" s="160" t="s">
        <v>164</v>
      </c>
      <c r="T76" s="35"/>
      <c r="U76" s="36"/>
      <c r="V76" s="36"/>
      <c r="W76" s="36"/>
      <c r="X76" s="146"/>
      <c r="Y76" s="36"/>
      <c r="Z76" s="214"/>
      <c r="AA76" s="210"/>
      <c r="AB76" s="174"/>
    </row>
    <row r="77" spans="1:29" x14ac:dyDescent="0.2">
      <c r="A77" s="358"/>
      <c r="B77" s="17"/>
      <c r="C77" s="21"/>
      <c r="D77" s="21"/>
      <c r="E77" s="21"/>
      <c r="F77" s="21"/>
      <c r="G77" s="21"/>
      <c r="H77" s="214"/>
      <c r="I77" s="210"/>
      <c r="J77" s="107"/>
      <c r="K77" s="35"/>
      <c r="L77" s="36"/>
      <c r="M77" s="36"/>
      <c r="N77" s="36"/>
      <c r="O77" s="146"/>
      <c r="P77" s="36"/>
      <c r="Q77" s="214"/>
      <c r="R77" s="210"/>
      <c r="S77" s="163"/>
      <c r="T77" s="35"/>
      <c r="U77" s="36"/>
      <c r="V77" s="36"/>
      <c r="W77" s="36"/>
      <c r="X77" s="146"/>
      <c r="Y77" s="36"/>
      <c r="Z77" s="214"/>
      <c r="AA77" s="210"/>
      <c r="AB77" s="174"/>
    </row>
    <row r="78" spans="1:29" x14ac:dyDescent="0.2">
      <c r="A78" s="358"/>
      <c r="B78" s="17"/>
      <c r="C78" s="21"/>
      <c r="D78" s="21"/>
      <c r="E78" s="21"/>
      <c r="F78" s="21"/>
      <c r="G78" s="21"/>
      <c r="H78" s="214"/>
      <c r="I78" s="210"/>
      <c r="J78" s="107"/>
      <c r="K78" s="35"/>
      <c r="L78" s="36"/>
      <c r="M78" s="36"/>
      <c r="N78" s="36"/>
      <c r="O78" s="146"/>
      <c r="P78" s="36"/>
      <c r="Q78" s="214"/>
      <c r="R78" s="210"/>
      <c r="S78" s="163"/>
      <c r="T78" s="35"/>
      <c r="U78" s="36"/>
      <c r="V78" s="36"/>
      <c r="W78" s="36"/>
      <c r="X78" s="146"/>
      <c r="Y78" s="36"/>
      <c r="Z78" s="214"/>
      <c r="AA78" s="210"/>
      <c r="AB78" s="174"/>
    </row>
    <row r="79" spans="1:29" x14ac:dyDescent="0.2">
      <c r="A79" s="358"/>
      <c r="B79" s="17"/>
      <c r="C79" s="21"/>
      <c r="D79" s="21"/>
      <c r="E79" s="21"/>
      <c r="F79" s="21"/>
      <c r="G79" s="21"/>
      <c r="H79" s="214"/>
      <c r="I79" s="210"/>
      <c r="J79" s="190" t="s">
        <v>153</v>
      </c>
      <c r="K79" s="35"/>
      <c r="L79" s="36"/>
      <c r="M79" s="36"/>
      <c r="N79" s="36"/>
      <c r="O79" s="146"/>
      <c r="P79" s="36"/>
      <c r="Q79" s="214"/>
      <c r="R79" s="210"/>
      <c r="S79" s="163" t="s">
        <v>143</v>
      </c>
      <c r="T79" s="35"/>
      <c r="U79" s="36"/>
      <c r="V79" s="36"/>
      <c r="W79" s="36"/>
      <c r="X79" s="146"/>
      <c r="Y79" s="36"/>
      <c r="Z79" s="214"/>
      <c r="AA79" s="210"/>
      <c r="AB79" s="174"/>
    </row>
    <row r="80" spans="1:29" x14ac:dyDescent="0.2">
      <c r="A80" s="358"/>
      <c r="B80" s="17"/>
      <c r="C80" s="21"/>
      <c r="D80" s="21"/>
      <c r="E80" s="21"/>
      <c r="F80" s="21"/>
      <c r="G80" s="21"/>
      <c r="H80" s="214"/>
      <c r="I80" s="210"/>
      <c r="J80" s="107"/>
      <c r="K80" s="35"/>
      <c r="L80" s="36"/>
      <c r="M80" s="36"/>
      <c r="N80" s="36"/>
      <c r="O80" s="146"/>
      <c r="P80" s="36"/>
      <c r="Q80" s="214"/>
      <c r="R80" s="210"/>
      <c r="S80" s="193" t="s">
        <v>193</v>
      </c>
      <c r="T80" s="35"/>
      <c r="U80" s="36"/>
      <c r="V80" s="36"/>
      <c r="W80" s="36"/>
      <c r="X80" s="146"/>
      <c r="Y80" s="36"/>
      <c r="Z80" s="214"/>
      <c r="AA80" s="210"/>
      <c r="AB80" s="174"/>
    </row>
    <row r="81" spans="1:28" ht="15" thickBot="1" x14ac:dyDescent="0.25">
      <c r="A81" s="358"/>
      <c r="B81" s="29"/>
      <c r="C81" s="30"/>
      <c r="D81" s="30"/>
      <c r="E81" s="30"/>
      <c r="F81" s="30"/>
      <c r="G81" s="30"/>
      <c r="H81" s="218"/>
      <c r="I81" s="219"/>
      <c r="J81" s="108"/>
      <c r="K81" s="48"/>
      <c r="L81" s="49"/>
      <c r="M81" s="49"/>
      <c r="N81" s="49"/>
      <c r="O81" s="147"/>
      <c r="P81" s="49"/>
      <c r="Q81" s="218"/>
      <c r="R81" s="219"/>
      <c r="S81" s="164"/>
      <c r="T81" s="48"/>
      <c r="U81" s="49"/>
      <c r="V81" s="49"/>
      <c r="W81" s="49"/>
      <c r="X81" s="147"/>
      <c r="Y81" s="49"/>
      <c r="Z81" s="218"/>
      <c r="AA81" s="219"/>
      <c r="AB81" s="174"/>
    </row>
    <row r="82" spans="1:28" ht="15" thickBot="1" x14ac:dyDescent="0.25">
      <c r="A82" s="2" t="s">
        <v>50</v>
      </c>
      <c r="B82" s="3"/>
      <c r="C82" s="4"/>
      <c r="D82" s="5"/>
      <c r="E82" s="5"/>
      <c r="F82" s="14"/>
      <c r="G82" s="14"/>
      <c r="H82" s="220"/>
      <c r="I82" s="215">
        <f>SUM(I75:I81)</f>
        <v>0</v>
      </c>
      <c r="J82" s="135"/>
      <c r="K82" s="12"/>
      <c r="L82" s="12"/>
      <c r="M82" s="12"/>
      <c r="N82" s="12"/>
      <c r="O82" s="148"/>
      <c r="P82" s="12"/>
      <c r="Q82" s="220"/>
      <c r="R82" s="215">
        <f>SUM(R75:R81)</f>
        <v>644.24833887043178</v>
      </c>
      <c r="S82" s="165"/>
      <c r="T82" s="11"/>
      <c r="U82" s="12"/>
      <c r="V82" s="12"/>
      <c r="W82" s="12"/>
      <c r="X82" s="148"/>
      <c r="Y82" s="12"/>
      <c r="Z82" s="220"/>
      <c r="AA82" s="215">
        <f>SUM(AA75:AA81)</f>
        <v>0</v>
      </c>
      <c r="AB82" s="172"/>
    </row>
    <row r="83" spans="1:28" x14ac:dyDescent="0.2">
      <c r="A83" s="360" t="s">
        <v>56</v>
      </c>
      <c r="B83" s="27" t="s">
        <v>57</v>
      </c>
      <c r="C83" s="47" t="s">
        <v>32</v>
      </c>
      <c r="D83" s="28"/>
      <c r="E83" s="41">
        <v>0.3</v>
      </c>
      <c r="F83" s="28">
        <v>50</v>
      </c>
      <c r="G83" s="28">
        <v>1</v>
      </c>
      <c r="H83" s="217">
        <f>(H10/5)*$E$1</f>
        <v>1.1352630190780939</v>
      </c>
      <c r="I83" s="224">
        <f>H83*G83*E83*F83*3</f>
        <v>51.08683585851422</v>
      </c>
      <c r="J83" s="336" t="s">
        <v>346</v>
      </c>
      <c r="K83" s="32" t="s">
        <v>399</v>
      </c>
      <c r="L83" s="37" t="s">
        <v>62</v>
      </c>
      <c r="M83" s="28" t="s">
        <v>47</v>
      </c>
      <c r="N83" s="50">
        <f>P107</f>
        <v>0.44478759979022203</v>
      </c>
      <c r="O83" s="154">
        <v>12</v>
      </c>
      <c r="P83" s="51">
        <v>1</v>
      </c>
      <c r="Q83" s="233">
        <f>(2851.99/8)*$E$1</f>
        <v>24.674608942414174</v>
      </c>
      <c r="R83" s="213">
        <f>N83*P83*Q83*O83</f>
        <v>131.69952104710498</v>
      </c>
      <c r="S83" s="169" t="s">
        <v>162</v>
      </c>
      <c r="T83" s="33" t="s">
        <v>19</v>
      </c>
      <c r="U83" s="34" t="s">
        <v>367</v>
      </c>
      <c r="V83" s="34" t="s">
        <v>51</v>
      </c>
      <c r="W83" s="98">
        <v>1</v>
      </c>
      <c r="X83" s="145">
        <v>1</v>
      </c>
      <c r="Y83" s="34">
        <v>25</v>
      </c>
      <c r="Z83" s="214">
        <f>17163.63*1.04124*$E$1</f>
        <v>1236.9503115448506</v>
      </c>
      <c r="AA83" s="213">
        <f>W83*X83*Y83*Z83</f>
        <v>30923.757788621264</v>
      </c>
      <c r="AB83" s="174" t="s">
        <v>340</v>
      </c>
    </row>
    <row r="84" spans="1:28" x14ac:dyDescent="0.2">
      <c r="A84" s="358"/>
      <c r="B84" s="17" t="s">
        <v>15</v>
      </c>
      <c r="C84" s="21" t="s">
        <v>33</v>
      </c>
      <c r="D84" s="21"/>
      <c r="E84" s="97">
        <v>0.3</v>
      </c>
      <c r="F84" s="21">
        <v>1</v>
      </c>
      <c r="G84" s="21">
        <v>2</v>
      </c>
      <c r="H84" s="214">
        <f>(VLOOKUP(B84,'Price lists'!G1:K26,5,FALSE))*$E$1</f>
        <v>15.970641149649765</v>
      </c>
      <c r="I84" s="210">
        <f>E84*F84*G84*H84*F84</f>
        <v>9.5823846897898584</v>
      </c>
      <c r="J84" s="107"/>
      <c r="K84" s="31" t="s">
        <v>400</v>
      </c>
      <c r="L84" s="39" t="s">
        <v>62</v>
      </c>
      <c r="M84" s="21" t="s">
        <v>47</v>
      </c>
      <c r="N84" s="40">
        <f>O107</f>
        <v>0.23873900122370492</v>
      </c>
      <c r="O84" s="130">
        <v>12</v>
      </c>
      <c r="P84" s="130">
        <v>1</v>
      </c>
      <c r="Q84" s="235">
        <f>(2851.99/8)*$E$1</f>
        <v>24.674608942414174</v>
      </c>
      <c r="R84" s="210">
        <f>N84*P84*Q84*O84</f>
        <v>70.689497933969506</v>
      </c>
      <c r="S84" s="160"/>
      <c r="T84" s="35"/>
      <c r="U84" s="36" t="s">
        <v>366</v>
      </c>
      <c r="V84" s="36" t="s">
        <v>51</v>
      </c>
      <c r="W84" s="57">
        <v>1</v>
      </c>
      <c r="X84" s="146">
        <v>1</v>
      </c>
      <c r="Y84" s="36">
        <v>25</v>
      </c>
      <c r="Z84" s="214">
        <f>17163.63*1.04124*$E$1</f>
        <v>1236.9503115448506</v>
      </c>
      <c r="AA84" s="210">
        <f>W84*X84*Y84*Z84</f>
        <v>30923.757788621264</v>
      </c>
      <c r="AB84" s="174" t="s">
        <v>340</v>
      </c>
    </row>
    <row r="85" spans="1:28" x14ac:dyDescent="0.2">
      <c r="A85" s="358"/>
      <c r="B85" s="17" t="s">
        <v>16</v>
      </c>
      <c r="C85" s="21" t="s">
        <v>34</v>
      </c>
      <c r="D85" s="21"/>
      <c r="E85" s="97">
        <v>0.3</v>
      </c>
      <c r="F85" s="21">
        <v>1</v>
      </c>
      <c r="G85" s="21">
        <v>15</v>
      </c>
      <c r="H85" s="214">
        <f>(VLOOKUP(B85,'Price lists'!G2:K26,5,FALSE))*$E$1</f>
        <v>0.94321103886820434</v>
      </c>
      <c r="I85" s="210">
        <f>E85*F85*G85*H85*F85</f>
        <v>4.2444496749069192</v>
      </c>
      <c r="J85" s="107"/>
      <c r="K85" s="35"/>
      <c r="L85" s="36"/>
      <c r="M85" s="36"/>
      <c r="N85" s="269"/>
      <c r="O85" s="146"/>
      <c r="P85" s="36"/>
      <c r="Q85" s="214"/>
      <c r="R85" s="210"/>
      <c r="S85" s="163"/>
      <c r="T85" s="35"/>
      <c r="U85" s="36"/>
      <c r="V85" s="36"/>
      <c r="W85" s="36"/>
      <c r="X85" s="146"/>
      <c r="Y85" s="36"/>
      <c r="Z85" s="214"/>
      <c r="AA85" s="210"/>
      <c r="AB85" s="174"/>
    </row>
    <row r="86" spans="1:28" x14ac:dyDescent="0.2">
      <c r="A86" s="358"/>
      <c r="B86" s="17"/>
      <c r="C86" s="21"/>
      <c r="D86" s="21"/>
      <c r="E86" s="21"/>
      <c r="F86" s="21"/>
      <c r="G86" s="21"/>
      <c r="H86" s="214"/>
      <c r="I86" s="210"/>
      <c r="J86" s="337" t="s">
        <v>347</v>
      </c>
      <c r="K86" s="35"/>
      <c r="L86" s="36"/>
      <c r="M86" s="36"/>
      <c r="N86" s="36"/>
      <c r="O86" s="146"/>
      <c r="P86" s="36"/>
      <c r="Q86" s="214"/>
      <c r="R86" s="210"/>
      <c r="S86" s="163"/>
      <c r="T86" s="35" t="s">
        <v>20</v>
      </c>
      <c r="U86" s="36" t="s">
        <v>367</v>
      </c>
      <c r="V86" s="36" t="s">
        <v>51</v>
      </c>
      <c r="W86" s="36"/>
      <c r="X86" s="146"/>
      <c r="Y86" s="36"/>
      <c r="Z86" s="214"/>
      <c r="AA86" s="210"/>
      <c r="AB86" s="174" t="s">
        <v>339</v>
      </c>
    </row>
    <row r="87" spans="1:28" x14ac:dyDescent="0.2">
      <c r="A87" s="358"/>
      <c r="B87" s="17"/>
      <c r="C87" s="21"/>
      <c r="D87" s="21"/>
      <c r="E87" s="21"/>
      <c r="F87" s="21"/>
      <c r="G87" s="21"/>
      <c r="H87" s="214"/>
      <c r="I87" s="210"/>
      <c r="J87" s="107"/>
      <c r="K87" s="31" t="s">
        <v>423</v>
      </c>
      <c r="L87" s="39" t="s">
        <v>62</v>
      </c>
      <c r="M87" s="21" t="s">
        <v>47</v>
      </c>
      <c r="N87" s="56">
        <f>(0.05*(1/3))</f>
        <v>1.6666666666666666E-2</v>
      </c>
      <c r="O87" s="157">
        <v>12</v>
      </c>
      <c r="P87" s="36">
        <v>1</v>
      </c>
      <c r="Q87" s="235">
        <f>(2851.99/8)*$E$1</f>
        <v>24.674608942414174</v>
      </c>
      <c r="R87" s="210">
        <f>N87*P87*Q87*O87</f>
        <v>4.9349217884828347</v>
      </c>
      <c r="S87" s="193" t="s">
        <v>274</v>
      </c>
      <c r="T87" s="35"/>
      <c r="U87" s="36" t="s">
        <v>366</v>
      </c>
      <c r="V87" s="36" t="s">
        <v>51</v>
      </c>
      <c r="W87" s="36"/>
      <c r="X87" s="146"/>
      <c r="Y87" s="36"/>
      <c r="Z87" s="214"/>
      <c r="AA87" s="210"/>
      <c r="AB87" s="174"/>
    </row>
    <row r="88" spans="1:28" x14ac:dyDescent="0.2">
      <c r="A88" s="358"/>
      <c r="B88" s="17"/>
      <c r="C88" s="21" t="s">
        <v>433</v>
      </c>
      <c r="D88" s="21"/>
      <c r="E88" s="21"/>
      <c r="F88" s="21"/>
      <c r="G88" s="21"/>
      <c r="H88" s="214">
        <f>(I83*0.5)+(I84*0.5)+(I85*0.5)</f>
        <v>32.4568351116055</v>
      </c>
      <c r="I88" s="210"/>
      <c r="J88" s="107"/>
      <c r="K88" s="35" t="s">
        <v>424</v>
      </c>
      <c r="L88" s="36" t="s">
        <v>62</v>
      </c>
      <c r="M88" s="36" t="s">
        <v>47</v>
      </c>
      <c r="N88" s="56">
        <f>(0.05*(1/3))</f>
        <v>1.6666666666666666E-2</v>
      </c>
      <c r="O88" s="146">
        <v>12</v>
      </c>
      <c r="P88" s="36">
        <v>1</v>
      </c>
      <c r="Q88" s="235">
        <f>(2851.99/8)*$E$1</f>
        <v>24.674608942414174</v>
      </c>
      <c r="R88" s="210">
        <f>N88*P88*Q88*O88</f>
        <v>4.9349217884828347</v>
      </c>
      <c r="S88" s="163"/>
      <c r="T88" s="35"/>
      <c r="U88" s="36"/>
      <c r="V88" s="36"/>
      <c r="W88" s="36"/>
      <c r="X88" s="146"/>
      <c r="Y88" s="36"/>
      <c r="Z88" s="214"/>
      <c r="AA88" s="210"/>
      <c r="AB88" s="174"/>
    </row>
    <row r="89" spans="1:28" x14ac:dyDescent="0.2">
      <c r="A89" s="358"/>
      <c r="B89" s="17"/>
      <c r="C89" s="21" t="s">
        <v>434</v>
      </c>
      <c r="D89" s="21"/>
      <c r="E89" s="21"/>
      <c r="F89" s="21"/>
      <c r="G89" s="21"/>
      <c r="H89" s="214">
        <f>(I83*0.5)+(I84*0.5)+(I85*0.5)</f>
        <v>32.4568351116055</v>
      </c>
      <c r="I89" s="210"/>
      <c r="J89" s="107"/>
      <c r="K89" s="35"/>
      <c r="L89" s="36"/>
      <c r="M89" s="36"/>
      <c r="N89" s="56"/>
      <c r="O89" s="146"/>
      <c r="P89" s="36"/>
      <c r="Q89" s="214"/>
      <c r="R89" s="210"/>
      <c r="S89" s="163"/>
      <c r="T89" s="35"/>
      <c r="U89" s="36"/>
      <c r="V89" s="36"/>
      <c r="W89" s="36"/>
      <c r="X89" s="146"/>
      <c r="Y89" s="36"/>
      <c r="Z89" s="214"/>
      <c r="AA89" s="210"/>
      <c r="AB89" s="174"/>
    </row>
    <row r="90" spans="1:28" x14ac:dyDescent="0.2">
      <c r="A90" s="358"/>
      <c r="B90" s="17"/>
      <c r="C90" s="21"/>
      <c r="D90" s="21"/>
      <c r="E90" s="21"/>
      <c r="F90" s="21"/>
      <c r="G90" s="21"/>
      <c r="H90" s="214"/>
      <c r="I90" s="210"/>
      <c r="J90" s="107"/>
      <c r="K90" s="35"/>
      <c r="L90" s="36"/>
      <c r="M90" s="36"/>
      <c r="N90" s="36"/>
      <c r="O90" s="146"/>
      <c r="P90" s="36"/>
      <c r="Q90" s="214"/>
      <c r="R90" s="210"/>
      <c r="S90" s="163"/>
      <c r="T90" s="35"/>
      <c r="U90" s="36"/>
      <c r="V90" s="36"/>
      <c r="W90" s="36"/>
      <c r="X90" s="146"/>
      <c r="Y90" s="36"/>
      <c r="Z90" s="214"/>
      <c r="AA90" s="210"/>
      <c r="AB90" s="174"/>
    </row>
    <row r="91" spans="1:28" ht="15" thickBot="1" x14ac:dyDescent="0.25">
      <c r="A91" s="358"/>
      <c r="B91" s="29"/>
      <c r="C91" s="30"/>
      <c r="D91" s="30"/>
      <c r="E91" s="30"/>
      <c r="F91" s="30"/>
      <c r="G91" s="30"/>
      <c r="H91" s="218"/>
      <c r="I91" s="219"/>
      <c r="J91" s="108"/>
      <c r="K91" s="48"/>
      <c r="L91" s="49"/>
      <c r="M91" s="49"/>
      <c r="N91" s="49"/>
      <c r="O91" s="147"/>
      <c r="P91" s="49"/>
      <c r="Q91" s="218"/>
      <c r="R91" s="219"/>
      <c r="S91" s="163" t="s">
        <v>163</v>
      </c>
      <c r="T91" s="48"/>
      <c r="U91" s="49"/>
      <c r="V91" s="49"/>
      <c r="W91" s="49"/>
      <c r="X91" s="147"/>
      <c r="Y91" s="49"/>
      <c r="Z91" s="218"/>
      <c r="AA91" s="219"/>
      <c r="AB91" s="174"/>
    </row>
    <row r="92" spans="1:28" ht="15" thickBot="1" x14ac:dyDescent="0.25">
      <c r="A92" s="58" t="s">
        <v>50</v>
      </c>
      <c r="B92" s="59"/>
      <c r="C92" s="60"/>
      <c r="D92" s="61"/>
      <c r="E92" s="61"/>
      <c r="F92" s="62" t="s">
        <v>367</v>
      </c>
      <c r="G92" s="62" t="s">
        <v>366</v>
      </c>
      <c r="H92" s="225"/>
      <c r="I92" s="226">
        <f>SUM(I83:I91)</f>
        <v>64.913670223211</v>
      </c>
      <c r="J92" s="136"/>
      <c r="K92" s="16"/>
      <c r="L92" s="16"/>
      <c r="M92" s="16"/>
      <c r="N92" s="16"/>
      <c r="O92" s="150" t="s">
        <v>367</v>
      </c>
      <c r="P92" s="16" t="s">
        <v>366</v>
      </c>
      <c r="Q92" s="225"/>
      <c r="R92" s="226">
        <f>SUM(R83:R91)</f>
        <v>212.25886255804014</v>
      </c>
      <c r="S92" s="168"/>
      <c r="T92" s="63"/>
      <c r="U92" s="16"/>
      <c r="V92" s="16"/>
      <c r="W92" s="16"/>
      <c r="X92" s="150" t="s">
        <v>367</v>
      </c>
      <c r="Y92" s="16" t="s">
        <v>366</v>
      </c>
      <c r="Z92" s="225"/>
      <c r="AA92" s="226">
        <f>SUM(AA83:AA91)</f>
        <v>61847.515577242528</v>
      </c>
      <c r="AB92" s="176"/>
    </row>
    <row r="93" spans="1:28" ht="16" thickTop="1" thickBot="1" x14ac:dyDescent="0.25">
      <c r="A93" s="64" t="s">
        <v>114</v>
      </c>
      <c r="B93" s="65"/>
      <c r="C93" s="65"/>
      <c r="D93" s="65" t="s">
        <v>257</v>
      </c>
      <c r="E93" s="65"/>
      <c r="F93" s="268">
        <f>H15+H23+H34+I38+H48+H54+I61+I62+I63+I64+I65+I75+H88</f>
        <v>65254.954389808256</v>
      </c>
      <c r="G93" s="268">
        <f>H16+H24+H35+I39+H49+H55+I68+I70+I69+I71+I72+I75+H89</f>
        <v>44633.583507613788</v>
      </c>
      <c r="H93" s="227"/>
      <c r="I93" s="228">
        <f>SUM(I17,I27,I37,I45,I51,I60,I74,I82,I92)</f>
        <v>109888.53789742204</v>
      </c>
      <c r="J93" s="137"/>
      <c r="K93" s="66"/>
      <c r="L93" s="66"/>
      <c r="M93" s="66"/>
      <c r="N93" s="66"/>
      <c r="O93" s="276">
        <f>Q10+R21+R22+R31+R38+R48+R52+(R54/3)+R55+R75+R83+R87</f>
        <v>24526.902651985802</v>
      </c>
      <c r="P93" s="276">
        <f>Q11+R23+R24+R32+R39+R49+R53+(R54/3)+R56+R76+R84+R88</f>
        <v>13452.192048939663</v>
      </c>
      <c r="Q93" s="227"/>
      <c r="R93" s="228">
        <f>SUM(R17,R27,R37,R45,R51,R60,R74,R82,R92)</f>
        <v>37979.094700925467</v>
      </c>
      <c r="S93" s="170"/>
      <c r="T93" s="196"/>
      <c r="U93" s="66"/>
      <c r="V93" s="66"/>
      <c r="W93" s="66"/>
      <c r="X93" s="276">
        <f>Z10+Z19+Z36+AA38+AA46+Z72+AA75+AA83+((AA52+AA53+AA54)/2)</f>
        <v>62670.506701126986</v>
      </c>
      <c r="Y93" s="276">
        <f>Z11+Z20+Z36+AA39+AA47+Z73+AA77+AA84+((AA52+AA53+AA54)/2)</f>
        <v>62670.506701126986</v>
      </c>
      <c r="Z93" s="227"/>
      <c r="AA93" s="228">
        <f>SUM(AA17,AA27,AA37,AA45,AA51,AA60,AA74,AA82,AA92)</f>
        <v>125341.01340225397</v>
      </c>
      <c r="AB93" s="195"/>
    </row>
    <row r="94" spans="1:28" ht="16" thickTop="1" x14ac:dyDescent="0.2">
      <c r="B94" s="335" t="s">
        <v>345</v>
      </c>
      <c r="D94" s="1" t="s">
        <v>256</v>
      </c>
      <c r="F94" s="246">
        <f>F93*1.1</f>
        <v>71780.449828789089</v>
      </c>
      <c r="G94" s="246">
        <f>G93*1.1</f>
        <v>49096.941858375169</v>
      </c>
      <c r="I94" s="246">
        <f>I93+H57</f>
        <v>120877.39168716424</v>
      </c>
      <c r="J94" s="138">
        <f>I93*0.1</f>
        <v>10988.853789742205</v>
      </c>
      <c r="M94" s="1" t="s">
        <v>243</v>
      </c>
      <c r="O94" s="246">
        <f>Q58+O93</f>
        <v>26979.592917184382</v>
      </c>
      <c r="P94" s="246">
        <f>P93+Q59</f>
        <v>14797.41125383363</v>
      </c>
      <c r="R94" s="246">
        <f>R93+Q57</f>
        <v>41777.004171018016</v>
      </c>
      <c r="V94" s="1" t="s">
        <v>243</v>
      </c>
      <c r="X94" s="246">
        <f>X93+Z58</f>
        <v>68937.557371239687</v>
      </c>
      <c r="Y94" s="246">
        <f>Y93+Z59</f>
        <v>68937.557371239687</v>
      </c>
      <c r="AA94" s="246">
        <f>AA93+Z57</f>
        <v>137875.11474247937</v>
      </c>
    </row>
    <row r="95" spans="1:28" x14ac:dyDescent="0.2">
      <c r="F95" s="246"/>
      <c r="J95" s="138"/>
      <c r="Y95" s="246"/>
    </row>
    <row r="96" spans="1:28" ht="16" thickBot="1" x14ac:dyDescent="0.25">
      <c r="A96" s="363" t="s">
        <v>296</v>
      </c>
      <c r="B96" s="365" t="s">
        <v>297</v>
      </c>
      <c r="C96" s="365"/>
      <c r="D96" s="365"/>
      <c r="E96" s="367" t="s">
        <v>367</v>
      </c>
      <c r="F96" s="367"/>
      <c r="G96" s="367"/>
      <c r="H96" s="365" t="s">
        <v>401</v>
      </c>
      <c r="I96" s="365"/>
      <c r="J96" s="365"/>
      <c r="K96" s="361" t="s">
        <v>437</v>
      </c>
      <c r="M96" s="177" t="s">
        <v>272</v>
      </c>
      <c r="R96" s="158"/>
      <c r="Y96" s="246"/>
    </row>
    <row r="97" spans="1:17" ht="15" thickBot="1" x14ac:dyDescent="0.25">
      <c r="A97" s="363"/>
      <c r="B97" s="366" t="s">
        <v>298</v>
      </c>
      <c r="C97" s="366"/>
      <c r="D97" s="366"/>
      <c r="E97" s="368" t="s">
        <v>299</v>
      </c>
      <c r="F97" s="368"/>
      <c r="G97" s="368"/>
      <c r="H97" s="366" t="s">
        <v>300</v>
      </c>
      <c r="I97" s="366"/>
      <c r="J97" s="366"/>
      <c r="K97" s="361"/>
      <c r="M97" s="352" t="s">
        <v>236</v>
      </c>
      <c r="N97" s="353"/>
      <c r="O97" s="353"/>
      <c r="P97" s="353"/>
      <c r="Q97" s="354"/>
    </row>
    <row r="98" spans="1:17" ht="29" thickBot="1" x14ac:dyDescent="0.25">
      <c r="A98" s="364"/>
      <c r="B98" s="303" t="s">
        <v>301</v>
      </c>
      <c r="C98" s="303" t="s">
        <v>302</v>
      </c>
      <c r="D98" s="303" t="s">
        <v>303</v>
      </c>
      <c r="E98" s="304" t="s">
        <v>301</v>
      </c>
      <c r="F98" s="304" t="s">
        <v>302</v>
      </c>
      <c r="G98" s="304" t="s">
        <v>303</v>
      </c>
      <c r="H98" s="303" t="s">
        <v>301</v>
      </c>
      <c r="I98" s="303" t="s">
        <v>302</v>
      </c>
      <c r="J98" s="303" t="s">
        <v>303</v>
      </c>
      <c r="K98" s="362"/>
      <c r="M98" s="178" t="s">
        <v>235</v>
      </c>
      <c r="N98" s="238" t="s">
        <v>402</v>
      </c>
      <c r="O98" s="239" t="s">
        <v>366</v>
      </c>
      <c r="P98" s="179" t="s">
        <v>367</v>
      </c>
      <c r="Q98" s="179" t="s">
        <v>48</v>
      </c>
    </row>
    <row r="99" spans="1:17" ht="15" thickTop="1" x14ac:dyDescent="0.2">
      <c r="A99" s="305" t="s">
        <v>304</v>
      </c>
      <c r="B99" s="306">
        <v>12.1</v>
      </c>
      <c r="C99" s="307">
        <v>12529</v>
      </c>
      <c r="D99" s="307">
        <v>1035</v>
      </c>
      <c r="E99" s="308">
        <v>12.4</v>
      </c>
      <c r="F99" s="309">
        <v>9666</v>
      </c>
      <c r="G99" s="308">
        <v>777</v>
      </c>
      <c r="H99" s="306">
        <v>11.1</v>
      </c>
      <c r="I99" s="307">
        <v>2863</v>
      </c>
      <c r="J99" s="306">
        <v>258</v>
      </c>
      <c r="K99" s="308">
        <v>0.02</v>
      </c>
      <c r="M99" s="178" t="s">
        <v>234</v>
      </c>
      <c r="N99" s="238">
        <v>6.53</v>
      </c>
      <c r="O99" s="239">
        <v>7.39</v>
      </c>
      <c r="P99" s="179">
        <v>8.39</v>
      </c>
      <c r="Q99" s="179">
        <f t="shared" ref="Q99:Q105" si="6">SUM(N99:P99)</f>
        <v>22.310000000000002</v>
      </c>
    </row>
    <row r="100" spans="1:17" ht="28" x14ac:dyDescent="0.2">
      <c r="A100" s="305" t="s">
        <v>305</v>
      </c>
      <c r="B100" s="306">
        <v>19.600000000000001</v>
      </c>
      <c r="C100" s="306">
        <v>137</v>
      </c>
      <c r="D100" s="306">
        <v>7</v>
      </c>
      <c r="E100" s="308" t="s">
        <v>306</v>
      </c>
      <c r="F100" s="308" t="s">
        <v>306</v>
      </c>
      <c r="G100" s="308" t="s">
        <v>306</v>
      </c>
      <c r="H100" s="306">
        <v>19.600000000000001</v>
      </c>
      <c r="I100" s="306">
        <v>137</v>
      </c>
      <c r="J100" s="306">
        <v>7</v>
      </c>
      <c r="K100" s="308" t="s">
        <v>307</v>
      </c>
      <c r="M100" s="178" t="s">
        <v>233</v>
      </c>
      <c r="N100" s="238">
        <v>7.06</v>
      </c>
      <c r="O100" s="239">
        <v>2.36</v>
      </c>
      <c r="P100" s="179">
        <v>10.27</v>
      </c>
      <c r="Q100" s="179">
        <f t="shared" si="6"/>
        <v>19.689999999999998</v>
      </c>
    </row>
    <row r="101" spans="1:17" x14ac:dyDescent="0.2">
      <c r="A101" s="305" t="s">
        <v>308</v>
      </c>
      <c r="B101" s="306">
        <v>14.5</v>
      </c>
      <c r="C101" s="307">
        <v>4675</v>
      </c>
      <c r="D101" s="306">
        <v>323</v>
      </c>
      <c r="E101" s="308">
        <v>10.6</v>
      </c>
      <c r="F101" s="309">
        <v>1508</v>
      </c>
      <c r="G101" s="308">
        <v>121</v>
      </c>
      <c r="H101" s="306">
        <v>15.7</v>
      </c>
      <c r="I101" s="307">
        <v>3167</v>
      </c>
      <c r="J101" s="306">
        <v>202</v>
      </c>
      <c r="K101" s="308">
        <v>0</v>
      </c>
      <c r="M101" s="178" t="s">
        <v>232</v>
      </c>
      <c r="N101" s="238">
        <v>0.71</v>
      </c>
      <c r="O101" s="239">
        <v>1.04</v>
      </c>
      <c r="P101" s="179">
        <v>1.44</v>
      </c>
      <c r="Q101" s="179">
        <f t="shared" si="6"/>
        <v>3.19</v>
      </c>
    </row>
    <row r="102" spans="1:17" x14ac:dyDescent="0.2">
      <c r="A102" s="305" t="s">
        <v>309</v>
      </c>
      <c r="B102" s="306">
        <v>12.5</v>
      </c>
      <c r="C102" s="307">
        <v>2244</v>
      </c>
      <c r="D102" s="306">
        <v>170</v>
      </c>
      <c r="E102" s="308">
        <v>10.6</v>
      </c>
      <c r="F102" s="308">
        <v>762</v>
      </c>
      <c r="G102" s="308">
        <v>72</v>
      </c>
      <c r="H102" s="306">
        <v>13.8</v>
      </c>
      <c r="I102" s="307">
        <v>1482</v>
      </c>
      <c r="J102" s="306">
        <v>98</v>
      </c>
      <c r="K102" s="308">
        <v>2.8000000000000001E-2</v>
      </c>
      <c r="M102" s="178" t="s">
        <v>231</v>
      </c>
      <c r="N102" s="238">
        <v>27.61</v>
      </c>
      <c r="O102" s="239">
        <v>20.83</v>
      </c>
      <c r="P102" s="179">
        <v>38.81</v>
      </c>
      <c r="Q102" s="179">
        <f t="shared" si="6"/>
        <v>87.25</v>
      </c>
    </row>
    <row r="103" spans="1:17" x14ac:dyDescent="0.2">
      <c r="A103" s="305" t="s">
        <v>310</v>
      </c>
      <c r="B103" s="306">
        <v>11.1</v>
      </c>
      <c r="C103" s="306">
        <v>144</v>
      </c>
      <c r="D103" s="306">
        <v>13</v>
      </c>
      <c r="E103" s="308">
        <v>12.7</v>
      </c>
      <c r="F103" s="308">
        <v>38</v>
      </c>
      <c r="G103" s="308">
        <v>3</v>
      </c>
      <c r="H103" s="306">
        <v>10.6</v>
      </c>
      <c r="I103" s="306">
        <v>106</v>
      </c>
      <c r="J103" s="306">
        <v>10</v>
      </c>
      <c r="K103" s="308">
        <v>0.73699999999999999</v>
      </c>
      <c r="M103" s="178" t="s">
        <v>230</v>
      </c>
      <c r="N103" s="238">
        <v>3.72</v>
      </c>
      <c r="O103" s="239">
        <v>2.8</v>
      </c>
      <c r="P103" s="179">
        <v>5.23</v>
      </c>
      <c r="Q103" s="179">
        <f t="shared" si="6"/>
        <v>11.75</v>
      </c>
    </row>
    <row r="104" spans="1:17" ht="15" thickBot="1" x14ac:dyDescent="0.25">
      <c r="A104" s="310" t="s">
        <v>12</v>
      </c>
      <c r="B104" s="311">
        <v>13.1</v>
      </c>
      <c r="C104" s="312">
        <v>22535</v>
      </c>
      <c r="D104" s="312">
        <v>1719</v>
      </c>
      <c r="E104" s="313">
        <v>11.2</v>
      </c>
      <c r="F104" s="314">
        <v>12045</v>
      </c>
      <c r="G104" s="315">
        <v>1076</v>
      </c>
      <c r="H104" s="311">
        <v>16.3</v>
      </c>
      <c r="I104" s="312">
        <v>10490</v>
      </c>
      <c r="J104" s="311">
        <v>643</v>
      </c>
      <c r="K104" s="313">
        <v>0</v>
      </c>
      <c r="M104" s="178" t="s">
        <v>12</v>
      </c>
      <c r="N104" s="238">
        <v>8.36</v>
      </c>
      <c r="O104" s="239">
        <v>6.31</v>
      </c>
      <c r="P104" s="179">
        <v>11.75</v>
      </c>
      <c r="Q104" s="179">
        <f t="shared" si="6"/>
        <v>26.419999999999998</v>
      </c>
    </row>
    <row r="105" spans="1:17" ht="16" thickTop="1" thickBot="1" x14ac:dyDescent="0.25">
      <c r="A105" s="1" t="s">
        <v>48</v>
      </c>
      <c r="D105" s="1" t="s">
        <v>48</v>
      </c>
      <c r="F105" s="316">
        <f>SUM(F99,F101:F104)</f>
        <v>24019</v>
      </c>
      <c r="G105" s="316">
        <f>SUM(G99,G101:G104)</f>
        <v>2049</v>
      </c>
      <c r="I105" s="316">
        <f>SUM(I99,I101:I104)</f>
        <v>18108</v>
      </c>
      <c r="M105" s="180" t="s">
        <v>229</v>
      </c>
      <c r="N105" s="240">
        <v>0.32</v>
      </c>
      <c r="O105" s="241">
        <v>0.24</v>
      </c>
      <c r="P105" s="185">
        <v>0.44</v>
      </c>
      <c r="Q105" s="179">
        <f t="shared" si="6"/>
        <v>1</v>
      </c>
    </row>
    <row r="106" spans="1:17" ht="15" thickBot="1" x14ac:dyDescent="0.25">
      <c r="M106" s="242" t="s">
        <v>48</v>
      </c>
      <c r="N106" s="243">
        <f>SUM(N99:N105)</f>
        <v>54.309999999999995</v>
      </c>
      <c r="O106" s="243">
        <f>SUM(O99:O105)</f>
        <v>40.97</v>
      </c>
      <c r="P106" s="244">
        <f>SUM(P99:P105)</f>
        <v>76.33</v>
      </c>
      <c r="Q106" s="244">
        <f>SUM(Q99:Q105)</f>
        <v>171.60999999999999</v>
      </c>
    </row>
    <row r="107" spans="1:17" x14ac:dyDescent="0.2">
      <c r="D107" s="1" t="s">
        <v>311</v>
      </c>
      <c r="F107" s="245">
        <f>F103/F104</f>
        <v>3.1548360315483601E-3</v>
      </c>
      <c r="I107" s="245">
        <f>I103/I105</f>
        <v>5.8537662911420365E-3</v>
      </c>
      <c r="M107" s="1" t="s">
        <v>237</v>
      </c>
      <c r="N107" s="245">
        <f>N106/$Q$106</f>
        <v>0.31647339898607307</v>
      </c>
      <c r="O107" s="245">
        <f>O106/$Q$106</f>
        <v>0.23873900122370492</v>
      </c>
      <c r="P107" s="245">
        <f>P106/$Q$106</f>
        <v>0.44478759979022203</v>
      </c>
    </row>
    <row r="111" spans="1:17" ht="16" customHeight="1" x14ac:dyDescent="0.2"/>
    <row r="114" spans="3:6" x14ac:dyDescent="0.2">
      <c r="F114" s="246"/>
    </row>
    <row r="115" spans="3:6" x14ac:dyDescent="0.2">
      <c r="F115" s="246"/>
    </row>
    <row r="120" spans="3:6" x14ac:dyDescent="0.2">
      <c r="C120" s="246"/>
    </row>
    <row r="1048576" spans="28:28" x14ac:dyDescent="0.2">
      <c r="AB1048576" s="36"/>
    </row>
  </sheetData>
  <mergeCells count="21">
    <mergeCell ref="B97:D97"/>
    <mergeCell ref="E96:G96"/>
    <mergeCell ref="E97:G97"/>
    <mergeCell ref="H96:J96"/>
    <mergeCell ref="H97:J97"/>
    <mergeCell ref="M97:Q97"/>
    <mergeCell ref="K4:S4"/>
    <mergeCell ref="T4:AB4"/>
    <mergeCell ref="A38:A44"/>
    <mergeCell ref="A6:A16"/>
    <mergeCell ref="A18:A23"/>
    <mergeCell ref="A28:A36"/>
    <mergeCell ref="B4:J4"/>
    <mergeCell ref="A46:A50"/>
    <mergeCell ref="A52:A59"/>
    <mergeCell ref="A61:A73"/>
    <mergeCell ref="A75:A81"/>
    <mergeCell ref="A83:A91"/>
    <mergeCell ref="K96:K98"/>
    <mergeCell ref="A96:A98"/>
    <mergeCell ref="B96:D9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06"/>
  <sheetViews>
    <sheetView workbookViewId="0">
      <selection activeCell="F50" sqref="F50:N50"/>
    </sheetView>
  </sheetViews>
  <sheetFormatPr baseColWidth="10" defaultRowHeight="15" x14ac:dyDescent="0.2"/>
  <cols>
    <col min="1" max="1" width="16.33203125" customWidth="1"/>
    <col min="2" max="2" width="26.5" bestFit="1" customWidth="1"/>
    <col min="3" max="3" width="15.33203125" customWidth="1"/>
    <col min="4" max="4" width="15.83203125" customWidth="1"/>
    <col min="5" max="5" width="16.5" customWidth="1"/>
    <col min="6" max="6" width="27.33203125" customWidth="1"/>
    <col min="7" max="7" width="19.83203125" customWidth="1"/>
    <col min="8" max="8" width="19.5" customWidth="1"/>
    <col min="9" max="9" width="18" customWidth="1"/>
    <col min="14" max="14" width="11.6640625" customWidth="1"/>
    <col min="15" max="15" width="12" customWidth="1"/>
    <col min="19" max="19" width="14.33203125" customWidth="1"/>
  </cols>
  <sheetData>
    <row r="3" spans="1:8" ht="16" thickBot="1" x14ac:dyDescent="0.25">
      <c r="A3" s="1"/>
      <c r="B3" s="177" t="s">
        <v>209</v>
      </c>
      <c r="C3" s="1"/>
      <c r="D3" s="1"/>
      <c r="E3" s="1"/>
      <c r="F3" s="1"/>
      <c r="G3" s="1"/>
      <c r="H3" s="1"/>
    </row>
    <row r="4" spans="1:8" ht="16" thickBot="1" x14ac:dyDescent="0.25">
      <c r="A4" s="1"/>
      <c r="B4" s="181" t="s">
        <v>181</v>
      </c>
      <c r="C4" s="187" t="s">
        <v>201</v>
      </c>
      <c r="D4" s="182" t="s">
        <v>202</v>
      </c>
      <c r="E4" s="182" t="s">
        <v>40</v>
      </c>
      <c r="F4" s="183" t="s">
        <v>48</v>
      </c>
      <c r="G4" s="1"/>
      <c r="H4" s="1"/>
    </row>
    <row r="5" spans="1:8" x14ac:dyDescent="0.2">
      <c r="A5" s="1"/>
      <c r="B5" s="184" t="s">
        <v>138</v>
      </c>
      <c r="C5" s="247">
        <f>'Costing Overall'!I17</f>
        <v>4550.4853993478528</v>
      </c>
      <c r="D5" s="248">
        <f>'Costing Overall'!R17</f>
        <v>0</v>
      </c>
      <c r="E5" s="248">
        <f>'Costing Overall'!AA17</f>
        <v>0</v>
      </c>
      <c r="F5" s="249">
        <f t="shared" ref="F5:F14" si="0">SUM(C5:E5)</f>
        <v>4550.4853993478528</v>
      </c>
      <c r="G5" s="1"/>
      <c r="H5" s="1"/>
    </row>
    <row r="6" spans="1:8" x14ac:dyDescent="0.2">
      <c r="A6" s="1"/>
      <c r="B6" s="202" t="s">
        <v>137</v>
      </c>
      <c r="C6" s="250">
        <f>'Costing Overall'!I27</f>
        <v>4307.0243757527169</v>
      </c>
      <c r="D6" s="251">
        <f>'Costing Overall'!R27</f>
        <v>1949.8083747382266</v>
      </c>
      <c r="E6" s="251">
        <f>'Costing Overall'!AA27</f>
        <v>0</v>
      </c>
      <c r="F6" s="252">
        <f t="shared" si="0"/>
        <v>6256.832750490943</v>
      </c>
      <c r="G6" s="1"/>
      <c r="H6" s="1"/>
    </row>
    <row r="7" spans="1:8" x14ac:dyDescent="0.2">
      <c r="A7" s="1"/>
      <c r="B7" s="178" t="s">
        <v>147</v>
      </c>
      <c r="C7" s="253">
        <f>'Costing Overall'!I37</f>
        <v>338.83769444358416</v>
      </c>
      <c r="D7" s="254">
        <f>'Costing Overall'!R37</f>
        <v>0</v>
      </c>
      <c r="E7" s="254">
        <f>'Costing Overall'!AA37</f>
        <v>469.17972815919211</v>
      </c>
      <c r="F7" s="255">
        <f t="shared" si="0"/>
        <v>808.01742260277626</v>
      </c>
      <c r="G7" s="1"/>
      <c r="H7" s="1"/>
    </row>
    <row r="8" spans="1:8" x14ac:dyDescent="0.2">
      <c r="A8" s="1"/>
      <c r="B8" s="202" t="s">
        <v>45</v>
      </c>
      <c r="C8" s="250">
        <f>'Costing Overall'!I45</f>
        <v>63953.488372093023</v>
      </c>
      <c r="D8" s="251">
        <f>'Costing Overall'!R45</f>
        <v>33146.895843371967</v>
      </c>
      <c r="E8" s="251">
        <f>'Costing Overall'!AA45</f>
        <v>22070.494186046511</v>
      </c>
      <c r="F8" s="252">
        <f t="shared" si="0"/>
        <v>119170.87840151149</v>
      </c>
      <c r="G8" s="1"/>
      <c r="H8" s="1"/>
    </row>
    <row r="9" spans="1:8" x14ac:dyDescent="0.2">
      <c r="A9" s="1"/>
      <c r="B9" s="178" t="s">
        <v>1</v>
      </c>
      <c r="C9" s="253">
        <f>'Costing Overall'!I51</f>
        <v>28491.576501750922</v>
      </c>
      <c r="D9" s="254">
        <f>'Costing Overall'!R51</f>
        <v>1937.984496124031</v>
      </c>
      <c r="E9" s="254">
        <f>'Costing Overall'!AA51</f>
        <v>7155.9385382059791</v>
      </c>
      <c r="F9" s="255">
        <f t="shared" si="0"/>
        <v>37585.499536080933</v>
      </c>
      <c r="G9" s="1"/>
      <c r="H9" s="1"/>
    </row>
    <row r="10" spans="1:8" x14ac:dyDescent="0.2">
      <c r="A10" s="1"/>
      <c r="B10" s="202" t="s">
        <v>148</v>
      </c>
      <c r="C10" s="250">
        <f>'Costing Overall'!I60+'Costing Overall'!H57</f>
        <v>12929.662019067877</v>
      </c>
      <c r="D10" s="251">
        <f>'Costing Overall'!R60+'Costing Overall'!Q57</f>
        <v>3885.8082553553186</v>
      </c>
      <c r="E10" s="251">
        <f>'Costing Overall'!AA60+'Costing Overall'!Z57</f>
        <v>42717.517582149638</v>
      </c>
      <c r="F10" s="252">
        <f t="shared" si="0"/>
        <v>59532.987856572829</v>
      </c>
      <c r="G10" s="1" t="s">
        <v>246</v>
      </c>
      <c r="H10" s="1"/>
    </row>
    <row r="11" spans="1:8" x14ac:dyDescent="0.2">
      <c r="A11" s="1"/>
      <c r="B11" s="178" t="s">
        <v>3</v>
      </c>
      <c r="C11" s="253">
        <f>'Costing Overall'!I74</f>
        <v>6241.4036544850505</v>
      </c>
      <c r="D11" s="254">
        <f>'Costing Overall'!R74</f>
        <v>0</v>
      </c>
      <c r="E11" s="254">
        <f>'Costing Overall'!AA74</f>
        <v>3614.4691306755262</v>
      </c>
      <c r="F11" s="255">
        <f t="shared" si="0"/>
        <v>9855.8727851605763</v>
      </c>
      <c r="G11" s="1"/>
      <c r="H11" s="1"/>
    </row>
    <row r="12" spans="1:8" x14ac:dyDescent="0.2">
      <c r="A12" s="1"/>
      <c r="B12" s="202" t="s">
        <v>12</v>
      </c>
      <c r="C12" s="250">
        <f>'Costing Overall'!I82</f>
        <v>0</v>
      </c>
      <c r="D12" s="251">
        <f>'Costing Overall'!R82</f>
        <v>644.24833887043178</v>
      </c>
      <c r="E12" s="251">
        <f>'Costing Overall'!AA82</f>
        <v>0</v>
      </c>
      <c r="F12" s="252">
        <f t="shared" si="0"/>
        <v>644.24833887043178</v>
      </c>
      <c r="G12" s="1"/>
      <c r="H12" s="1"/>
    </row>
    <row r="13" spans="1:8" ht="16" thickBot="1" x14ac:dyDescent="0.25">
      <c r="A13" s="1"/>
      <c r="B13" s="180" t="s">
        <v>56</v>
      </c>
      <c r="C13" s="256">
        <f>'Costing Overall'!I92</f>
        <v>64.913670223211</v>
      </c>
      <c r="D13" s="257">
        <f>'Costing Overall'!R92</f>
        <v>212.25886255804014</v>
      </c>
      <c r="E13" s="257">
        <f>'Costing Overall'!AA92</f>
        <v>61847.515577242528</v>
      </c>
      <c r="F13" s="258">
        <f t="shared" si="0"/>
        <v>62124.688110023781</v>
      </c>
      <c r="G13" s="1"/>
      <c r="H13" s="1"/>
    </row>
    <row r="14" spans="1:8" s="200" customFormat="1" ht="16" thickBot="1" x14ac:dyDescent="0.25">
      <c r="A14" s="177"/>
      <c r="B14" s="203" t="s">
        <v>48</v>
      </c>
      <c r="C14" s="259">
        <f>SUM(C5:C13)</f>
        <v>120877.39168716424</v>
      </c>
      <c r="D14" s="260">
        <f>SUM(D5:D13)</f>
        <v>41777.004171018016</v>
      </c>
      <c r="E14" s="260">
        <f>SUM(E5:E13)</f>
        <v>137875.11474247937</v>
      </c>
      <c r="F14" s="261">
        <f t="shared" si="0"/>
        <v>300529.51060066163</v>
      </c>
      <c r="G14" s="177"/>
      <c r="H14" s="177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9" ht="16" thickBot="1" x14ac:dyDescent="0.25">
      <c r="A17" s="1"/>
      <c r="B17" s="177" t="s">
        <v>210</v>
      </c>
      <c r="C17" s="1"/>
      <c r="D17" s="1"/>
      <c r="E17" s="1"/>
      <c r="F17" s="1"/>
      <c r="G17" s="1"/>
      <c r="H17" s="1"/>
    </row>
    <row r="18" spans="1:9" ht="16" thickBot="1" x14ac:dyDescent="0.25">
      <c r="A18" s="1"/>
      <c r="B18" s="181" t="s">
        <v>182</v>
      </c>
      <c r="C18" s="187" t="s">
        <v>174</v>
      </c>
      <c r="D18" s="182" t="s">
        <v>149</v>
      </c>
      <c r="E18" s="182" t="s">
        <v>40</v>
      </c>
      <c r="F18" s="182" t="s">
        <v>48</v>
      </c>
      <c r="G18" s="183" t="s">
        <v>175</v>
      </c>
      <c r="H18" s="1"/>
    </row>
    <row r="19" spans="1:9" x14ac:dyDescent="0.2">
      <c r="A19" s="1" t="s">
        <v>183</v>
      </c>
      <c r="B19" s="184" t="s">
        <v>136</v>
      </c>
      <c r="C19" s="247">
        <f>SUM('Costing Overall'!I17,'Costing Overall'!I27,'Costing Overall'!I60,'Costing Overall'!I82,'Costing Overall'!H57)</f>
        <v>21787.171794168447</v>
      </c>
      <c r="D19" s="248">
        <f>SUM('Costing Overall'!R17,'Costing Overall'!R27,'Costing Overall'!R60,'Costing Overall'!R82,'Costing Overall'!Q57)</f>
        <v>6479.8649689639769</v>
      </c>
      <c r="E19" s="248">
        <f>SUM('Costing Overall'!AA17,'Costing Overall'!AA27,'Costing Overall'!AA60,'Costing Overall'!AA82,'Costing Overall'!Z57)</f>
        <v>42717.517582149638</v>
      </c>
      <c r="F19" s="248">
        <f>C19+D19+E19</f>
        <v>70984.554345282057</v>
      </c>
      <c r="G19" s="186" t="s">
        <v>176</v>
      </c>
      <c r="H19" s="1"/>
    </row>
    <row r="20" spans="1:9" x14ac:dyDescent="0.2">
      <c r="A20" s="1" t="s">
        <v>183</v>
      </c>
      <c r="B20" s="202" t="s">
        <v>179</v>
      </c>
      <c r="C20" s="250">
        <f>SUM('Costing Overall'!I37,'Costing Overall'!I92)</f>
        <v>403.75136466679515</v>
      </c>
      <c r="D20" s="251">
        <f>SUM('Costing Overall'!R37,'Costing Overall'!R92)</f>
        <v>212.25886255804014</v>
      </c>
      <c r="E20" s="251">
        <f>SUM('Costing Overall'!AA37,'Costing Overall'!AA92)</f>
        <v>62316.695305401721</v>
      </c>
      <c r="F20" s="251">
        <f>C20+D20+E20</f>
        <v>62932.705532626554</v>
      </c>
      <c r="G20" s="204" t="s">
        <v>213</v>
      </c>
      <c r="H20" s="1"/>
    </row>
    <row r="21" spans="1:9" x14ac:dyDescent="0.2">
      <c r="A21" s="1" t="s">
        <v>204</v>
      </c>
      <c r="B21" s="178" t="s">
        <v>133</v>
      </c>
      <c r="C21" s="253">
        <f>SUM('Costing Overall'!I74)</f>
        <v>6241.4036544850505</v>
      </c>
      <c r="D21" s="254">
        <f>SUM('Costing Overall'!R74)</f>
        <v>0</v>
      </c>
      <c r="E21" s="254">
        <f>SUM('Costing Overall'!AA74)</f>
        <v>3614.4691306755262</v>
      </c>
      <c r="F21" s="254">
        <f>C21+D21+E21</f>
        <v>9855.8727851605763</v>
      </c>
      <c r="G21" s="179" t="s">
        <v>177</v>
      </c>
      <c r="H21" s="1"/>
    </row>
    <row r="22" spans="1:9" ht="16" thickBot="1" x14ac:dyDescent="0.25">
      <c r="A22" s="1" t="s">
        <v>183</v>
      </c>
      <c r="B22" s="205" t="s">
        <v>180</v>
      </c>
      <c r="C22" s="262">
        <f>SUM('Costing Overall'!I45,'Costing Overall'!I51)</f>
        <v>92445.064873843949</v>
      </c>
      <c r="D22" s="263">
        <f>SUM('Costing Overall'!R45,'Costing Overall'!R51)</f>
        <v>35084.880339495998</v>
      </c>
      <c r="E22" s="263">
        <f>SUM('Costing Overall'!AA45,'Costing Overall'!AA51)</f>
        <v>29226.432724252489</v>
      </c>
      <c r="F22" s="263">
        <f>C22+D22+E22</f>
        <v>156756.37793759245</v>
      </c>
      <c r="G22" s="206" t="s">
        <v>178</v>
      </c>
      <c r="H22" s="1"/>
    </row>
    <row r="23" spans="1:9" s="200" customFormat="1" ht="16" thickBot="1" x14ac:dyDescent="0.25">
      <c r="A23" s="177"/>
      <c r="B23" s="199" t="s">
        <v>48</v>
      </c>
      <c r="C23" s="264">
        <f>SUM(C19:C22)</f>
        <v>120877.39168716424</v>
      </c>
      <c r="D23" s="265">
        <f>SUM(D19:D22)</f>
        <v>41777.004171018016</v>
      </c>
      <c r="E23" s="265">
        <f>SUM(E19:E22)</f>
        <v>137875.11474247937</v>
      </c>
      <c r="F23" s="265">
        <f>C23+D23+E23</f>
        <v>300529.51060066163</v>
      </c>
      <c r="G23" s="201"/>
      <c r="H23" s="177"/>
    </row>
    <row r="24" spans="1:9" x14ac:dyDescent="0.2">
      <c r="A24" s="1"/>
      <c r="B24" s="1"/>
      <c r="C24" s="1"/>
      <c r="D24" s="1"/>
      <c r="E24" s="1"/>
      <c r="F24" s="1"/>
      <c r="G24" s="1"/>
      <c r="H24" s="1"/>
    </row>
    <row r="25" spans="1:9" ht="16" thickBot="1" x14ac:dyDescent="0.25">
      <c r="A25" s="1"/>
      <c r="B25" s="177" t="s">
        <v>248</v>
      </c>
      <c r="C25" s="1"/>
      <c r="D25" s="1"/>
      <c r="E25" s="1"/>
      <c r="F25" s="1"/>
      <c r="G25" s="1"/>
      <c r="H25" s="1"/>
    </row>
    <row r="26" spans="1:9" ht="16" thickBot="1" x14ac:dyDescent="0.25">
      <c r="A26" s="1"/>
      <c r="B26" s="181" t="s">
        <v>203</v>
      </c>
      <c r="C26" s="182" t="s">
        <v>201</v>
      </c>
      <c r="D26" s="182" t="s">
        <v>202</v>
      </c>
      <c r="E26" s="182" t="s">
        <v>40</v>
      </c>
      <c r="F26" s="182" t="s">
        <v>48</v>
      </c>
      <c r="G26" s="389" t="s">
        <v>144</v>
      </c>
      <c r="H26" s="390"/>
      <c r="I26" s="391"/>
    </row>
    <row r="27" spans="1:9" x14ac:dyDescent="0.2">
      <c r="A27" s="1"/>
      <c r="B27" s="178" t="s">
        <v>198</v>
      </c>
      <c r="C27" s="254">
        <f>'Costing Overall'!I27+'Costing Overall'!I37</f>
        <v>4645.8620701963009</v>
      </c>
      <c r="D27" s="254">
        <f>'Costing Overall'!R27+'Costing Overall'!R37</f>
        <v>1949.8083747382266</v>
      </c>
      <c r="E27" s="254">
        <f>'Costing Overall'!AA27+'Costing Overall'!AA37</f>
        <v>469.17972815919211</v>
      </c>
      <c r="F27" s="254">
        <f t="shared" ref="F27:F33" si="1">SUM(C27:E27)</f>
        <v>7064.8501730937187</v>
      </c>
      <c r="G27" s="398" t="s">
        <v>207</v>
      </c>
      <c r="H27" s="399"/>
      <c r="I27" s="399"/>
    </row>
    <row r="28" spans="1:9" x14ac:dyDescent="0.2">
      <c r="A28" s="1"/>
      <c r="B28" s="202" t="s">
        <v>199</v>
      </c>
      <c r="C28" s="251">
        <f>'Costing Overall'!I45+'Costing Overall'!I51</f>
        <v>92445.064873843949</v>
      </c>
      <c r="D28" s="251">
        <f>'Costing Overall'!R45+'Costing Overall'!R51</f>
        <v>35084.880339495998</v>
      </c>
      <c r="E28" s="251">
        <f>'Costing Overall'!AA45+'Costing Overall'!AA51</f>
        <v>29226.432724252489</v>
      </c>
      <c r="F28" s="251">
        <f t="shared" si="1"/>
        <v>156756.37793759245</v>
      </c>
      <c r="G28" s="400" t="s">
        <v>206</v>
      </c>
      <c r="H28" s="401"/>
      <c r="I28" s="401"/>
    </row>
    <row r="29" spans="1:9" x14ac:dyDescent="0.2">
      <c r="A29" s="1"/>
      <c r="B29" s="178" t="s">
        <v>3</v>
      </c>
      <c r="C29" s="254">
        <f>'Costing Overall'!I74</f>
        <v>6241.4036544850505</v>
      </c>
      <c r="D29" s="254">
        <f>'Costing Overall'!R74</f>
        <v>0</v>
      </c>
      <c r="E29" s="254">
        <f>'Costing Overall'!AA74</f>
        <v>3614.4691306755262</v>
      </c>
      <c r="F29" s="254">
        <f t="shared" si="1"/>
        <v>9855.8727851605763</v>
      </c>
      <c r="G29" s="402" t="s">
        <v>212</v>
      </c>
      <c r="H29" s="403"/>
      <c r="I29" s="403"/>
    </row>
    <row r="30" spans="1:9" x14ac:dyDescent="0.2">
      <c r="A30" s="1"/>
      <c r="B30" s="202" t="s">
        <v>148</v>
      </c>
      <c r="C30" s="251">
        <f>'Costing Overall'!I60+'Costing Overall'!H57</f>
        <v>12929.662019067877</v>
      </c>
      <c r="D30" s="251">
        <f>'Costing Overall'!R60+'Costing Overall'!Q57</f>
        <v>3885.8082553553186</v>
      </c>
      <c r="E30" s="251">
        <f>'Costing Overall'!AA60+'Costing Overall'!Z57</f>
        <v>42717.517582149638</v>
      </c>
      <c r="F30" s="251">
        <f t="shared" si="1"/>
        <v>59532.987856572829</v>
      </c>
      <c r="G30" s="400" t="s">
        <v>247</v>
      </c>
      <c r="H30" s="401"/>
      <c r="I30" s="401"/>
    </row>
    <row r="31" spans="1:9" x14ac:dyDescent="0.2">
      <c r="A31" s="1"/>
      <c r="B31" s="178" t="s">
        <v>200</v>
      </c>
      <c r="C31" s="254">
        <f>'Costing Overall'!I17</f>
        <v>4550.4853993478528</v>
      </c>
      <c r="D31" s="254">
        <f>'Costing Overall'!R17</f>
        <v>0</v>
      </c>
      <c r="E31" s="254">
        <f>'Costing Overall'!AA17</f>
        <v>0</v>
      </c>
      <c r="F31" s="254">
        <f t="shared" si="1"/>
        <v>4550.4853993478528</v>
      </c>
      <c r="G31" s="402" t="s">
        <v>211</v>
      </c>
      <c r="H31" s="403"/>
      <c r="I31" s="403"/>
    </row>
    <row r="32" spans="1:9" x14ac:dyDescent="0.2">
      <c r="A32" s="1"/>
      <c r="B32" s="202" t="s">
        <v>205</v>
      </c>
      <c r="C32" s="251">
        <f>'Costing Overall'!I92</f>
        <v>64.913670223211</v>
      </c>
      <c r="D32" s="251">
        <f>'Costing Overall'!R92</f>
        <v>212.25886255804014</v>
      </c>
      <c r="E32" s="251">
        <f>'Costing Overall'!AA92</f>
        <v>61847.515577242528</v>
      </c>
      <c r="F32" s="251">
        <f t="shared" si="1"/>
        <v>62124.688110023781</v>
      </c>
      <c r="G32" s="400"/>
      <c r="H32" s="401"/>
      <c r="I32" s="401"/>
    </row>
    <row r="33" spans="1:14" ht="16" thickBot="1" x14ac:dyDescent="0.25">
      <c r="A33" s="1"/>
      <c r="B33" s="180" t="s">
        <v>12</v>
      </c>
      <c r="C33" s="257">
        <f>'Costing Overall'!I82</f>
        <v>0</v>
      </c>
      <c r="D33" s="257">
        <f>'Costing Overall'!R82</f>
        <v>644.24833887043178</v>
      </c>
      <c r="E33" s="257">
        <f>'Costing Overall'!AA82</f>
        <v>0</v>
      </c>
      <c r="F33" s="257">
        <f t="shared" si="1"/>
        <v>644.24833887043178</v>
      </c>
      <c r="G33" s="404"/>
      <c r="H33" s="405"/>
      <c r="I33" s="406"/>
    </row>
    <row r="34" spans="1:14" s="200" customFormat="1" ht="16" thickBot="1" x14ac:dyDescent="0.25">
      <c r="A34" s="177"/>
      <c r="B34" s="207" t="s">
        <v>48</v>
      </c>
      <c r="C34" s="266">
        <f>SUM(C27:C33)</f>
        <v>120877.39168716424</v>
      </c>
      <c r="D34" s="266">
        <f>SUM(D27:D33)</f>
        <v>41777.004171018016</v>
      </c>
      <c r="E34" s="266">
        <f>SUM(E27:E33)</f>
        <v>137875.11474247937</v>
      </c>
      <c r="F34" s="266">
        <f>SUM(F27:F33)</f>
        <v>300529.51060066163</v>
      </c>
      <c r="G34" s="407"/>
      <c r="H34" s="408"/>
      <c r="I34" s="409"/>
    </row>
    <row r="35" spans="1:14" x14ac:dyDescent="0.2">
      <c r="A35" s="1"/>
      <c r="B35" s="1"/>
      <c r="C35" s="1"/>
      <c r="D35" s="1"/>
      <c r="E35" s="1"/>
      <c r="F35" s="1"/>
      <c r="G35" s="1"/>
      <c r="H35" s="1"/>
    </row>
    <row r="36" spans="1:14" x14ac:dyDescent="0.2">
      <c r="A36" s="1"/>
      <c r="B36" s="1"/>
      <c r="C36" s="1"/>
      <c r="D36" s="1"/>
      <c r="E36" s="1"/>
      <c r="F36" s="1"/>
      <c r="G36" s="1"/>
      <c r="H36" s="1"/>
    </row>
    <row r="37" spans="1:14" x14ac:dyDescent="0.2">
      <c r="A37" s="1"/>
      <c r="B37" s="1"/>
      <c r="C37" s="1"/>
      <c r="D37" s="1"/>
      <c r="E37" s="1"/>
      <c r="F37" s="1"/>
      <c r="G37" s="1"/>
      <c r="H37" s="1"/>
    </row>
    <row r="38" spans="1:14" x14ac:dyDescent="0.2">
      <c r="A38" s="1"/>
      <c r="B38" s="1"/>
      <c r="C38" s="1"/>
      <c r="D38" s="1"/>
      <c r="E38" s="1"/>
      <c r="F38" s="1"/>
      <c r="G38" s="1"/>
      <c r="H38" s="1"/>
    </row>
    <row r="39" spans="1:14" x14ac:dyDescent="0.2">
      <c r="A39" s="1"/>
      <c r="B39" s="1"/>
      <c r="C39" s="1"/>
      <c r="D39" s="1"/>
      <c r="E39" s="1"/>
      <c r="F39" s="1"/>
      <c r="G39" s="1"/>
      <c r="H39" s="1"/>
    </row>
    <row r="40" spans="1:14" x14ac:dyDescent="0.2">
      <c r="A40" s="1"/>
      <c r="B40" s="1"/>
      <c r="C40" s="377" t="s">
        <v>292</v>
      </c>
      <c r="D40" s="377"/>
      <c r="E40" s="377"/>
      <c r="F40" s="377"/>
      <c r="G40" s="1"/>
      <c r="H40" s="1"/>
    </row>
    <row r="41" spans="1:14" ht="15" customHeight="1" x14ac:dyDescent="0.2">
      <c r="B41" s="278"/>
      <c r="C41" s="377"/>
      <c r="D41" s="377"/>
      <c r="E41" s="377"/>
      <c r="F41" s="377"/>
      <c r="G41" s="278"/>
    </row>
    <row r="42" spans="1:14" ht="15" customHeight="1" x14ac:dyDescent="0.2">
      <c r="B42" s="278"/>
      <c r="C42" s="377"/>
      <c r="D42" s="377"/>
      <c r="E42" s="377"/>
      <c r="F42" s="377"/>
      <c r="G42" s="278"/>
    </row>
    <row r="44" spans="1:14" ht="16" thickBot="1" x14ac:dyDescent="0.25">
      <c r="B44" s="177" t="s">
        <v>258</v>
      </c>
      <c r="C44" s="1"/>
      <c r="D44" s="1"/>
      <c r="E44" s="1"/>
      <c r="F44" s="1"/>
    </row>
    <row r="45" spans="1:14" ht="16" thickBot="1" x14ac:dyDescent="0.25">
      <c r="B45" s="181" t="s">
        <v>181</v>
      </c>
      <c r="C45" s="187" t="s">
        <v>359</v>
      </c>
      <c r="D45" s="182" t="s">
        <v>360</v>
      </c>
      <c r="E45" s="182" t="s">
        <v>48</v>
      </c>
      <c r="F45" s="389" t="s">
        <v>144</v>
      </c>
      <c r="G45" s="390"/>
      <c r="H45" s="390"/>
      <c r="I45" s="390"/>
      <c r="J45" s="390"/>
      <c r="K45" s="390"/>
      <c r="L45" s="390"/>
      <c r="M45" s="390"/>
      <c r="N45" s="391"/>
    </row>
    <row r="46" spans="1:14" x14ac:dyDescent="0.2">
      <c r="B46" s="184" t="s">
        <v>138</v>
      </c>
      <c r="C46" s="247">
        <f>'Costing Overall'!H15</f>
        <v>2457.1065772699376</v>
      </c>
      <c r="D46" s="248">
        <f>'Costing Overall'!H16</f>
        <v>2093.3788220779143</v>
      </c>
      <c r="E46" s="248">
        <f>'Costing Overall'!I17</f>
        <v>4550.4853993478528</v>
      </c>
      <c r="F46" s="380" t="s">
        <v>264</v>
      </c>
      <c r="G46" s="381"/>
      <c r="H46" s="381"/>
      <c r="I46" s="381"/>
      <c r="J46" s="381"/>
      <c r="K46" s="381"/>
      <c r="L46" s="381"/>
      <c r="M46" s="381"/>
      <c r="N46" s="382"/>
    </row>
    <row r="47" spans="1:14" x14ac:dyDescent="0.2">
      <c r="B47" s="202" t="s">
        <v>137</v>
      </c>
      <c r="C47" s="250">
        <f>'Costing Overall'!H23</f>
        <v>2664.0978803291696</v>
      </c>
      <c r="D47" s="251">
        <f>'Costing Overall'!H24</f>
        <v>1642.9264954235475</v>
      </c>
      <c r="E47" s="251">
        <f>'Costing Overall'!I27</f>
        <v>4307.0243757527169</v>
      </c>
      <c r="F47" s="383" t="s">
        <v>262</v>
      </c>
      <c r="G47" s="384"/>
      <c r="H47" s="384"/>
      <c r="I47" s="384"/>
      <c r="J47" s="384"/>
      <c r="K47" s="384"/>
      <c r="L47" s="384"/>
      <c r="M47" s="384"/>
      <c r="N47" s="385"/>
    </row>
    <row r="48" spans="1:14" x14ac:dyDescent="0.2">
      <c r="B48" s="178" t="s">
        <v>147</v>
      </c>
      <c r="C48" s="253">
        <f>'Costing Overall'!H34</f>
        <v>215.62398737318992</v>
      </c>
      <c r="D48" s="254">
        <f>'Costing Overall'!H35</f>
        <v>123.21370707039425</v>
      </c>
      <c r="E48" s="254">
        <f>'Costing Overall'!I37</f>
        <v>338.83769444358416</v>
      </c>
      <c r="F48" s="380" t="s">
        <v>263</v>
      </c>
      <c r="G48" s="381"/>
      <c r="H48" s="381"/>
      <c r="I48" s="381"/>
      <c r="J48" s="381"/>
      <c r="K48" s="381"/>
      <c r="L48" s="381"/>
      <c r="M48" s="381"/>
      <c r="N48" s="382"/>
    </row>
    <row r="49" spans="2:19" x14ac:dyDescent="0.2">
      <c r="B49" s="202" t="s">
        <v>45</v>
      </c>
      <c r="C49" s="250">
        <f>'Costing Overall'!I38</f>
        <v>40697.674418604649</v>
      </c>
      <c r="D49" s="251">
        <f>'Costing Overall'!I39</f>
        <v>23255.813953488374</v>
      </c>
      <c r="E49" s="251">
        <f>'Costing Overall'!I45</f>
        <v>63953.488372093023</v>
      </c>
      <c r="F49" s="383" t="s">
        <v>369</v>
      </c>
      <c r="G49" s="384"/>
      <c r="H49" s="384"/>
      <c r="I49" s="384"/>
      <c r="J49" s="384"/>
      <c r="K49" s="384"/>
      <c r="L49" s="384"/>
      <c r="M49" s="384"/>
      <c r="N49" s="385"/>
    </row>
    <row r="50" spans="2:19" x14ac:dyDescent="0.2">
      <c r="B50" s="178" t="s">
        <v>1</v>
      </c>
      <c r="C50" s="253">
        <f>'Costing Overall'!H48</f>
        <v>14245.788250875461</v>
      </c>
      <c r="D50" s="254">
        <f>'Costing Overall'!H49</f>
        <v>14245.788250875461</v>
      </c>
      <c r="E50" s="254">
        <f>'Costing Overall'!I51</f>
        <v>28491.576501750922</v>
      </c>
      <c r="F50" s="380" t="s">
        <v>266</v>
      </c>
      <c r="G50" s="381"/>
      <c r="H50" s="381"/>
      <c r="I50" s="381"/>
      <c r="J50" s="381"/>
      <c r="K50" s="381"/>
      <c r="L50" s="381"/>
      <c r="M50" s="381"/>
      <c r="N50" s="382"/>
    </row>
    <row r="51" spans="2:19" x14ac:dyDescent="0.2">
      <c r="B51" s="202" t="s">
        <v>148</v>
      </c>
      <c r="C51" s="250">
        <f>'Costing Overall'!H54+('Costing Overall'!F93*0.1)</f>
        <v>7495.8995536436614</v>
      </c>
      <c r="D51" s="251">
        <f>'Costing Overall'!H55+('Costing Overall'!G93*0.1)</f>
        <v>5433.7624654242154</v>
      </c>
      <c r="E51" s="251">
        <f>'Costing Overall'!I60+('Costing Overall'!I93*0.1)</f>
        <v>12929.662019067877</v>
      </c>
      <c r="F51" s="383" t="s">
        <v>265</v>
      </c>
      <c r="G51" s="384"/>
      <c r="H51" s="384"/>
      <c r="I51" s="384"/>
      <c r="J51" s="384"/>
      <c r="K51" s="384"/>
      <c r="L51" s="384"/>
      <c r="M51" s="384"/>
      <c r="N51" s="385"/>
    </row>
    <row r="52" spans="2:19" x14ac:dyDescent="0.2">
      <c r="B52" s="178" t="s">
        <v>3</v>
      </c>
      <c r="C52" s="253">
        <f>SUM('Costing Overall'!I61:I65)</f>
        <v>3971.8023255813955</v>
      </c>
      <c r="D52" s="254">
        <f>SUM('Costing Overall'!I68:I72)</f>
        <v>2269.6013289036546</v>
      </c>
      <c r="E52" s="254">
        <f>'Costing Overall'!I74</f>
        <v>6241.4036544850505</v>
      </c>
      <c r="F52" s="380" t="s">
        <v>268</v>
      </c>
      <c r="G52" s="381"/>
      <c r="H52" s="381"/>
      <c r="I52" s="381"/>
      <c r="J52" s="381"/>
      <c r="K52" s="381"/>
      <c r="L52" s="381"/>
      <c r="M52" s="381"/>
      <c r="N52" s="382"/>
    </row>
    <row r="53" spans="2:19" x14ac:dyDescent="0.2">
      <c r="B53" s="202" t="s">
        <v>12</v>
      </c>
      <c r="C53" s="250">
        <f>'Costing Overall'!I75</f>
        <v>0</v>
      </c>
      <c r="D53" s="251">
        <f>'Costing Overall'!I75</f>
        <v>0</v>
      </c>
      <c r="E53" s="251">
        <f>'Costing Overall'!I82</f>
        <v>0</v>
      </c>
      <c r="F53" s="383" t="s">
        <v>269</v>
      </c>
      <c r="G53" s="384"/>
      <c r="H53" s="384"/>
      <c r="I53" s="384"/>
      <c r="J53" s="384"/>
      <c r="K53" s="384"/>
      <c r="L53" s="384"/>
      <c r="M53" s="384"/>
      <c r="N53" s="385"/>
    </row>
    <row r="54" spans="2:19" ht="16" thickBot="1" x14ac:dyDescent="0.25">
      <c r="B54" s="180" t="s">
        <v>56</v>
      </c>
      <c r="C54" s="256">
        <f>'Costing Overall'!H88</f>
        <v>32.4568351116055</v>
      </c>
      <c r="D54" s="257">
        <f>'Costing Overall'!H89</f>
        <v>32.4568351116055</v>
      </c>
      <c r="E54" s="257">
        <f>'Costing Overall'!I92</f>
        <v>64.913670223211</v>
      </c>
      <c r="F54" s="380" t="s">
        <v>270</v>
      </c>
      <c r="G54" s="381"/>
      <c r="H54" s="381"/>
      <c r="I54" s="381"/>
      <c r="J54" s="381"/>
      <c r="K54" s="381"/>
      <c r="L54" s="381"/>
      <c r="M54" s="381"/>
      <c r="N54" s="382"/>
    </row>
    <row r="55" spans="2:19" ht="16" thickBot="1" x14ac:dyDescent="0.25">
      <c r="B55" s="203" t="s">
        <v>48</v>
      </c>
      <c r="C55" s="259">
        <f>SUM(C46:C54)</f>
        <v>71780.44982878906</v>
      </c>
      <c r="D55" s="260">
        <f>SUM(D46:D54)</f>
        <v>49096.941858375169</v>
      </c>
      <c r="E55" s="260">
        <f>SUM(E46:E54)</f>
        <v>120877.39168716424</v>
      </c>
      <c r="F55" s="386"/>
      <c r="G55" s="387"/>
      <c r="H55" s="387"/>
      <c r="I55" s="387"/>
      <c r="J55" s="387"/>
      <c r="K55" s="387"/>
      <c r="L55" s="387"/>
      <c r="M55" s="387"/>
      <c r="N55" s="388"/>
    </row>
    <row r="58" spans="2:19" ht="16" thickBot="1" x14ac:dyDescent="0.25">
      <c r="B58" s="177" t="s">
        <v>275</v>
      </c>
      <c r="C58" s="1"/>
      <c r="D58" s="1"/>
      <c r="E58" s="1"/>
      <c r="F58" s="1"/>
      <c r="G58" s="1"/>
    </row>
    <row r="59" spans="2:19" ht="16" thickBot="1" x14ac:dyDescent="0.25">
      <c r="B59" s="181" t="s">
        <v>181</v>
      </c>
      <c r="C59" s="187" t="s">
        <v>361</v>
      </c>
      <c r="D59" s="182" t="s">
        <v>362</v>
      </c>
      <c r="E59" s="182" t="s">
        <v>48</v>
      </c>
      <c r="F59" s="389" t="s">
        <v>144</v>
      </c>
      <c r="G59" s="390"/>
      <c r="H59" s="390"/>
      <c r="I59" s="390"/>
      <c r="J59" s="390"/>
      <c r="K59" s="390"/>
      <c r="L59" s="390"/>
      <c r="M59" s="390"/>
      <c r="N59" s="390"/>
      <c r="O59" s="390"/>
      <c r="P59" s="390"/>
      <c r="Q59" s="390"/>
      <c r="R59" s="390"/>
      <c r="S59" s="391"/>
    </row>
    <row r="60" spans="2:19" x14ac:dyDescent="0.2">
      <c r="B60" s="184" t="s">
        <v>138</v>
      </c>
      <c r="C60" s="247">
        <f>'Costing Overall'!Q10</f>
        <v>0</v>
      </c>
      <c r="D60" s="248">
        <f>'Costing Overall'!Q11</f>
        <v>0</v>
      </c>
      <c r="E60" s="254">
        <f>'Costing Overall'!R17</f>
        <v>0</v>
      </c>
      <c r="F60" s="380" t="s">
        <v>276</v>
      </c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2"/>
    </row>
    <row r="61" spans="2:19" x14ac:dyDescent="0.2">
      <c r="B61" s="202" t="s">
        <v>137</v>
      </c>
      <c r="C61" s="250">
        <f>'Costing Overall'!R21+'Costing Overall'!R22</f>
        <v>1268.7883481992228</v>
      </c>
      <c r="D61" s="251">
        <f>'Costing Overall'!R23+'Costing Overall'!R24</f>
        <v>681.02002653900377</v>
      </c>
      <c r="E61" s="251">
        <f>'Costing Overall'!R27</f>
        <v>1949.8083747382266</v>
      </c>
      <c r="F61" s="392" t="s">
        <v>368</v>
      </c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4"/>
    </row>
    <row r="62" spans="2:19" x14ac:dyDescent="0.2">
      <c r="B62" s="178" t="s">
        <v>147</v>
      </c>
      <c r="C62" s="253">
        <f>'Costing Overall'!R31</f>
        <v>0</v>
      </c>
      <c r="D62" s="254">
        <f>'Costing Overall'!R32</f>
        <v>0</v>
      </c>
      <c r="E62" s="254">
        <f>'Costing Overall'!R37</f>
        <v>0</v>
      </c>
      <c r="F62" s="380" t="s">
        <v>277</v>
      </c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2"/>
    </row>
    <row r="63" spans="2:19" x14ac:dyDescent="0.2">
      <c r="B63" s="202" t="s">
        <v>45</v>
      </c>
      <c r="C63" s="250">
        <f>'Costing Overall'!R38</f>
        <v>21569.501787933354</v>
      </c>
      <c r="D63" s="251">
        <f>'Costing Overall'!R39</f>
        <v>11577.394055438615</v>
      </c>
      <c r="E63" s="251">
        <f>'Costing Overall'!R45</f>
        <v>33146.895843371967</v>
      </c>
      <c r="F63" s="383" t="s">
        <v>278</v>
      </c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5"/>
    </row>
    <row r="64" spans="2:19" x14ac:dyDescent="0.2">
      <c r="B64" s="178" t="s">
        <v>1</v>
      </c>
      <c r="C64" s="253">
        <f>'Costing Overall'!R48</f>
        <v>968.99224806201551</v>
      </c>
      <c r="D64" s="254">
        <f>'Costing Overall'!R49</f>
        <v>968.99224806201551</v>
      </c>
      <c r="E64" s="254">
        <f>'Costing Overall'!R51</f>
        <v>1937.984496124031</v>
      </c>
      <c r="F64" s="380" t="s">
        <v>279</v>
      </c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2"/>
    </row>
    <row r="65" spans="2:19" x14ac:dyDescent="0.2">
      <c r="B65" s="202" t="s">
        <v>148</v>
      </c>
      <c r="C65" s="250">
        <f>'Costing Overall'!R52+('Costing Overall'!R54/3)+'Costing Overall'!R55+'Costing Overall'!Q58</f>
        <v>2509.3679506193221</v>
      </c>
      <c r="D65" s="251">
        <f>'Costing Overall'!R53+('Costing Overall'!R54/3)+'Costing Overall'!R56+'Costing Overall'!Q59</f>
        <v>1376.4403047359963</v>
      </c>
      <c r="E65" s="251">
        <f>'Costing Overall'!R60+'Costing Overall'!Q57</f>
        <v>3885.8082553553186</v>
      </c>
      <c r="F65" s="383" t="s">
        <v>280</v>
      </c>
      <c r="G65" s="384"/>
      <c r="H65" s="384"/>
      <c r="I65" s="384"/>
      <c r="J65" s="384"/>
      <c r="K65" s="384"/>
      <c r="L65" s="384"/>
      <c r="M65" s="384"/>
      <c r="N65" s="384"/>
      <c r="O65" s="384"/>
      <c r="P65" s="384"/>
      <c r="Q65" s="384"/>
      <c r="R65" s="384"/>
      <c r="S65" s="385"/>
    </row>
    <row r="66" spans="2:19" x14ac:dyDescent="0.2">
      <c r="B66" s="178" t="s">
        <v>3</v>
      </c>
      <c r="C66" s="253">
        <f>'Costing Overall'!R62</f>
        <v>0</v>
      </c>
      <c r="D66" s="254">
        <f>'Costing Overall'!R62</f>
        <v>0</v>
      </c>
      <c r="E66" s="254">
        <f>'Costing Overall'!R74</f>
        <v>0</v>
      </c>
      <c r="F66" s="380" t="s">
        <v>283</v>
      </c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2"/>
    </row>
    <row r="67" spans="2:19" x14ac:dyDescent="0.2">
      <c r="B67" s="202" t="s">
        <v>12</v>
      </c>
      <c r="C67" s="250">
        <f>'Costing Overall'!R75</f>
        <v>526.30813953488359</v>
      </c>
      <c r="D67" s="251">
        <f>'Costing Overall'!R76</f>
        <v>117.94019933554817</v>
      </c>
      <c r="E67" s="251">
        <f>'Costing Overall'!R82</f>
        <v>644.24833887043178</v>
      </c>
      <c r="F67" s="383" t="s">
        <v>284</v>
      </c>
      <c r="G67" s="384"/>
      <c r="H67" s="384"/>
      <c r="I67" s="384"/>
      <c r="J67" s="384"/>
      <c r="K67" s="384"/>
      <c r="L67" s="384"/>
      <c r="M67" s="384"/>
      <c r="N67" s="384"/>
      <c r="O67" s="384"/>
      <c r="P67" s="384"/>
      <c r="Q67" s="384"/>
      <c r="R67" s="384"/>
      <c r="S67" s="385"/>
    </row>
    <row r="68" spans="2:19" ht="16" thickBot="1" x14ac:dyDescent="0.25">
      <c r="B68" s="180" t="s">
        <v>56</v>
      </c>
      <c r="C68" s="256">
        <f>'Costing Overall'!R83+'Costing Overall'!R87</f>
        <v>136.63444283558781</v>
      </c>
      <c r="D68" s="257">
        <f>'Costing Overall'!R84+'Costing Overall'!R88</f>
        <v>75.624419722452345</v>
      </c>
      <c r="E68" s="257">
        <f>'Costing Overall'!R92</f>
        <v>212.25886255804014</v>
      </c>
      <c r="F68" s="380" t="s">
        <v>332</v>
      </c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2"/>
    </row>
    <row r="69" spans="2:19" ht="16" thickBot="1" x14ac:dyDescent="0.25">
      <c r="B69" s="203" t="s">
        <v>48</v>
      </c>
      <c r="C69" s="259">
        <f>SUM(C60:C68)</f>
        <v>26979.592917184382</v>
      </c>
      <c r="D69" s="260">
        <f>SUM(D60:D68)</f>
        <v>14797.41125383363</v>
      </c>
      <c r="E69" s="260">
        <f>SUM(E60:E68)</f>
        <v>41777.004171018016</v>
      </c>
      <c r="F69" s="386"/>
      <c r="G69" s="387"/>
      <c r="H69" s="387"/>
      <c r="I69" s="387"/>
      <c r="J69" s="387"/>
      <c r="K69" s="387"/>
      <c r="L69" s="387"/>
      <c r="M69" s="387"/>
      <c r="N69" s="387"/>
      <c r="O69" s="387"/>
      <c r="P69" s="387"/>
      <c r="Q69" s="387"/>
      <c r="R69" s="387"/>
      <c r="S69" s="388"/>
    </row>
    <row r="72" spans="2:19" ht="16" thickBot="1" x14ac:dyDescent="0.25">
      <c r="B72" s="177" t="s">
        <v>293</v>
      </c>
      <c r="C72" s="1"/>
      <c r="D72" s="1"/>
      <c r="E72" s="1"/>
      <c r="F72" s="1"/>
    </row>
    <row r="73" spans="2:19" ht="16" thickBot="1" x14ac:dyDescent="0.25">
      <c r="B73" s="181" t="s">
        <v>181</v>
      </c>
      <c r="C73" s="187" t="s">
        <v>363</v>
      </c>
      <c r="D73" s="182" t="s">
        <v>364</v>
      </c>
      <c r="E73" s="182" t="s">
        <v>48</v>
      </c>
      <c r="F73" s="395" t="s">
        <v>144</v>
      </c>
      <c r="G73" s="396"/>
      <c r="H73" s="396"/>
      <c r="I73" s="396"/>
      <c r="J73" s="396"/>
      <c r="K73" s="396"/>
      <c r="L73" s="396"/>
      <c r="M73" s="396"/>
      <c r="N73" s="397"/>
    </row>
    <row r="74" spans="2:19" x14ac:dyDescent="0.2">
      <c r="B74" s="184" t="s">
        <v>138</v>
      </c>
      <c r="C74" s="247">
        <f>'Costing Overall'!Z10</f>
        <v>0</v>
      </c>
      <c r="D74" s="248">
        <f>'Costing Overall'!Z11</f>
        <v>0</v>
      </c>
      <c r="E74" s="254">
        <f>'Costing Overall'!AA17</f>
        <v>0</v>
      </c>
      <c r="F74" s="380"/>
      <c r="G74" s="381"/>
      <c r="H74" s="381"/>
      <c r="I74" s="381"/>
      <c r="J74" s="381"/>
      <c r="K74" s="381"/>
      <c r="L74" s="381"/>
      <c r="M74" s="381"/>
      <c r="N74" s="382"/>
    </row>
    <row r="75" spans="2:19" x14ac:dyDescent="0.2">
      <c r="B75" s="202" t="s">
        <v>137</v>
      </c>
      <c r="C75" s="250">
        <f>'Costing Overall'!Z19</f>
        <v>0</v>
      </c>
      <c r="D75" s="251">
        <f>'Costing Overall'!Z20</f>
        <v>0</v>
      </c>
      <c r="E75" s="251">
        <f>'Costing Overall'!AA27</f>
        <v>0</v>
      </c>
      <c r="F75" s="417" t="s">
        <v>320</v>
      </c>
      <c r="G75" s="385"/>
      <c r="H75" s="385"/>
      <c r="I75" s="385"/>
      <c r="J75" s="385"/>
      <c r="K75" s="385"/>
      <c r="L75" s="385"/>
      <c r="M75" s="385"/>
      <c r="N75" s="385"/>
    </row>
    <row r="76" spans="2:19" x14ac:dyDescent="0.2">
      <c r="B76" s="178" t="s">
        <v>147</v>
      </c>
      <c r="C76" s="253">
        <f>'Costing Overall'!Z36</f>
        <v>234.58986407959605</v>
      </c>
      <c r="D76" s="254">
        <f>'Costing Overall'!Z36</f>
        <v>234.58986407959605</v>
      </c>
      <c r="E76" s="254">
        <f>'Costing Overall'!AA37</f>
        <v>469.17972815919211</v>
      </c>
      <c r="F76" s="416" t="s">
        <v>315</v>
      </c>
      <c r="G76" s="382"/>
      <c r="H76" s="382"/>
      <c r="I76" s="382"/>
      <c r="J76" s="382"/>
      <c r="K76" s="382"/>
      <c r="L76" s="382"/>
      <c r="M76" s="382"/>
      <c r="N76" s="382"/>
    </row>
    <row r="77" spans="2:19" x14ac:dyDescent="0.2">
      <c r="B77" s="202" t="s">
        <v>45</v>
      </c>
      <c r="C77" s="250">
        <f>'Costing Overall'!AA38</f>
        <v>11035.247093023256</v>
      </c>
      <c r="D77" s="251">
        <f>'Costing Overall'!AA39</f>
        <v>11035.247093023256</v>
      </c>
      <c r="E77" s="251">
        <f>'Costing Overall'!AA45</f>
        <v>22070.494186046511</v>
      </c>
      <c r="F77" s="417" t="s">
        <v>316</v>
      </c>
      <c r="G77" s="385"/>
      <c r="H77" s="385"/>
      <c r="I77" s="385"/>
      <c r="J77" s="385"/>
      <c r="K77" s="385"/>
      <c r="L77" s="385"/>
      <c r="M77" s="385"/>
      <c r="N77" s="385"/>
    </row>
    <row r="78" spans="2:19" x14ac:dyDescent="0.2">
      <c r="B78" s="178" t="s">
        <v>1</v>
      </c>
      <c r="C78" s="253">
        <f>'Costing Overall'!AA46</f>
        <v>3577.9692691029895</v>
      </c>
      <c r="D78" s="254">
        <f>'Costing Overall'!AA47</f>
        <v>3577.9692691029895</v>
      </c>
      <c r="E78" s="254">
        <f>'Costing Overall'!AA51</f>
        <v>7155.9385382059791</v>
      </c>
      <c r="F78" s="416" t="s">
        <v>317</v>
      </c>
      <c r="G78" s="382"/>
      <c r="H78" s="382"/>
      <c r="I78" s="382"/>
      <c r="J78" s="382"/>
      <c r="K78" s="382"/>
      <c r="L78" s="382"/>
      <c r="M78" s="382"/>
      <c r="N78" s="382"/>
    </row>
    <row r="79" spans="2:19" x14ac:dyDescent="0.2">
      <c r="B79" s="202" t="s">
        <v>148</v>
      </c>
      <c r="C79" s="250">
        <f>'Costing Overall'!AA52+'Costing Overall'!Z58</f>
        <v>13061.75440270386</v>
      </c>
      <c r="D79" s="251">
        <f>'Costing Overall'!AA53+'Costing Overall'!Z59</f>
        <v>15141.86300301435</v>
      </c>
      <c r="E79" s="251">
        <f>'Costing Overall'!AA60+'Costing Overall'!Z57</f>
        <v>42717.517582149638</v>
      </c>
      <c r="F79" s="417" t="s">
        <v>318</v>
      </c>
      <c r="G79" s="385"/>
      <c r="H79" s="385"/>
      <c r="I79" s="385"/>
      <c r="J79" s="385"/>
      <c r="K79" s="385"/>
      <c r="L79" s="385"/>
      <c r="M79" s="385"/>
      <c r="N79" s="385"/>
    </row>
    <row r="80" spans="2:19" x14ac:dyDescent="0.2">
      <c r="B80" s="178" t="s">
        <v>3</v>
      </c>
      <c r="C80" s="253">
        <f>'Costing Overall'!Z72</f>
        <v>1807.2345653377631</v>
      </c>
      <c r="D80" s="254">
        <f>'Costing Overall'!Z73</f>
        <v>1807.2345653377631</v>
      </c>
      <c r="E80" s="254">
        <f>'Costing Overall'!AA74</f>
        <v>3614.4691306755262</v>
      </c>
      <c r="F80" s="416" t="s">
        <v>291</v>
      </c>
      <c r="G80" s="382"/>
      <c r="H80" s="382"/>
      <c r="I80" s="382"/>
      <c r="J80" s="382"/>
      <c r="K80" s="382"/>
      <c r="L80" s="382"/>
      <c r="M80" s="382"/>
      <c r="N80" s="382"/>
    </row>
    <row r="81" spans="2:14" x14ac:dyDescent="0.2">
      <c r="B81" s="202" t="s">
        <v>12</v>
      </c>
      <c r="C81" s="250">
        <f>'Costing Overall'!AA75</f>
        <v>0</v>
      </c>
      <c r="D81" s="251">
        <f>'Costing Overall'!AA75</f>
        <v>0</v>
      </c>
      <c r="E81" s="251">
        <f>'Costing Overall'!AA82</f>
        <v>0</v>
      </c>
      <c r="F81" s="417" t="s">
        <v>319</v>
      </c>
      <c r="G81" s="385"/>
      <c r="H81" s="385"/>
      <c r="I81" s="385"/>
      <c r="J81" s="385"/>
      <c r="K81" s="385"/>
      <c r="L81" s="385"/>
      <c r="M81" s="385"/>
      <c r="N81" s="385"/>
    </row>
    <row r="82" spans="2:14" ht="16" thickBot="1" x14ac:dyDescent="0.25">
      <c r="B82" s="180" t="s">
        <v>56</v>
      </c>
      <c r="C82" s="256">
        <f>'Costing Overall'!AA83</f>
        <v>30923.757788621264</v>
      </c>
      <c r="D82" s="257">
        <f>'Costing Overall'!AA83</f>
        <v>30923.757788621264</v>
      </c>
      <c r="E82" s="257">
        <f>'Costing Overall'!AA92</f>
        <v>61847.515577242528</v>
      </c>
      <c r="F82" s="380"/>
      <c r="G82" s="381"/>
      <c r="H82" s="381"/>
      <c r="I82" s="381"/>
      <c r="J82" s="381"/>
      <c r="K82" s="381"/>
      <c r="L82" s="381"/>
      <c r="M82" s="381"/>
      <c r="N82" s="382"/>
    </row>
    <row r="83" spans="2:14" ht="16" thickBot="1" x14ac:dyDescent="0.25">
      <c r="B83" s="203" t="s">
        <v>48</v>
      </c>
      <c r="C83" s="259">
        <f>SUM(C74:C82)</f>
        <v>60640.552982868729</v>
      </c>
      <c r="D83" s="260">
        <f>SUM(D74:D82)</f>
        <v>62720.661583179215</v>
      </c>
      <c r="E83" s="260">
        <f>SUM(E74:E82)</f>
        <v>137875.11474247937</v>
      </c>
      <c r="F83" s="386"/>
      <c r="G83" s="387"/>
      <c r="H83" s="387"/>
      <c r="I83" s="387"/>
      <c r="J83" s="387"/>
      <c r="K83" s="387"/>
      <c r="L83" s="387"/>
      <c r="M83" s="387"/>
      <c r="N83" s="388"/>
    </row>
    <row r="85" spans="2:14" ht="16" thickBot="1" x14ac:dyDescent="0.25">
      <c r="B85" s="200" t="s">
        <v>324</v>
      </c>
    </row>
    <row r="86" spans="2:14" x14ac:dyDescent="0.2">
      <c r="B86" s="378"/>
      <c r="C86" s="371" t="s">
        <v>55</v>
      </c>
      <c r="D86" s="372"/>
      <c r="E86" s="371" t="s">
        <v>202</v>
      </c>
      <c r="F86" s="372"/>
      <c r="G86" s="371" t="s">
        <v>40</v>
      </c>
      <c r="H86" s="372"/>
    </row>
    <row r="87" spans="2:14" ht="16" thickBot="1" x14ac:dyDescent="0.25">
      <c r="B87" s="379"/>
      <c r="C87" s="373"/>
      <c r="D87" s="374"/>
      <c r="E87" s="373"/>
      <c r="F87" s="374"/>
      <c r="G87" s="373"/>
      <c r="H87" s="374"/>
    </row>
    <row r="88" spans="2:14" ht="16" thickBot="1" x14ac:dyDescent="0.25">
      <c r="B88" s="289" t="s">
        <v>235</v>
      </c>
      <c r="C88" s="291" t="s">
        <v>365</v>
      </c>
      <c r="D88" s="290" t="s">
        <v>366</v>
      </c>
      <c r="E88" s="291" t="s">
        <v>365</v>
      </c>
      <c r="F88" s="290" t="s">
        <v>366</v>
      </c>
      <c r="G88" s="291" t="s">
        <v>365</v>
      </c>
      <c r="H88" s="290" t="s">
        <v>366</v>
      </c>
    </row>
    <row r="89" spans="2:14" x14ac:dyDescent="0.2">
      <c r="B89" s="178" t="s">
        <v>198</v>
      </c>
      <c r="C89" s="292">
        <f>C47+C48</f>
        <v>2879.7218677023593</v>
      </c>
      <c r="D89" s="293">
        <f>D47+D48</f>
        <v>1766.1402024939418</v>
      </c>
      <c r="E89" s="292">
        <f>C61+C62</f>
        <v>1268.7883481992228</v>
      </c>
      <c r="F89" s="293">
        <f>D61+D62</f>
        <v>681.02002653900377</v>
      </c>
      <c r="G89" s="292">
        <f>C75+C76</f>
        <v>234.58986407959605</v>
      </c>
      <c r="H89" s="293">
        <f>D75+D76</f>
        <v>234.58986407959605</v>
      </c>
    </row>
    <row r="90" spans="2:14" x14ac:dyDescent="0.2">
      <c r="B90" s="202" t="s">
        <v>199</v>
      </c>
      <c r="C90" s="294">
        <f>C49+C50</f>
        <v>54943.462669480112</v>
      </c>
      <c r="D90" s="295">
        <f>D49+D50</f>
        <v>37501.602204363837</v>
      </c>
      <c r="E90" s="294">
        <f>C63+C64</f>
        <v>22538.494035995369</v>
      </c>
      <c r="F90" s="295">
        <f>D63+D64</f>
        <v>12546.386303500631</v>
      </c>
      <c r="G90" s="294">
        <f>C77+C78</f>
        <v>14613.216362126244</v>
      </c>
      <c r="H90" s="295">
        <f>D77+D78</f>
        <v>14613.216362126244</v>
      </c>
    </row>
    <row r="91" spans="2:14" x14ac:dyDescent="0.2">
      <c r="B91" s="178" t="s">
        <v>3</v>
      </c>
      <c r="C91" s="292">
        <f>C52</f>
        <v>3971.8023255813955</v>
      </c>
      <c r="D91" s="293">
        <f>D52</f>
        <v>2269.6013289036546</v>
      </c>
      <c r="E91" s="292">
        <f>C66</f>
        <v>0</v>
      </c>
      <c r="F91" s="293">
        <f>D66</f>
        <v>0</v>
      </c>
      <c r="G91" s="292">
        <f>C80</f>
        <v>1807.2345653377631</v>
      </c>
      <c r="H91" s="293">
        <f>D80</f>
        <v>1807.2345653377631</v>
      </c>
    </row>
    <row r="92" spans="2:14" x14ac:dyDescent="0.2">
      <c r="B92" s="202" t="s">
        <v>148</v>
      </c>
      <c r="C92" s="294">
        <f>C51</f>
        <v>7495.8995536436614</v>
      </c>
      <c r="D92" s="295">
        <f>D51</f>
        <v>5433.7624654242154</v>
      </c>
      <c r="E92" s="294">
        <f>C65</f>
        <v>2509.3679506193221</v>
      </c>
      <c r="F92" s="295">
        <f>D65</f>
        <v>1376.4403047359963</v>
      </c>
      <c r="G92" s="294">
        <f>C79</f>
        <v>13061.75440270386</v>
      </c>
      <c r="H92" s="295">
        <f>D79</f>
        <v>15141.86300301435</v>
      </c>
    </row>
    <row r="93" spans="2:14" x14ac:dyDescent="0.2">
      <c r="B93" s="178" t="s">
        <v>200</v>
      </c>
      <c r="C93" s="292">
        <f>C46</f>
        <v>2457.1065772699376</v>
      </c>
      <c r="D93" s="293">
        <f>D46</f>
        <v>2093.3788220779143</v>
      </c>
      <c r="E93" s="292">
        <f>C60</f>
        <v>0</v>
      </c>
      <c r="F93" s="293">
        <f>D60</f>
        <v>0</v>
      </c>
      <c r="G93" s="292">
        <f>C74</f>
        <v>0</v>
      </c>
      <c r="H93" s="293">
        <f>D74</f>
        <v>0</v>
      </c>
    </row>
    <row r="94" spans="2:14" x14ac:dyDescent="0.2">
      <c r="B94" s="202" t="s">
        <v>205</v>
      </c>
      <c r="C94" s="294">
        <f>C54</f>
        <v>32.4568351116055</v>
      </c>
      <c r="D94" s="295">
        <f>D54</f>
        <v>32.4568351116055</v>
      </c>
      <c r="E94" s="294">
        <f>C68</f>
        <v>136.63444283558781</v>
      </c>
      <c r="F94" s="295">
        <f>D68</f>
        <v>75.624419722452345</v>
      </c>
      <c r="G94" s="294">
        <f>C82</f>
        <v>30923.757788621264</v>
      </c>
      <c r="H94" s="295">
        <f>D82</f>
        <v>30923.757788621264</v>
      </c>
    </row>
    <row r="95" spans="2:14" ht="16" thickBot="1" x14ac:dyDescent="0.25">
      <c r="B95" s="178" t="s">
        <v>12</v>
      </c>
      <c r="C95" s="292">
        <f>C53</f>
        <v>0</v>
      </c>
      <c r="D95" s="293">
        <f>D53</f>
        <v>0</v>
      </c>
      <c r="E95" s="292">
        <f>C67</f>
        <v>526.30813953488359</v>
      </c>
      <c r="F95" s="293">
        <f>D67</f>
        <v>117.94019933554817</v>
      </c>
      <c r="G95" s="292">
        <f>C81</f>
        <v>0</v>
      </c>
      <c r="H95" s="293">
        <f>D81</f>
        <v>0</v>
      </c>
    </row>
    <row r="96" spans="2:14" ht="16" thickBot="1" x14ac:dyDescent="0.25">
      <c r="B96" s="207" t="s">
        <v>48</v>
      </c>
      <c r="C96" s="297">
        <f t="shared" ref="C96:H96" si="2">SUM(C89:C95)</f>
        <v>71780.449828789075</v>
      </c>
      <c r="D96" s="298">
        <f t="shared" si="2"/>
        <v>49096.941858375176</v>
      </c>
      <c r="E96" s="297">
        <f t="shared" si="2"/>
        <v>26979.592917184382</v>
      </c>
      <c r="F96" s="298">
        <f t="shared" si="2"/>
        <v>14797.41125383363</v>
      </c>
      <c r="G96" s="297">
        <f t="shared" si="2"/>
        <v>60640.552982868729</v>
      </c>
      <c r="H96" s="298">
        <f t="shared" si="2"/>
        <v>62720.661583179215</v>
      </c>
    </row>
    <row r="98" spans="2:14" ht="16" thickBot="1" x14ac:dyDescent="0.25">
      <c r="B98" s="200" t="s">
        <v>325</v>
      </c>
    </row>
    <row r="99" spans="2:14" x14ac:dyDescent="0.2">
      <c r="B99" s="375"/>
      <c r="C99" s="369" t="s">
        <v>55</v>
      </c>
      <c r="D99" s="369"/>
      <c r="E99" s="371" t="s">
        <v>202</v>
      </c>
      <c r="F99" s="372"/>
      <c r="G99" s="371" t="s">
        <v>40</v>
      </c>
      <c r="H99" s="372"/>
      <c r="I99" s="413" t="s">
        <v>48</v>
      </c>
      <c r="J99" s="371" t="s">
        <v>144</v>
      </c>
      <c r="K99" s="369"/>
      <c r="L99" s="369"/>
      <c r="M99" s="369"/>
      <c r="N99" s="372"/>
    </row>
    <row r="100" spans="2:14" ht="16" thickBot="1" x14ac:dyDescent="0.25">
      <c r="B100" s="376"/>
      <c r="C100" s="370"/>
      <c r="D100" s="370"/>
      <c r="E100" s="373"/>
      <c r="F100" s="374"/>
      <c r="G100" s="373"/>
      <c r="H100" s="374"/>
      <c r="I100" s="414"/>
      <c r="J100" s="410"/>
      <c r="K100" s="411"/>
      <c r="L100" s="411"/>
      <c r="M100" s="411"/>
      <c r="N100" s="412"/>
    </row>
    <row r="101" spans="2:14" ht="16" thickBot="1" x14ac:dyDescent="0.25">
      <c r="B101" s="319" t="s">
        <v>235</v>
      </c>
      <c r="C101" s="291" t="s">
        <v>367</v>
      </c>
      <c r="D101" s="290" t="s">
        <v>366</v>
      </c>
      <c r="E101" s="291" t="s">
        <v>367</v>
      </c>
      <c r="F101" s="290" t="s">
        <v>366</v>
      </c>
      <c r="G101" s="291" t="s">
        <v>367</v>
      </c>
      <c r="H101" s="290" t="s">
        <v>366</v>
      </c>
      <c r="I101" s="415"/>
      <c r="J101" s="373"/>
      <c r="K101" s="370"/>
      <c r="L101" s="370"/>
      <c r="M101" s="370"/>
      <c r="N101" s="374"/>
    </row>
    <row r="102" spans="2:14" x14ac:dyDescent="0.2">
      <c r="B102" s="299" t="s">
        <v>136</v>
      </c>
      <c r="C102" s="320">
        <f>C46+C47+C51+C53</f>
        <v>12617.104011242769</v>
      </c>
      <c r="D102" s="320">
        <f>D46+D47+D51+D53</f>
        <v>9170.0677829256783</v>
      </c>
      <c r="E102" s="292">
        <f>C60+C61+C65+C67</f>
        <v>4304.4644383534287</v>
      </c>
      <c r="F102" s="293">
        <f>D60+D61+D65+D67</f>
        <v>2175.4005306105482</v>
      </c>
      <c r="G102" s="292">
        <f>C74+C75+C79+C81</f>
        <v>13061.75440270386</v>
      </c>
      <c r="H102" s="293">
        <f>D74+D75+D79+D81</f>
        <v>15141.86300301435</v>
      </c>
      <c r="I102" s="296">
        <f>SUM(C102:H102)</f>
        <v>56470.65416885064</v>
      </c>
      <c r="J102" s="418" t="s">
        <v>321</v>
      </c>
      <c r="K102" s="419"/>
      <c r="L102" s="419"/>
      <c r="M102" s="419"/>
      <c r="N102" s="420"/>
    </row>
    <row r="103" spans="2:14" x14ac:dyDescent="0.2">
      <c r="B103" s="300" t="s">
        <v>179</v>
      </c>
      <c r="C103" s="321">
        <f>C48+C54</f>
        <v>248.08082248479542</v>
      </c>
      <c r="D103" s="321">
        <f>D48+D54</f>
        <v>155.67054218199974</v>
      </c>
      <c r="E103" s="294">
        <f>C62+C68</f>
        <v>136.63444283558781</v>
      </c>
      <c r="F103" s="295">
        <f>D62+D68</f>
        <v>75.624419722452345</v>
      </c>
      <c r="G103" s="294">
        <f>C76+C82</f>
        <v>31158.347652700861</v>
      </c>
      <c r="H103" s="295">
        <f>D76+D82</f>
        <v>31158.347652700861</v>
      </c>
      <c r="I103" s="328">
        <f>SUM(C103:H103)</f>
        <v>62932.705532626554</v>
      </c>
      <c r="J103" s="392" t="s">
        <v>322</v>
      </c>
      <c r="K103" s="393"/>
      <c r="L103" s="393"/>
      <c r="M103" s="393"/>
      <c r="N103" s="394"/>
    </row>
    <row r="104" spans="2:14" x14ac:dyDescent="0.2">
      <c r="B104" s="301" t="s">
        <v>133</v>
      </c>
      <c r="C104" s="320">
        <f>C52</f>
        <v>3971.8023255813955</v>
      </c>
      <c r="D104" s="320">
        <f>D52</f>
        <v>2269.6013289036546</v>
      </c>
      <c r="E104" s="292">
        <f>C66</f>
        <v>0</v>
      </c>
      <c r="F104" s="293">
        <f>D66</f>
        <v>0</v>
      </c>
      <c r="G104" s="292">
        <f>C80</f>
        <v>1807.2345653377631</v>
      </c>
      <c r="H104" s="293">
        <f>D80</f>
        <v>1807.2345653377631</v>
      </c>
      <c r="I104" s="296">
        <f>SUM(C104:H104)</f>
        <v>9855.8727851605763</v>
      </c>
      <c r="J104" s="421" t="s">
        <v>313</v>
      </c>
      <c r="K104" s="422"/>
      <c r="L104" s="422"/>
      <c r="M104" s="422"/>
      <c r="N104" s="423"/>
    </row>
    <row r="105" spans="2:14" ht="16" thickBot="1" x14ac:dyDescent="0.25">
      <c r="B105" s="302" t="s">
        <v>180</v>
      </c>
      <c r="C105" s="322">
        <f>C49+C50</f>
        <v>54943.462669480112</v>
      </c>
      <c r="D105" s="322">
        <f>D49+D50</f>
        <v>37501.602204363837</v>
      </c>
      <c r="E105" s="324">
        <f>C64+C63</f>
        <v>22538.494035995369</v>
      </c>
      <c r="F105" s="325">
        <f>D64+D63</f>
        <v>12546.386303500631</v>
      </c>
      <c r="G105" s="324">
        <f>C77+C78</f>
        <v>14613.216362126244</v>
      </c>
      <c r="H105" s="325">
        <f>D77+D78</f>
        <v>14613.216362126244</v>
      </c>
      <c r="I105" s="328">
        <f>SUM(C105:H105)</f>
        <v>156756.37793759245</v>
      </c>
      <c r="J105" s="392" t="s">
        <v>314</v>
      </c>
      <c r="K105" s="393"/>
      <c r="L105" s="393"/>
      <c r="M105" s="393"/>
      <c r="N105" s="394"/>
    </row>
    <row r="106" spans="2:14" ht="16" thickBot="1" x14ac:dyDescent="0.25">
      <c r="B106" s="319" t="s">
        <v>48</v>
      </c>
      <c r="C106" s="323">
        <f t="shared" ref="C106:I106" si="3">SUM(C102:C105)</f>
        <v>71780.449828789075</v>
      </c>
      <c r="D106" s="323">
        <f t="shared" si="3"/>
        <v>49096.941858375169</v>
      </c>
      <c r="E106" s="326">
        <f t="shared" si="3"/>
        <v>26979.592917184385</v>
      </c>
      <c r="F106" s="327">
        <f t="shared" si="3"/>
        <v>14797.41125383363</v>
      </c>
      <c r="G106" s="326">
        <f t="shared" si="3"/>
        <v>60640.552982868729</v>
      </c>
      <c r="H106" s="327">
        <f t="shared" si="3"/>
        <v>62720.661583179222</v>
      </c>
      <c r="I106" s="327">
        <f t="shared" si="3"/>
        <v>286015.61042423022</v>
      </c>
      <c r="J106" s="424"/>
      <c r="K106" s="425"/>
      <c r="L106" s="425"/>
      <c r="M106" s="425"/>
      <c r="N106" s="426"/>
    </row>
  </sheetData>
  <mergeCells count="58">
    <mergeCell ref="J102:N102"/>
    <mergeCell ref="J103:N103"/>
    <mergeCell ref="J104:N104"/>
    <mergeCell ref="J105:N105"/>
    <mergeCell ref="J106:N106"/>
    <mergeCell ref="G31:I31"/>
    <mergeCell ref="G32:I32"/>
    <mergeCell ref="G33:I33"/>
    <mergeCell ref="G34:I34"/>
    <mergeCell ref="J99:N101"/>
    <mergeCell ref="I99:I101"/>
    <mergeCell ref="F80:N80"/>
    <mergeCell ref="F81:N81"/>
    <mergeCell ref="F82:N82"/>
    <mergeCell ref="F83:N83"/>
    <mergeCell ref="F75:N75"/>
    <mergeCell ref="F69:S69"/>
    <mergeCell ref="F76:N76"/>
    <mergeCell ref="F77:N77"/>
    <mergeCell ref="F78:N78"/>
    <mergeCell ref="F79:N79"/>
    <mergeCell ref="G26:I26"/>
    <mergeCell ref="G27:I27"/>
    <mergeCell ref="G28:I28"/>
    <mergeCell ref="G29:I29"/>
    <mergeCell ref="G30:I30"/>
    <mergeCell ref="F62:S62"/>
    <mergeCell ref="F63:S63"/>
    <mergeCell ref="F74:N74"/>
    <mergeCell ref="F73:N73"/>
    <mergeCell ref="F64:S64"/>
    <mergeCell ref="F65:S65"/>
    <mergeCell ref="F66:S66"/>
    <mergeCell ref="F67:S67"/>
    <mergeCell ref="F68:S68"/>
    <mergeCell ref="F47:N47"/>
    <mergeCell ref="F48:N48"/>
    <mergeCell ref="F49:N49"/>
    <mergeCell ref="F50:N50"/>
    <mergeCell ref="F61:S61"/>
    <mergeCell ref="F60:S60"/>
    <mergeCell ref="F59:S59"/>
    <mergeCell ref="C99:D100"/>
    <mergeCell ref="E99:F100"/>
    <mergeCell ref="G99:H100"/>
    <mergeCell ref="B99:B100"/>
    <mergeCell ref="C40:F42"/>
    <mergeCell ref="C86:D87"/>
    <mergeCell ref="E86:F87"/>
    <mergeCell ref="G86:H87"/>
    <mergeCell ref="B86:B87"/>
    <mergeCell ref="F52:N52"/>
    <mergeCell ref="F53:N53"/>
    <mergeCell ref="F54:N54"/>
    <mergeCell ref="F55:N55"/>
    <mergeCell ref="F45:N45"/>
    <mergeCell ref="F51:N51"/>
    <mergeCell ref="F46:N4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4"/>
  <sheetViews>
    <sheetView tabSelected="1" topLeftCell="O1" zoomScale="90" zoomScaleNormal="90" zoomScalePageLayoutView="90" workbookViewId="0">
      <selection activeCell="J31" sqref="J31"/>
    </sheetView>
  </sheetViews>
  <sheetFormatPr baseColWidth="10" defaultColWidth="9.1640625" defaultRowHeight="15" x14ac:dyDescent="0.2"/>
  <cols>
    <col min="1" max="1" width="39.1640625" style="83" bestFit="1" customWidth="1"/>
    <col min="2" max="2" width="45" style="83" bestFit="1" customWidth="1"/>
    <col min="3" max="3" width="20.1640625" style="83" customWidth="1"/>
    <col min="4" max="4" width="39.1640625" style="83" customWidth="1"/>
    <col min="5" max="6" width="9.1640625" style="83"/>
    <col min="7" max="7" width="35.6640625" style="83" bestFit="1" customWidth="1"/>
    <col min="8" max="8" width="16" style="83" bestFit="1" customWidth="1"/>
    <col min="9" max="9" width="10.6640625" style="83" bestFit="1" customWidth="1"/>
    <col min="10" max="10" width="24.83203125" style="83" bestFit="1" customWidth="1"/>
    <col min="11" max="11" width="15.1640625" style="83" bestFit="1" customWidth="1"/>
    <col min="12" max="13" width="9.1640625" style="83"/>
    <col min="14" max="14" width="74.33203125" style="83" bestFit="1" customWidth="1"/>
    <col min="15" max="15" width="24.5" style="83" bestFit="1" customWidth="1"/>
    <col min="16" max="17" width="9.1640625" style="83"/>
    <col min="18" max="18" width="20.33203125" style="83" bestFit="1" customWidth="1"/>
    <col min="19" max="19" width="15.5" style="83" bestFit="1" customWidth="1"/>
    <col min="20" max="21" width="9.1640625" style="83"/>
    <col min="22" max="22" width="27.83203125" style="83" bestFit="1" customWidth="1"/>
    <col min="23" max="23" width="13.6640625" style="83" bestFit="1" customWidth="1"/>
    <col min="24" max="24" width="9.1640625" style="83"/>
    <col min="25" max="25" width="13.5" style="83" customWidth="1"/>
    <col min="26" max="26" width="15.1640625" style="83" bestFit="1" customWidth="1"/>
    <col min="27" max="28" width="9.1640625" style="83"/>
    <col min="29" max="29" width="11.6640625" style="83" bestFit="1" customWidth="1"/>
    <col min="30" max="30" width="9.1640625" style="83"/>
    <col min="31" max="31" width="29.5" style="83" bestFit="1" customWidth="1"/>
    <col min="32" max="16384" width="9.1640625" style="83"/>
  </cols>
  <sheetData>
    <row r="1" spans="1:32" x14ac:dyDescent="0.2">
      <c r="A1" s="433" t="s">
        <v>125</v>
      </c>
      <c r="B1" s="434"/>
      <c r="C1" s="434"/>
      <c r="D1" s="435"/>
      <c r="G1" s="428" t="s">
        <v>71</v>
      </c>
      <c r="H1" s="429"/>
      <c r="I1" s="429"/>
      <c r="J1" s="429"/>
      <c r="K1" s="430"/>
      <c r="N1" s="93" t="s">
        <v>84</v>
      </c>
      <c r="O1" s="84"/>
      <c r="R1" s="431" t="s">
        <v>93</v>
      </c>
      <c r="S1" s="432"/>
      <c r="V1" s="428" t="s">
        <v>349</v>
      </c>
      <c r="W1" s="429"/>
      <c r="X1" s="429"/>
      <c r="Y1" s="429"/>
      <c r="Z1" s="430"/>
    </row>
    <row r="2" spans="1:32" x14ac:dyDescent="0.2">
      <c r="A2" s="99" t="s">
        <v>120</v>
      </c>
      <c r="B2" s="112" t="s">
        <v>127</v>
      </c>
      <c r="C2" s="109" t="s">
        <v>141</v>
      </c>
      <c r="D2" s="100" t="s">
        <v>131</v>
      </c>
      <c r="G2" s="86" t="s">
        <v>72</v>
      </c>
      <c r="H2" s="74" t="s">
        <v>73</v>
      </c>
      <c r="I2" s="73" t="s">
        <v>139</v>
      </c>
      <c r="J2" s="73" t="s">
        <v>74</v>
      </c>
      <c r="K2" s="91" t="s">
        <v>196</v>
      </c>
      <c r="N2" s="87" t="s">
        <v>85</v>
      </c>
      <c r="O2" s="85" t="s">
        <v>86</v>
      </c>
      <c r="R2" s="86" t="s">
        <v>85</v>
      </c>
      <c r="S2" s="75" t="s">
        <v>94</v>
      </c>
      <c r="V2" s="86" t="s">
        <v>72</v>
      </c>
      <c r="W2" s="74" t="s">
        <v>73</v>
      </c>
      <c r="X2" s="73" t="s">
        <v>139</v>
      </c>
      <c r="Y2" s="73" t="s">
        <v>74</v>
      </c>
      <c r="Z2" s="91" t="s">
        <v>196</v>
      </c>
    </row>
    <row r="3" spans="1:32" x14ac:dyDescent="0.2">
      <c r="A3" s="101" t="s">
        <v>59</v>
      </c>
      <c r="B3" s="113" t="s">
        <v>132</v>
      </c>
      <c r="C3" s="122">
        <v>204426</v>
      </c>
      <c r="D3" s="123">
        <f t="shared" ref="D3:D8" si="0">C3/12</f>
        <v>17035.5</v>
      </c>
      <c r="G3" s="80" t="s">
        <v>75</v>
      </c>
      <c r="H3" s="120">
        <v>800</v>
      </c>
      <c r="I3" s="77">
        <v>5</v>
      </c>
      <c r="J3" s="77">
        <f t="shared" ref="J3:J24" si="1">VLOOKUP(I3,$AD$6:$AE$11,2)</f>
        <v>4.3294766706308208</v>
      </c>
      <c r="K3" s="171">
        <f t="shared" ref="K3:K26" si="2">H3/J3</f>
        <v>184.77983850261447</v>
      </c>
      <c r="N3" s="89" t="s">
        <v>106</v>
      </c>
      <c r="O3" s="436">
        <f>200/50</f>
        <v>4</v>
      </c>
      <c r="R3" s="80" t="s">
        <v>116</v>
      </c>
      <c r="S3" s="445">
        <v>1053</v>
      </c>
      <c r="V3" s="80" t="s">
        <v>350</v>
      </c>
      <c r="W3" s="120">
        <v>5130</v>
      </c>
      <c r="X3" s="77">
        <v>5</v>
      </c>
      <c r="Y3" s="77">
        <f>VLOOKUP(X3,$AD$5:$AE$11,2)</f>
        <v>4.3294766706308208</v>
      </c>
      <c r="Z3" s="171">
        <f>W3/Y3</f>
        <v>1184.9007143980152</v>
      </c>
      <c r="AA3"/>
      <c r="AB3"/>
      <c r="AC3"/>
      <c r="AD3" s="427" t="s">
        <v>326</v>
      </c>
      <c r="AE3" s="427"/>
      <c r="AF3"/>
    </row>
    <row r="4" spans="1:32" x14ac:dyDescent="0.2">
      <c r="A4" s="101" t="s">
        <v>126</v>
      </c>
      <c r="B4" s="113" t="s">
        <v>121</v>
      </c>
      <c r="C4" s="122">
        <f>(314160+323589)/2</f>
        <v>318874.5</v>
      </c>
      <c r="D4" s="123">
        <f t="shared" si="0"/>
        <v>26572.875</v>
      </c>
      <c r="G4" s="80" t="s">
        <v>16</v>
      </c>
      <c r="H4" s="121">
        <v>59</v>
      </c>
      <c r="I4" s="77">
        <v>5</v>
      </c>
      <c r="J4" s="77">
        <f t="shared" si="1"/>
        <v>4.3294766706308208</v>
      </c>
      <c r="K4" s="171">
        <f t="shared" si="2"/>
        <v>13.627513089567817</v>
      </c>
      <c r="N4" s="80" t="s">
        <v>87</v>
      </c>
      <c r="O4" s="436">
        <f>82.14</f>
        <v>82.14</v>
      </c>
      <c r="R4" s="80" t="s">
        <v>17</v>
      </c>
      <c r="S4" s="438">
        <v>37.75</v>
      </c>
      <c r="V4" s="80" t="s">
        <v>351</v>
      </c>
      <c r="W4" s="338">
        <f>C6/'Costing Overall'!$B$1</f>
        <v>2067.7800000000002</v>
      </c>
      <c r="X4" s="77">
        <v>5</v>
      </c>
      <c r="Y4" s="77">
        <f>VLOOKUP(X4,$AD$5:$AE$11,2)</f>
        <v>4.3294766706308208</v>
      </c>
      <c r="Z4" s="171">
        <f>W4/Y4</f>
        <v>477.60506807367022</v>
      </c>
      <c r="AA4"/>
      <c r="AB4"/>
      <c r="AC4" t="s">
        <v>327</v>
      </c>
      <c r="AD4" t="s">
        <v>139</v>
      </c>
      <c r="AE4" t="s">
        <v>328</v>
      </c>
      <c r="AF4"/>
    </row>
    <row r="5" spans="1:32" x14ac:dyDescent="0.2">
      <c r="A5" s="116" t="s">
        <v>44</v>
      </c>
      <c r="B5" s="113" t="s">
        <v>129</v>
      </c>
      <c r="C5" s="122">
        <v>516945</v>
      </c>
      <c r="D5" s="123">
        <f t="shared" si="0"/>
        <v>43078.75</v>
      </c>
      <c r="G5" s="80" t="s">
        <v>76</v>
      </c>
      <c r="H5" s="121">
        <v>486</v>
      </c>
      <c r="I5" s="77">
        <v>5</v>
      </c>
      <c r="J5" s="77">
        <f t="shared" si="1"/>
        <v>4.3294766706308208</v>
      </c>
      <c r="K5" s="171">
        <f t="shared" si="2"/>
        <v>112.25375189033828</v>
      </c>
      <c r="N5" s="80" t="s">
        <v>88</v>
      </c>
      <c r="O5" s="436">
        <f>4.14/100</f>
        <v>4.1399999999999999E-2</v>
      </c>
      <c r="R5" s="80" t="s">
        <v>18</v>
      </c>
      <c r="S5" s="438">
        <v>155</v>
      </c>
      <c r="V5" s="80" t="s">
        <v>352</v>
      </c>
      <c r="W5" s="120">
        <f>82*'Costing Overall'!E1</f>
        <v>5.6755260243632337</v>
      </c>
      <c r="X5" s="77">
        <v>5</v>
      </c>
      <c r="Y5" s="77">
        <f>VLOOKUP(X5,$AD$5:$AE$11,2)</f>
        <v>4.3294766706308208</v>
      </c>
      <c r="Z5" s="171">
        <f>W5/Y5</f>
        <v>1.3109034777490298</v>
      </c>
      <c r="AA5"/>
      <c r="AB5"/>
      <c r="AC5">
        <v>0.05</v>
      </c>
      <c r="AD5" s="83">
        <v>1</v>
      </c>
      <c r="AE5" s="330">
        <v>1</v>
      </c>
      <c r="AF5"/>
    </row>
    <row r="6" spans="1:32" x14ac:dyDescent="0.2">
      <c r="A6" s="101" t="s">
        <v>124</v>
      </c>
      <c r="B6" s="113" t="s">
        <v>129</v>
      </c>
      <c r="C6" s="122">
        <v>516945</v>
      </c>
      <c r="D6" s="123">
        <f t="shared" si="0"/>
        <v>43078.75</v>
      </c>
      <c r="G6" s="80" t="s">
        <v>15</v>
      </c>
      <c r="H6" s="121">
        <v>999</v>
      </c>
      <c r="I6" s="77">
        <v>5</v>
      </c>
      <c r="J6" s="77">
        <f t="shared" si="1"/>
        <v>4.3294766706308208</v>
      </c>
      <c r="K6" s="171">
        <f t="shared" si="2"/>
        <v>230.7438233301398</v>
      </c>
      <c r="N6" s="80" t="s">
        <v>75</v>
      </c>
      <c r="O6" s="436">
        <f>4.14/100</f>
        <v>4.1399999999999999E-2</v>
      </c>
      <c r="R6" s="80" t="s">
        <v>31</v>
      </c>
      <c r="S6" s="438">
        <f>(3.9*14.72)*(1.0527*1.0462*1.0413*1.0243)</f>
        <v>67.43646502180593</v>
      </c>
      <c r="V6" s="80" t="s">
        <v>353</v>
      </c>
      <c r="W6" s="338">
        <f>C3/'Costing Overall'!B1</f>
        <v>817.70399999999995</v>
      </c>
      <c r="X6" s="77">
        <v>5</v>
      </c>
      <c r="Y6" s="77">
        <f>VLOOKUP(X6,$AD$5:$AE$11,2)</f>
        <v>4.3294766706308208</v>
      </c>
      <c r="Z6" s="171">
        <f>W6/Y6</f>
        <v>188.8690163286773</v>
      </c>
      <c r="AA6"/>
      <c r="AB6"/>
      <c r="AC6"/>
      <c r="AD6">
        <v>2</v>
      </c>
      <c r="AE6" s="330">
        <f t="shared" ref="AE6:AE11" si="3">((1+$AC$5)^AD6-1)/($AC$5*(1+$AC$5)^AD6)</f>
        <v>1.8594104308390027</v>
      </c>
      <c r="AF6"/>
    </row>
    <row r="7" spans="1:32" x14ac:dyDescent="0.2">
      <c r="A7" s="101" t="s">
        <v>128</v>
      </c>
      <c r="B7" s="113" t="s">
        <v>121</v>
      </c>
      <c r="C7" s="122">
        <f>(314160+323589)/2</f>
        <v>318874.5</v>
      </c>
      <c r="D7" s="123">
        <f t="shared" si="0"/>
        <v>26572.875</v>
      </c>
      <c r="G7" s="92" t="s">
        <v>77</v>
      </c>
      <c r="H7" s="121">
        <v>2099</v>
      </c>
      <c r="I7" s="77">
        <v>10</v>
      </c>
      <c r="J7" s="77">
        <f t="shared" si="1"/>
        <v>7.7217349291848123</v>
      </c>
      <c r="K7" s="171">
        <f t="shared" si="2"/>
        <v>271.83010285249361</v>
      </c>
      <c r="N7" s="80" t="s">
        <v>89</v>
      </c>
      <c r="O7" s="437">
        <v>0.5</v>
      </c>
      <c r="R7" s="80"/>
      <c r="S7" s="441"/>
      <c r="V7" s="92" t="s">
        <v>357</v>
      </c>
      <c r="W7" s="338">
        <f>C9/'Costing Overall'!B1</f>
        <v>168</v>
      </c>
      <c r="X7" s="77">
        <v>5</v>
      </c>
      <c r="Y7" s="77">
        <f>VLOOKUP(X7,$AD$5:$AE$11,2)</f>
        <v>4.3294766706308208</v>
      </c>
      <c r="Z7" s="171">
        <f>W7/Y7</f>
        <v>38.803766085549036</v>
      </c>
      <c r="AA7"/>
      <c r="AB7"/>
      <c r="AC7"/>
      <c r="AD7">
        <v>3</v>
      </c>
      <c r="AE7" s="330">
        <f t="shared" si="3"/>
        <v>2.7232480293704802</v>
      </c>
      <c r="AF7"/>
    </row>
    <row r="8" spans="1:32" x14ac:dyDescent="0.2">
      <c r="A8" s="101" t="s">
        <v>66</v>
      </c>
      <c r="B8" s="113" t="s">
        <v>130</v>
      </c>
      <c r="C8" s="122">
        <v>1437270</v>
      </c>
      <c r="D8" s="124">
        <f t="shared" si="0"/>
        <v>119772.5</v>
      </c>
      <c r="G8" s="80" t="s">
        <v>78</v>
      </c>
      <c r="H8" s="121">
        <v>2299</v>
      </c>
      <c r="I8" s="77">
        <v>10</v>
      </c>
      <c r="J8" s="77">
        <f t="shared" si="1"/>
        <v>7.7217349291848123</v>
      </c>
      <c r="K8" s="171">
        <f t="shared" si="2"/>
        <v>297.73101784558497</v>
      </c>
      <c r="N8" s="80" t="s">
        <v>104</v>
      </c>
      <c r="O8" s="436">
        <f>1810/100</f>
        <v>18.100000000000001</v>
      </c>
      <c r="R8" s="80"/>
      <c r="S8" s="441"/>
      <c r="V8" s="80"/>
      <c r="W8" s="77"/>
      <c r="X8" s="77"/>
      <c r="Y8" s="79"/>
      <c r="Z8" s="171"/>
      <c r="AA8"/>
      <c r="AB8"/>
      <c r="AC8"/>
      <c r="AD8">
        <v>5</v>
      </c>
      <c r="AE8" s="330">
        <f t="shared" si="3"/>
        <v>4.3294766706308208</v>
      </c>
      <c r="AF8"/>
    </row>
    <row r="9" spans="1:32" x14ac:dyDescent="0.2">
      <c r="A9" s="101" t="s">
        <v>55</v>
      </c>
      <c r="B9" s="115"/>
      <c r="C9" s="127">
        <f>D9*12</f>
        <v>42000</v>
      </c>
      <c r="D9" s="125">
        <v>3500</v>
      </c>
      <c r="G9" s="80" t="s">
        <v>79</v>
      </c>
      <c r="H9" s="121">
        <v>6564</v>
      </c>
      <c r="I9" s="77">
        <v>5</v>
      </c>
      <c r="J9" s="77">
        <f t="shared" si="1"/>
        <v>4.3294766706308208</v>
      </c>
      <c r="K9" s="171">
        <f t="shared" si="2"/>
        <v>1516.1185749139518</v>
      </c>
      <c r="N9" s="80" t="s">
        <v>105</v>
      </c>
      <c r="O9" s="436">
        <f>585/50</f>
        <v>11.7</v>
      </c>
      <c r="R9" s="80"/>
      <c r="S9" s="441"/>
      <c r="V9" s="80"/>
      <c r="W9" s="77"/>
      <c r="X9" s="77"/>
      <c r="Y9" s="77"/>
      <c r="Z9" s="171"/>
      <c r="AA9"/>
      <c r="AB9"/>
      <c r="AC9"/>
      <c r="AD9">
        <v>8</v>
      </c>
      <c r="AE9" s="330">
        <f t="shared" si="3"/>
        <v>6.4632127594262556</v>
      </c>
      <c r="AF9"/>
    </row>
    <row r="10" spans="1:32" x14ac:dyDescent="0.2">
      <c r="A10" s="101" t="s">
        <v>122</v>
      </c>
      <c r="B10" s="113" t="s">
        <v>341</v>
      </c>
      <c r="C10" s="122">
        <f>D10*12</f>
        <v>840000</v>
      </c>
      <c r="D10" s="124">
        <v>70000</v>
      </c>
      <c r="G10" s="80" t="s">
        <v>109</v>
      </c>
      <c r="H10" s="121">
        <v>11.95</v>
      </c>
      <c r="I10" s="77">
        <v>2</v>
      </c>
      <c r="J10" s="77">
        <f t="shared" si="1"/>
        <v>1.8594104308390027</v>
      </c>
      <c r="K10" s="171">
        <f t="shared" si="2"/>
        <v>6.426768292682925</v>
      </c>
      <c r="L10" s="83">
        <f>K10/16</f>
        <v>0.40167301829268282</v>
      </c>
      <c r="N10" s="80" t="s">
        <v>90</v>
      </c>
      <c r="O10" s="436">
        <f>102/100</f>
        <v>1.02</v>
      </c>
      <c r="R10" s="80"/>
      <c r="S10" s="441"/>
      <c r="V10" s="80"/>
      <c r="W10" s="77"/>
      <c r="X10" s="77"/>
      <c r="Y10" s="77"/>
      <c r="Z10" s="171"/>
      <c r="AA10"/>
      <c r="AB10"/>
      <c r="AC10"/>
      <c r="AD10">
        <v>10</v>
      </c>
      <c r="AE10" s="330">
        <f t="shared" si="3"/>
        <v>7.7217349291848123</v>
      </c>
      <c r="AF10"/>
    </row>
    <row r="11" spans="1:32" x14ac:dyDescent="0.2">
      <c r="A11" s="101" t="s">
        <v>123</v>
      </c>
      <c r="B11" s="113"/>
      <c r="C11" s="127">
        <f>D11*12</f>
        <v>700640.39999999991</v>
      </c>
      <c r="D11" s="124">
        <v>58386.7</v>
      </c>
      <c r="G11" s="80" t="s">
        <v>98</v>
      </c>
      <c r="H11" s="121">
        <v>1400</v>
      </c>
      <c r="I11" s="77">
        <v>5</v>
      </c>
      <c r="J11" s="77">
        <f t="shared" si="1"/>
        <v>4.3294766706308208</v>
      </c>
      <c r="K11" s="171">
        <f t="shared" si="2"/>
        <v>323.36471737957532</v>
      </c>
      <c r="L11" s="83">
        <f>K11/16</f>
        <v>20.210294836223458</v>
      </c>
      <c r="N11" s="80" t="s">
        <v>25</v>
      </c>
      <c r="O11" s="436">
        <f>148.5/100</f>
        <v>1.4850000000000001</v>
      </c>
      <c r="R11" s="80"/>
      <c r="S11" s="441"/>
      <c r="V11" s="80"/>
      <c r="W11" s="77"/>
      <c r="X11" s="77"/>
      <c r="Y11" s="77"/>
      <c r="Z11" s="171"/>
      <c r="AA11"/>
      <c r="AB11"/>
      <c r="AC11"/>
      <c r="AD11">
        <v>30</v>
      </c>
      <c r="AE11" s="330">
        <f t="shared" si="3"/>
        <v>15.372451026882837</v>
      </c>
      <c r="AF11"/>
    </row>
    <row r="12" spans="1:32" x14ac:dyDescent="0.2">
      <c r="A12" s="101"/>
      <c r="B12" s="113"/>
      <c r="C12" s="110"/>
      <c r="D12" s="102"/>
      <c r="G12" s="80" t="s">
        <v>103</v>
      </c>
      <c r="H12" s="121">
        <v>499</v>
      </c>
      <c r="I12" s="77">
        <v>5</v>
      </c>
      <c r="J12" s="77">
        <f t="shared" si="1"/>
        <v>4.3294766706308208</v>
      </c>
      <c r="K12" s="171">
        <f t="shared" si="2"/>
        <v>115.25642426600577</v>
      </c>
      <c r="L12" s="83">
        <f>K12/16</f>
        <v>7.2035265166253604</v>
      </c>
      <c r="N12" s="80" t="s">
        <v>91</v>
      </c>
      <c r="O12" s="437">
        <v>0.5</v>
      </c>
      <c r="R12" s="80"/>
      <c r="S12" s="441"/>
      <c r="V12" s="80"/>
      <c r="W12" s="77"/>
      <c r="X12" s="77"/>
      <c r="Y12" s="77"/>
      <c r="Z12" s="171"/>
      <c r="AA12"/>
      <c r="AB12"/>
      <c r="AC12"/>
      <c r="AD12"/>
      <c r="AE12"/>
      <c r="AF12"/>
    </row>
    <row r="13" spans="1:32" x14ac:dyDescent="0.2">
      <c r="A13" s="101"/>
      <c r="B13" s="113"/>
      <c r="C13" s="110"/>
      <c r="D13" s="102"/>
      <c r="G13" s="80" t="s">
        <v>99</v>
      </c>
      <c r="H13" s="121">
        <v>1749.95</v>
      </c>
      <c r="I13" s="77">
        <v>10</v>
      </c>
      <c r="J13" s="77">
        <f t="shared" si="1"/>
        <v>7.7217349291848123</v>
      </c>
      <c r="K13" s="171">
        <f t="shared" si="2"/>
        <v>226.62653096080095</v>
      </c>
      <c r="N13" s="80" t="s">
        <v>95</v>
      </c>
      <c r="O13" s="438">
        <f>116</f>
        <v>116</v>
      </c>
      <c r="R13" s="80"/>
      <c r="S13" s="441"/>
      <c r="V13" s="80"/>
      <c r="W13" s="77"/>
      <c r="X13" s="77"/>
      <c r="Y13" s="77"/>
      <c r="Z13" s="171"/>
    </row>
    <row r="14" spans="1:32" x14ac:dyDescent="0.2">
      <c r="A14" s="101"/>
      <c r="B14" s="113"/>
      <c r="C14" s="110"/>
      <c r="D14" s="102"/>
      <c r="G14" s="80" t="s">
        <v>100</v>
      </c>
      <c r="H14" s="121">
        <v>1690</v>
      </c>
      <c r="I14" s="77">
        <v>5</v>
      </c>
      <c r="J14" s="77">
        <f t="shared" si="1"/>
        <v>4.3294766706308208</v>
      </c>
      <c r="K14" s="171">
        <f t="shared" si="2"/>
        <v>390.34740883677307</v>
      </c>
      <c r="N14" s="89" t="s">
        <v>96</v>
      </c>
      <c r="O14" s="439">
        <f>199/200</f>
        <v>0.995</v>
      </c>
      <c r="R14" s="80"/>
      <c r="S14" s="441"/>
      <c r="V14" s="80"/>
      <c r="W14" s="121"/>
      <c r="X14" s="77"/>
      <c r="Y14" s="77"/>
      <c r="Z14" s="171"/>
    </row>
    <row r="15" spans="1:32" x14ac:dyDescent="0.2">
      <c r="A15" s="101"/>
      <c r="B15" s="113"/>
      <c r="C15" s="122"/>
      <c r="D15" s="102"/>
      <c r="G15" s="80" t="s">
        <v>101</v>
      </c>
      <c r="H15" s="121">
        <v>209.95</v>
      </c>
      <c r="I15" s="77">
        <v>5</v>
      </c>
      <c r="J15" s="77">
        <f t="shared" si="1"/>
        <v>4.3294766706308208</v>
      </c>
      <c r="K15" s="171">
        <f t="shared" si="2"/>
        <v>48.493158867029877</v>
      </c>
      <c r="N15" s="90" t="s">
        <v>97</v>
      </c>
      <c r="O15" s="439">
        <f>199/200</f>
        <v>0.995</v>
      </c>
      <c r="R15" s="80"/>
      <c r="S15" s="441"/>
      <c r="V15" s="80"/>
      <c r="W15" s="121"/>
      <c r="X15" s="77"/>
      <c r="Y15" s="77"/>
      <c r="Z15" s="171"/>
    </row>
    <row r="16" spans="1:32" x14ac:dyDescent="0.2">
      <c r="A16" s="101"/>
      <c r="B16" s="113"/>
      <c r="C16" s="110"/>
      <c r="D16" s="102"/>
      <c r="G16" s="80" t="s">
        <v>102</v>
      </c>
      <c r="H16" s="121">
        <v>119</v>
      </c>
      <c r="I16" s="77">
        <v>5</v>
      </c>
      <c r="J16" s="77">
        <f t="shared" si="1"/>
        <v>4.3294766706308208</v>
      </c>
      <c r="K16" s="171">
        <f t="shared" si="2"/>
        <v>27.486000977263902</v>
      </c>
      <c r="N16" s="90" t="s">
        <v>107</v>
      </c>
      <c r="O16" s="439">
        <v>69.95</v>
      </c>
      <c r="R16" s="80"/>
      <c r="S16" s="441"/>
      <c r="V16" s="80"/>
      <c r="W16" s="77"/>
      <c r="X16" s="77"/>
      <c r="Y16" s="77"/>
      <c r="Z16" s="171"/>
    </row>
    <row r="17" spans="1:26" x14ac:dyDescent="0.2">
      <c r="A17" s="101"/>
      <c r="B17" s="113"/>
      <c r="C17" s="110"/>
      <c r="D17" s="102"/>
      <c r="G17" s="80" t="s">
        <v>30</v>
      </c>
      <c r="H17" s="121">
        <v>7200</v>
      </c>
      <c r="I17" s="76">
        <v>10</v>
      </c>
      <c r="J17" s="77">
        <f t="shared" si="1"/>
        <v>7.7217349291848123</v>
      </c>
      <c r="K17" s="171">
        <f t="shared" si="2"/>
        <v>932.43293975128825</v>
      </c>
      <c r="N17" s="90" t="s">
        <v>112</v>
      </c>
      <c r="O17" s="439">
        <v>3</v>
      </c>
      <c r="R17" s="80"/>
      <c r="S17" s="441"/>
      <c r="V17" s="80"/>
      <c r="W17" s="121"/>
      <c r="X17" s="76"/>
      <c r="Y17" s="78"/>
      <c r="Z17" s="171"/>
    </row>
    <row r="18" spans="1:26" x14ac:dyDescent="0.2">
      <c r="A18" s="101"/>
      <c r="B18" s="113"/>
      <c r="C18" s="110"/>
      <c r="D18" s="102"/>
      <c r="G18" s="80" t="s">
        <v>80</v>
      </c>
      <c r="H18" s="121">
        <v>99.6</v>
      </c>
      <c r="I18" s="76">
        <v>5</v>
      </c>
      <c r="J18" s="77">
        <f t="shared" si="1"/>
        <v>4.3294766706308208</v>
      </c>
      <c r="K18" s="171">
        <f t="shared" si="2"/>
        <v>23.005089893575498</v>
      </c>
      <c r="N18" s="90" t="s">
        <v>108</v>
      </c>
      <c r="O18" s="439">
        <v>2.38</v>
      </c>
      <c r="R18" s="80"/>
      <c r="S18" s="441"/>
      <c r="V18" s="80"/>
      <c r="W18" s="77"/>
      <c r="X18" s="76"/>
      <c r="Y18" s="77"/>
      <c r="Z18" s="171"/>
    </row>
    <row r="19" spans="1:26" x14ac:dyDescent="0.2">
      <c r="A19" s="101"/>
      <c r="B19" s="113"/>
      <c r="C19" s="110"/>
      <c r="D19" s="102"/>
      <c r="G19" s="80" t="s">
        <v>81</v>
      </c>
      <c r="H19" s="121">
        <v>324</v>
      </c>
      <c r="I19" s="76">
        <v>10</v>
      </c>
      <c r="J19" s="77">
        <f t="shared" si="1"/>
        <v>7.7217349291848123</v>
      </c>
      <c r="K19" s="171">
        <f t="shared" si="2"/>
        <v>41.959482288807969</v>
      </c>
      <c r="N19" s="90" t="s">
        <v>26</v>
      </c>
      <c r="O19" s="439">
        <v>110</v>
      </c>
      <c r="R19" s="80"/>
      <c r="S19" s="441"/>
      <c r="V19" s="80"/>
      <c r="W19" s="77"/>
      <c r="X19" s="76"/>
      <c r="Y19" s="78"/>
      <c r="Z19" s="171"/>
    </row>
    <row r="20" spans="1:26" x14ac:dyDescent="0.2">
      <c r="A20" s="101"/>
      <c r="B20" s="113"/>
      <c r="C20" s="110"/>
      <c r="D20" s="102"/>
      <c r="G20" s="80" t="s">
        <v>82</v>
      </c>
      <c r="H20" s="121">
        <v>999</v>
      </c>
      <c r="I20" s="76">
        <v>5</v>
      </c>
      <c r="J20" s="77">
        <f t="shared" si="1"/>
        <v>4.3294766706308208</v>
      </c>
      <c r="K20" s="171">
        <f t="shared" si="2"/>
        <v>230.7438233301398</v>
      </c>
      <c r="N20" s="90" t="s">
        <v>118</v>
      </c>
      <c r="O20" s="438">
        <f>4254.49/72</f>
        <v>59.090138888888887</v>
      </c>
      <c r="R20" s="80"/>
      <c r="S20" s="441"/>
      <c r="V20" s="80"/>
      <c r="W20" s="77"/>
      <c r="X20" s="76"/>
      <c r="Y20" s="77"/>
      <c r="Z20" s="171"/>
    </row>
    <row r="21" spans="1:26" x14ac:dyDescent="0.2">
      <c r="A21" s="101"/>
      <c r="B21" s="113"/>
      <c r="C21" s="110"/>
      <c r="D21" s="102"/>
      <c r="G21" s="80" t="s">
        <v>83</v>
      </c>
      <c r="H21" s="121">
        <f>18600*13.99</f>
        <v>260214</v>
      </c>
      <c r="I21" s="76">
        <v>10</v>
      </c>
      <c r="J21" s="77">
        <f t="shared" si="1"/>
        <v>7.7217349291848123</v>
      </c>
      <c r="K21" s="171">
        <f t="shared" si="2"/>
        <v>33698.903470061348</v>
      </c>
      <c r="N21" s="80" t="s">
        <v>92</v>
      </c>
      <c r="O21" s="436">
        <v>0</v>
      </c>
      <c r="R21" s="80"/>
      <c r="S21" s="441"/>
      <c r="V21" s="80"/>
      <c r="W21" s="77"/>
      <c r="X21" s="76"/>
      <c r="Y21" s="78"/>
      <c r="Z21" s="171"/>
    </row>
    <row r="22" spans="1:26" x14ac:dyDescent="0.2">
      <c r="A22" s="101"/>
      <c r="B22" s="113"/>
      <c r="C22" s="110"/>
      <c r="D22" s="102"/>
      <c r="G22" s="80" t="s">
        <v>215</v>
      </c>
      <c r="H22" s="121">
        <v>16000</v>
      </c>
      <c r="I22" s="77">
        <v>5</v>
      </c>
      <c r="J22" s="77">
        <f t="shared" si="1"/>
        <v>4.3294766706308208</v>
      </c>
      <c r="K22" s="171">
        <f t="shared" si="2"/>
        <v>3695.5967700522892</v>
      </c>
      <c r="N22" s="80"/>
      <c r="O22" s="436"/>
      <c r="R22" s="80"/>
      <c r="S22" s="441"/>
      <c r="V22" s="80"/>
      <c r="W22" s="121"/>
      <c r="X22" s="77"/>
      <c r="Y22" s="79"/>
      <c r="Z22" s="171"/>
    </row>
    <row r="23" spans="1:26" x14ac:dyDescent="0.2">
      <c r="A23" s="101"/>
      <c r="B23" s="113"/>
      <c r="C23" s="110"/>
      <c r="D23" s="102"/>
      <c r="G23" s="80" t="s">
        <v>216</v>
      </c>
      <c r="H23" s="121">
        <v>5000</v>
      </c>
      <c r="I23" s="77">
        <v>5</v>
      </c>
      <c r="J23" s="77">
        <f t="shared" si="1"/>
        <v>4.3294766706308208</v>
      </c>
      <c r="K23" s="171">
        <f t="shared" si="2"/>
        <v>1154.8739906413405</v>
      </c>
      <c r="N23" s="80"/>
      <c r="O23" s="436"/>
      <c r="R23" s="80"/>
      <c r="S23" s="441"/>
      <c r="V23" s="80"/>
      <c r="W23" s="121"/>
      <c r="X23" s="77"/>
      <c r="Y23" s="79"/>
      <c r="Z23" s="171"/>
    </row>
    <row r="24" spans="1:26" x14ac:dyDescent="0.2">
      <c r="A24" s="101"/>
      <c r="B24" s="113"/>
      <c r="C24" s="110"/>
      <c r="D24" s="102"/>
      <c r="G24" s="80" t="s">
        <v>165</v>
      </c>
      <c r="H24" s="447">
        <v>8410</v>
      </c>
      <c r="I24" s="77">
        <v>2</v>
      </c>
      <c r="J24" s="77">
        <f t="shared" si="1"/>
        <v>1.8594104308390027</v>
      </c>
      <c r="K24" s="171">
        <f t="shared" si="2"/>
        <v>4522.9390243902426</v>
      </c>
      <c r="N24" s="80"/>
      <c r="O24" s="440"/>
      <c r="R24" s="80"/>
      <c r="S24" s="441"/>
      <c r="V24" s="80"/>
      <c r="W24" s="77"/>
      <c r="X24" s="77"/>
      <c r="Y24" s="77"/>
      <c r="Z24" s="171"/>
    </row>
    <row r="25" spans="1:26" x14ac:dyDescent="0.2">
      <c r="A25" s="101"/>
      <c r="B25" s="113"/>
      <c r="C25" s="110"/>
      <c r="D25" s="102"/>
      <c r="G25" s="94" t="s">
        <v>166</v>
      </c>
      <c r="H25" s="447">
        <v>441</v>
      </c>
      <c r="I25" s="95">
        <v>1</v>
      </c>
      <c r="J25" s="95">
        <v>1</v>
      </c>
      <c r="K25" s="171">
        <f t="shared" si="2"/>
        <v>441</v>
      </c>
      <c r="N25" s="80"/>
      <c r="O25" s="441"/>
      <c r="R25" s="80"/>
      <c r="S25" s="441"/>
      <c r="V25" s="94"/>
      <c r="W25" s="77"/>
      <c r="X25" s="95"/>
      <c r="Y25" s="95"/>
      <c r="Z25" s="171"/>
    </row>
    <row r="26" spans="1:26" ht="16" thickBot="1" x14ac:dyDescent="0.25">
      <c r="A26" s="103"/>
      <c r="B26" s="114"/>
      <c r="C26" s="111"/>
      <c r="D26" s="104"/>
      <c r="G26" s="81" t="s">
        <v>187</v>
      </c>
      <c r="H26" s="448">
        <v>289312</v>
      </c>
      <c r="I26" s="82">
        <v>10</v>
      </c>
      <c r="J26" s="82">
        <f>VLOOKUP(I26,$AD$6:$AE$11,2)</f>
        <v>7.7217349291848123</v>
      </c>
      <c r="K26" s="192">
        <f t="shared" si="2"/>
        <v>37467.227592406205</v>
      </c>
      <c r="N26" s="88"/>
      <c r="O26" s="442"/>
      <c r="R26" s="81"/>
      <c r="S26" s="446"/>
      <c r="V26" s="81"/>
      <c r="W26" s="82"/>
      <c r="X26" s="82"/>
      <c r="Y26" s="82"/>
      <c r="Z26" s="192"/>
    </row>
    <row r="27" spans="1:26" x14ac:dyDescent="0.2">
      <c r="O27" s="443"/>
    </row>
    <row r="28" spans="1:26" x14ac:dyDescent="0.2">
      <c r="O28" s="443"/>
    </row>
    <row r="29" spans="1:26" x14ac:dyDescent="0.2">
      <c r="O29" s="443"/>
    </row>
    <row r="30" spans="1:26" x14ac:dyDescent="0.2">
      <c r="C30" s="126" t="s">
        <v>140</v>
      </c>
      <c r="H30" s="128"/>
      <c r="O30" s="444"/>
    </row>
    <row r="31" spans="1:26" x14ac:dyDescent="0.2">
      <c r="H31" s="128"/>
      <c r="O31" s="443"/>
    </row>
    <row r="32" spans="1:26" x14ac:dyDescent="0.2">
      <c r="B32" s="128"/>
      <c r="H32" s="128"/>
      <c r="O32" s="443"/>
    </row>
    <row r="33" spans="8:9" x14ac:dyDescent="0.2">
      <c r="H33" s="128"/>
    </row>
    <row r="34" spans="8:9" x14ac:dyDescent="0.2">
      <c r="H34" s="128"/>
    </row>
    <row r="35" spans="8:9" x14ac:dyDescent="0.2">
      <c r="H35" s="128"/>
    </row>
    <row r="36" spans="8:9" x14ac:dyDescent="0.2">
      <c r="H36" s="128"/>
    </row>
    <row r="37" spans="8:9" x14ac:dyDescent="0.2">
      <c r="H37" s="128"/>
    </row>
    <row r="38" spans="8:9" x14ac:dyDescent="0.2">
      <c r="H38" s="128"/>
      <c r="I38" s="329"/>
    </row>
    <row r="39" spans="8:9" x14ac:dyDescent="0.2">
      <c r="H39" s="128"/>
    </row>
    <row r="40" spans="8:9" x14ac:dyDescent="0.2">
      <c r="H40" s="128"/>
    </row>
    <row r="41" spans="8:9" x14ac:dyDescent="0.2">
      <c r="H41" s="128"/>
    </row>
    <row r="42" spans="8:9" x14ac:dyDescent="0.2">
      <c r="H42" s="128"/>
    </row>
    <row r="43" spans="8:9" x14ac:dyDescent="0.2">
      <c r="H43" s="128"/>
    </row>
    <row r="44" spans="8:9" x14ac:dyDescent="0.2">
      <c r="H44" s="128"/>
    </row>
    <row r="45" spans="8:9" x14ac:dyDescent="0.2">
      <c r="H45" s="128"/>
    </row>
    <row r="46" spans="8:9" x14ac:dyDescent="0.2">
      <c r="H46" s="128"/>
    </row>
    <row r="47" spans="8:9" x14ac:dyDescent="0.2">
      <c r="H47" s="128"/>
    </row>
    <row r="48" spans="8:9" x14ac:dyDescent="0.2">
      <c r="H48" s="128"/>
    </row>
    <row r="49" spans="8:8" x14ac:dyDescent="0.2">
      <c r="H49" s="128"/>
    </row>
    <row r="50" spans="8:8" x14ac:dyDescent="0.2">
      <c r="H50" s="128"/>
    </row>
    <row r="51" spans="8:8" x14ac:dyDescent="0.2">
      <c r="H51" s="128"/>
    </row>
    <row r="52" spans="8:8" x14ac:dyDescent="0.2">
      <c r="H52" s="128"/>
    </row>
    <row r="53" spans="8:8" x14ac:dyDescent="0.2">
      <c r="H53" s="128"/>
    </row>
    <row r="54" spans="8:8" x14ac:dyDescent="0.2">
      <c r="H54" s="128"/>
    </row>
  </sheetData>
  <mergeCells count="5">
    <mergeCell ref="G1:K1"/>
    <mergeCell ref="R1:S1"/>
    <mergeCell ref="A1:D1"/>
    <mergeCell ref="AD3:AE3"/>
    <mergeCell ref="V1:Z1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Costing Overall</vt:lpstr>
      <vt:lpstr>Summary Tables</vt:lpstr>
      <vt:lpstr>Price 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Mukora</dc:creator>
  <cp:lastModifiedBy>Ryan Thompson</cp:lastModifiedBy>
  <dcterms:created xsi:type="dcterms:W3CDTF">2018-09-21T09:20:31Z</dcterms:created>
  <dcterms:modified xsi:type="dcterms:W3CDTF">2022-12-13T20:49:00Z</dcterms:modified>
</cp:coreProperties>
</file>