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yanthompson/Downloads/"/>
    </mc:Choice>
  </mc:AlternateContent>
  <bookViews>
    <workbookView xWindow="1040" yWindow="1060" windowWidth="27760" windowHeight="16940"/>
  </bookViews>
  <sheets>
    <sheet name="Sheet1" sheetId="1" r:id="rId1"/>
    <sheet name="Maintenance" sheetId="7" r:id="rId2"/>
    <sheet name="Sensitivity Analysis" sheetId="2" r:id="rId3"/>
    <sheet name="Sheet2" sheetId="3" r:id="rId4"/>
    <sheet name="Service Volume" sheetId="4" r:id="rId5"/>
  </sheets>
  <externalReferences>
    <externalReference r:id="rId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7" l="1"/>
  <c r="D39" i="7"/>
  <c r="J41" i="7"/>
  <c r="J40" i="7"/>
  <c r="J39" i="7"/>
  <c r="J37" i="7"/>
  <c r="J38" i="7"/>
  <c r="D38" i="7"/>
  <c r="D37" i="7"/>
  <c r="J36" i="7"/>
  <c r="J30" i="7"/>
  <c r="J31" i="7"/>
  <c r="J32" i="7"/>
  <c r="J33" i="7"/>
  <c r="J34" i="7"/>
  <c r="J35" i="7"/>
  <c r="D36" i="7"/>
  <c r="D35" i="7"/>
  <c r="D34" i="7"/>
  <c r="D33" i="7"/>
  <c r="D32" i="7"/>
  <c r="D31" i="7"/>
  <c r="D30" i="7"/>
  <c r="D15" i="7"/>
  <c r="E15" i="7"/>
  <c r="F15" i="7"/>
  <c r="G15" i="7"/>
  <c r="H12" i="7"/>
  <c r="H13" i="7"/>
  <c r="H15" i="7"/>
  <c r="I12" i="7"/>
  <c r="I13" i="7"/>
  <c r="I15" i="7"/>
  <c r="J12" i="7"/>
  <c r="J13" i="7"/>
  <c r="J15" i="7"/>
  <c r="K12" i="7"/>
  <c r="K13" i="7"/>
  <c r="K15" i="7"/>
  <c r="L12" i="7"/>
  <c r="L13" i="7"/>
  <c r="L15" i="7"/>
  <c r="M12" i="7"/>
  <c r="M13" i="7"/>
  <c r="M15" i="7"/>
  <c r="AB47" i="1"/>
  <c r="Z47" i="1"/>
  <c r="G53" i="1"/>
  <c r="H53" i="1"/>
  <c r="G54" i="1"/>
  <c r="H54" i="1"/>
  <c r="G55" i="1"/>
  <c r="H55" i="1"/>
  <c r="G56" i="1"/>
  <c r="H56" i="1"/>
  <c r="G57" i="1"/>
  <c r="H57" i="1"/>
  <c r="G58" i="1"/>
  <c r="H58" i="1"/>
  <c r="G62" i="1"/>
  <c r="H62" i="1"/>
  <c r="G64" i="1"/>
  <c r="H64" i="1"/>
  <c r="H1" i="1"/>
  <c r="G3" i="1"/>
  <c r="H3" i="1"/>
  <c r="G4" i="1"/>
  <c r="H4" i="1"/>
  <c r="G5" i="1"/>
  <c r="H5" i="1"/>
  <c r="E6" i="1"/>
  <c r="G6" i="1"/>
  <c r="H6" i="1"/>
  <c r="E7" i="1"/>
  <c r="G7" i="1"/>
  <c r="H7" i="1"/>
  <c r="E8" i="1"/>
  <c r="G8" i="1"/>
  <c r="H8" i="1"/>
  <c r="E9" i="1"/>
  <c r="F9" i="1"/>
  <c r="G9" i="1"/>
  <c r="H9" i="1"/>
  <c r="E10" i="1"/>
  <c r="G10" i="1"/>
  <c r="H10" i="1"/>
  <c r="H11" i="1"/>
  <c r="E12" i="1"/>
  <c r="F12" i="1"/>
  <c r="G12" i="1"/>
  <c r="H12" i="1"/>
  <c r="E13" i="1"/>
  <c r="G13" i="1"/>
  <c r="H13" i="1"/>
  <c r="G14" i="1"/>
  <c r="H14" i="1"/>
  <c r="G15" i="1"/>
  <c r="H15" i="1"/>
  <c r="G16" i="1"/>
  <c r="H16" i="1"/>
  <c r="H17" i="1"/>
  <c r="H18" i="1"/>
  <c r="H19" i="1"/>
  <c r="H20" i="1"/>
  <c r="E21" i="1"/>
  <c r="G21" i="1"/>
  <c r="H21" i="1"/>
  <c r="G22" i="1"/>
  <c r="H22" i="1"/>
  <c r="G23" i="1"/>
  <c r="H23" i="1"/>
  <c r="G24" i="1"/>
  <c r="H24" i="1"/>
  <c r="G25" i="1"/>
  <c r="H25" i="1"/>
  <c r="E26" i="1"/>
  <c r="G26" i="1"/>
  <c r="H26" i="1"/>
  <c r="E27" i="1"/>
  <c r="G27" i="1"/>
  <c r="H27" i="1"/>
  <c r="E28" i="1"/>
  <c r="G28" i="1"/>
  <c r="H28" i="1"/>
  <c r="E29" i="1"/>
  <c r="G29" i="1"/>
  <c r="H29" i="1"/>
  <c r="F30" i="1"/>
  <c r="E30" i="1"/>
  <c r="G30" i="1"/>
  <c r="H30" i="1"/>
  <c r="F31" i="1"/>
  <c r="E31" i="1"/>
  <c r="G31" i="1"/>
  <c r="H31" i="1"/>
  <c r="F32" i="1"/>
  <c r="E32" i="1"/>
  <c r="G32" i="1"/>
  <c r="H32" i="1"/>
  <c r="F33" i="1"/>
  <c r="E33" i="1"/>
  <c r="G33" i="1"/>
  <c r="H33" i="1"/>
  <c r="F34" i="1"/>
  <c r="E34" i="1"/>
  <c r="G34" i="1"/>
  <c r="H34" i="1"/>
  <c r="E35" i="1"/>
  <c r="G35" i="1"/>
  <c r="H35" i="1"/>
  <c r="E36" i="1"/>
  <c r="G36" i="1"/>
  <c r="H36" i="1"/>
  <c r="E37" i="1"/>
  <c r="G37" i="1"/>
  <c r="H37" i="1"/>
  <c r="E38" i="1"/>
  <c r="G38" i="1"/>
  <c r="H38" i="1"/>
  <c r="F39" i="1"/>
  <c r="E39" i="1"/>
  <c r="G39" i="1"/>
  <c r="H39" i="1"/>
  <c r="F40" i="1"/>
  <c r="E40" i="1"/>
  <c r="G40" i="1"/>
  <c r="H40" i="1"/>
  <c r="F41" i="1"/>
  <c r="E41" i="1"/>
  <c r="G41" i="1"/>
  <c r="H41" i="1"/>
  <c r="F42" i="1"/>
  <c r="E42" i="1"/>
  <c r="G42" i="1"/>
  <c r="H42" i="1"/>
  <c r="F43" i="1"/>
  <c r="E43" i="1"/>
  <c r="G43" i="1"/>
  <c r="H43" i="1"/>
  <c r="D44" i="1"/>
  <c r="E44" i="1"/>
  <c r="G44" i="1"/>
  <c r="H44" i="1"/>
  <c r="G45" i="1"/>
  <c r="H45" i="1"/>
  <c r="G46" i="1"/>
  <c r="H46" i="1"/>
  <c r="E47" i="1"/>
  <c r="G47" i="1"/>
  <c r="H47" i="1"/>
  <c r="G48" i="1"/>
  <c r="H48" i="1"/>
  <c r="G49" i="1"/>
  <c r="H49" i="1"/>
  <c r="G50" i="1"/>
  <c r="H50" i="1"/>
  <c r="G51" i="1"/>
  <c r="H51" i="1"/>
  <c r="G52" i="1"/>
  <c r="H52" i="1"/>
  <c r="E59" i="1"/>
  <c r="G59" i="1"/>
  <c r="H59" i="1"/>
  <c r="G60" i="1"/>
  <c r="H60" i="1"/>
  <c r="F61" i="1"/>
  <c r="G61" i="1"/>
  <c r="H61" i="1"/>
  <c r="G63" i="1"/>
  <c r="H63" i="1"/>
  <c r="H66" i="1"/>
  <c r="Y48" i="1"/>
  <c r="A11" i="7"/>
  <c r="A12" i="7"/>
  <c r="A15" i="7"/>
  <c r="A18" i="7"/>
  <c r="X18" i="1"/>
  <c r="Y18" i="1"/>
  <c r="Z18" i="1"/>
  <c r="AA18" i="1"/>
  <c r="AB18" i="1"/>
  <c r="Y9" i="1"/>
  <c r="AB48" i="1"/>
  <c r="AB49" i="1"/>
  <c r="Y47" i="1"/>
  <c r="X33" i="1"/>
  <c r="X34" i="1"/>
  <c r="X35" i="1"/>
  <c r="X36" i="1"/>
  <c r="X37" i="1"/>
  <c r="Y33" i="1"/>
  <c r="Y34" i="1"/>
  <c r="Y35" i="1"/>
  <c r="Y36" i="1"/>
  <c r="Y37" i="1"/>
  <c r="Y39" i="1"/>
  <c r="G10" i="7"/>
  <c r="F10" i="7"/>
  <c r="E10" i="7"/>
  <c r="D10" i="7"/>
  <c r="G16" i="7"/>
  <c r="G17" i="7"/>
  <c r="F16" i="7"/>
  <c r="F17" i="7"/>
  <c r="E16" i="7"/>
  <c r="E17" i="7"/>
  <c r="D16" i="7"/>
  <c r="D17" i="7"/>
  <c r="H10" i="7"/>
  <c r="I10" i="7"/>
  <c r="J10" i="7"/>
  <c r="K10" i="7"/>
  <c r="L10" i="7"/>
  <c r="M10" i="7"/>
  <c r="Z49" i="1"/>
  <c r="Z51" i="1"/>
  <c r="H16" i="7"/>
  <c r="I16" i="7"/>
  <c r="J16" i="7"/>
  <c r="K16" i="7"/>
  <c r="L16" i="7"/>
  <c r="M16" i="7"/>
  <c r="D20" i="7"/>
  <c r="W10" i="7"/>
  <c r="V10" i="7"/>
  <c r="U10" i="7"/>
  <c r="T10" i="7"/>
  <c r="S10" i="7"/>
  <c r="R10" i="7"/>
  <c r="Q10" i="7"/>
  <c r="P10" i="7"/>
  <c r="O10" i="7"/>
  <c r="N10" i="7"/>
  <c r="W12" i="7"/>
  <c r="V12" i="7"/>
  <c r="R13" i="7"/>
  <c r="O12" i="7"/>
  <c r="W15" i="7"/>
  <c r="V15" i="7"/>
  <c r="P15" i="7"/>
  <c r="Q15" i="7"/>
  <c r="R15" i="7"/>
  <c r="S15" i="7"/>
  <c r="T15" i="7"/>
  <c r="U15" i="7"/>
  <c r="O15" i="7"/>
  <c r="N15" i="7"/>
  <c r="AJ15" i="1"/>
  <c r="AJ16" i="1"/>
  <c r="AJ17" i="1"/>
  <c r="AJ18" i="1"/>
  <c r="AJ19" i="1"/>
  <c r="AJ20" i="1"/>
  <c r="AI15" i="1"/>
  <c r="AI16" i="1"/>
  <c r="AI17" i="1"/>
  <c r="AI18" i="1"/>
  <c r="AI19" i="1"/>
  <c r="AI20" i="1"/>
  <c r="AK15" i="1"/>
  <c r="AK16" i="1"/>
  <c r="AK17" i="1"/>
  <c r="AK18" i="1"/>
  <c r="AK19" i="1"/>
  <c r="AK20" i="1"/>
  <c r="AH15" i="1"/>
  <c r="AH16" i="1"/>
  <c r="AH17" i="1"/>
  <c r="AH18" i="1"/>
  <c r="AH19" i="1"/>
  <c r="AH20" i="1"/>
  <c r="AL15" i="1"/>
  <c r="AL16" i="1"/>
  <c r="AL17" i="1"/>
  <c r="AL18" i="1"/>
  <c r="AL19" i="1"/>
  <c r="AL20" i="1"/>
  <c r="G87" i="1"/>
  <c r="H87" i="1"/>
  <c r="I87" i="1"/>
  <c r="I89" i="1"/>
  <c r="X20" i="1"/>
  <c r="Y20" i="1"/>
  <c r="Z20" i="1"/>
  <c r="AA20" i="1"/>
  <c r="AB20" i="1"/>
  <c r="H68" i="1"/>
  <c r="AH54" i="1"/>
  <c r="AJ54" i="1"/>
  <c r="AL54" i="1"/>
  <c r="N3" i="2"/>
  <c r="N4" i="2"/>
  <c r="N5" i="2"/>
  <c r="F6" i="2"/>
  <c r="Y63" i="1"/>
  <c r="Y62" i="1"/>
  <c r="Y61" i="1"/>
  <c r="X61" i="1"/>
  <c r="X63" i="1"/>
  <c r="X62" i="1"/>
  <c r="X60" i="1"/>
  <c r="Z60" i="1"/>
  <c r="Z63" i="1"/>
  <c r="Z62" i="1"/>
  <c r="Z61" i="1"/>
  <c r="V60" i="1"/>
  <c r="V61" i="1"/>
  <c r="V62" i="1"/>
  <c r="V63" i="1"/>
  <c r="V70" i="1"/>
  <c r="V69" i="1"/>
  <c r="V68" i="1"/>
  <c r="V67" i="1"/>
  <c r="V66" i="1"/>
  <c r="V65" i="1"/>
  <c r="V64" i="1"/>
  <c r="V59" i="1"/>
  <c r="V58" i="1"/>
  <c r="Z70" i="1"/>
  <c r="Z69" i="1"/>
  <c r="Y70" i="1"/>
  <c r="Y69" i="1"/>
  <c r="X70" i="1"/>
  <c r="X69" i="1"/>
  <c r="Z68" i="1"/>
  <c r="Y68" i="1"/>
  <c r="X68" i="1"/>
  <c r="Z67" i="1"/>
  <c r="Y67" i="1"/>
  <c r="Z66" i="1"/>
  <c r="Y66" i="1"/>
  <c r="X66" i="1"/>
  <c r="Z65" i="1"/>
  <c r="Y65" i="1"/>
  <c r="X65" i="1"/>
  <c r="X64" i="1"/>
  <c r="Z64" i="1"/>
  <c r="Y59" i="1"/>
  <c r="X59" i="1"/>
  <c r="Z58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D161" i="1"/>
  <c r="F76" i="1"/>
  <c r="C118" i="1"/>
  <c r="C119" i="1"/>
  <c r="C120" i="1"/>
  <c r="C121" i="1"/>
  <c r="C122" i="1"/>
  <c r="D122" i="1"/>
  <c r="F75" i="1"/>
  <c r="C109" i="1"/>
  <c r="C110" i="1"/>
  <c r="C111" i="1"/>
  <c r="C112" i="1"/>
  <c r="C113" i="1"/>
  <c r="C114" i="1"/>
  <c r="C115" i="1"/>
  <c r="C116" i="1"/>
  <c r="C117" i="1"/>
  <c r="D117" i="1"/>
  <c r="F74" i="1"/>
  <c r="C100" i="1"/>
  <c r="C101" i="1"/>
  <c r="C102" i="1"/>
  <c r="C103" i="1"/>
  <c r="C104" i="1"/>
  <c r="C105" i="1"/>
  <c r="C106" i="1"/>
  <c r="C107" i="1"/>
  <c r="C108" i="1"/>
  <c r="D108" i="1"/>
  <c r="F73" i="1"/>
  <c r="C162" i="1"/>
  <c r="F77" i="1"/>
  <c r="H67" i="1"/>
  <c r="H69" i="1"/>
  <c r="H70" i="1"/>
  <c r="E70" i="1"/>
  <c r="Y49" i="1"/>
  <c r="Y50" i="1"/>
  <c r="Y51" i="1"/>
  <c r="X47" i="1"/>
  <c r="X48" i="1"/>
  <c r="X49" i="1"/>
  <c r="X50" i="1"/>
  <c r="X51" i="1"/>
  <c r="AN34" i="1"/>
  <c r="AJ28" i="1"/>
  <c r="AJ31" i="1"/>
  <c r="AI39" i="1"/>
  <c r="AJ39" i="1"/>
  <c r="AK39" i="1"/>
  <c r="AL39" i="1"/>
  <c r="AM39" i="1"/>
  <c r="AM37" i="1"/>
  <c r="AK28" i="1"/>
  <c r="AJ26" i="1"/>
  <c r="AK26" i="1"/>
  <c r="AJ25" i="1"/>
  <c r="AK25" i="1"/>
  <c r="I68" i="1"/>
  <c r="I69" i="1"/>
  <c r="I70" i="1"/>
  <c r="AW21" i="1"/>
  <c r="AW20" i="1"/>
  <c r="AA19" i="1"/>
  <c r="AW19" i="1"/>
  <c r="AW17" i="1"/>
  <c r="AW18" i="1"/>
  <c r="AW16" i="1"/>
  <c r="AV19" i="1"/>
  <c r="AV18" i="1"/>
  <c r="AV17" i="1"/>
  <c r="AV16" i="1"/>
  <c r="G20" i="1"/>
  <c r="AU21" i="1"/>
  <c r="AU19" i="1"/>
  <c r="AU16" i="1"/>
  <c r="AU17" i="1"/>
  <c r="AA17" i="1"/>
  <c r="AT18" i="1"/>
  <c r="AT17" i="1"/>
  <c r="AT16" i="1"/>
  <c r="AX16" i="1"/>
  <c r="AX17" i="1"/>
  <c r="AX18" i="1"/>
  <c r="AX19" i="1"/>
  <c r="AX20" i="1"/>
  <c r="AX21" i="1"/>
  <c r="AX22" i="1"/>
  <c r="AW22" i="1"/>
  <c r="AV22" i="1"/>
  <c r="AU22" i="1"/>
  <c r="AT22" i="1"/>
  <c r="X19" i="1"/>
  <c r="Y19" i="1"/>
  <c r="Z19" i="1"/>
  <c r="AB19" i="1"/>
  <c r="X17" i="1"/>
  <c r="Y17" i="1"/>
  <c r="Z17" i="1"/>
  <c r="AB17" i="1"/>
  <c r="X15" i="1"/>
  <c r="Y15" i="1"/>
  <c r="Z15" i="1"/>
  <c r="AA15" i="1"/>
  <c r="AB15" i="1"/>
  <c r="X16" i="1"/>
  <c r="Y16" i="1"/>
  <c r="Z16" i="1"/>
  <c r="AA16" i="1"/>
  <c r="AB16" i="1"/>
  <c r="AB21" i="1"/>
  <c r="AA21" i="1"/>
  <c r="Z21" i="1"/>
  <c r="Y21" i="1"/>
  <c r="X21" i="1"/>
  <c r="C47" i="2"/>
  <c r="B23" i="2"/>
  <c r="D23" i="2"/>
  <c r="B29" i="2"/>
  <c r="D29" i="2"/>
  <c r="B35" i="2"/>
  <c r="D35" i="2"/>
  <c r="B19" i="2"/>
  <c r="D19" i="2"/>
  <c r="B20" i="2"/>
  <c r="I66" i="1"/>
  <c r="I67" i="1"/>
  <c r="D20" i="2"/>
  <c r="B21" i="2"/>
  <c r="D21" i="2"/>
  <c r="B22" i="2"/>
  <c r="D22" i="2"/>
  <c r="D24" i="2"/>
  <c r="B25" i="2"/>
  <c r="D25" i="2"/>
  <c r="B26" i="2"/>
  <c r="D26" i="2"/>
  <c r="B27" i="2"/>
  <c r="D27" i="2"/>
  <c r="B28" i="2"/>
  <c r="D28" i="2"/>
  <c r="D30" i="2"/>
  <c r="B31" i="2"/>
  <c r="D31" i="2"/>
  <c r="B32" i="2"/>
  <c r="D32" i="2"/>
  <c r="B33" i="2"/>
  <c r="D33" i="2"/>
  <c r="B34" i="2"/>
  <c r="D34" i="2"/>
  <c r="D36" i="2"/>
  <c r="B37" i="2"/>
  <c r="D37" i="2"/>
  <c r="B38" i="2"/>
  <c r="D38" i="2"/>
  <c r="B39" i="2"/>
  <c r="D39" i="2"/>
  <c r="B40" i="2"/>
  <c r="D40" i="2"/>
  <c r="B41" i="2"/>
  <c r="D41" i="2"/>
  <c r="D42" i="2"/>
  <c r="D47" i="2"/>
  <c r="D57" i="2"/>
  <c r="C2" i="2"/>
  <c r="C3" i="2"/>
  <c r="C4" i="2"/>
  <c r="C5" i="2"/>
  <c r="C6" i="2"/>
  <c r="J5" i="2"/>
  <c r="F2" i="2"/>
  <c r="F3" i="2"/>
  <c r="F4" i="2"/>
  <c r="F5" i="2"/>
  <c r="E57" i="2"/>
  <c r="F57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E47" i="2"/>
  <c r="F47" i="2"/>
  <c r="F48" i="2"/>
  <c r="E21" i="2"/>
  <c r="F21" i="2"/>
  <c r="E27" i="2"/>
  <c r="F27" i="2"/>
  <c r="E33" i="2"/>
  <c r="F33" i="2"/>
  <c r="E39" i="2"/>
  <c r="F39" i="2"/>
  <c r="D53" i="2"/>
  <c r="D54" i="2"/>
  <c r="D55" i="2"/>
  <c r="D56" i="2"/>
  <c r="D58" i="2"/>
  <c r="F53" i="2"/>
  <c r="F54" i="2"/>
  <c r="F55" i="2"/>
  <c r="F56" i="2"/>
  <c r="F58" i="2"/>
  <c r="H58" i="2"/>
  <c r="H57" i="2"/>
  <c r="H56" i="2"/>
  <c r="H55" i="2"/>
  <c r="H54" i="2"/>
  <c r="H53" i="2"/>
  <c r="H48" i="2"/>
  <c r="H47" i="2"/>
  <c r="H46" i="2"/>
  <c r="H45" i="2"/>
  <c r="H44" i="2"/>
  <c r="H43" i="2"/>
  <c r="E37" i="2"/>
  <c r="F37" i="2"/>
  <c r="E38" i="2"/>
  <c r="F38" i="2"/>
  <c r="E40" i="2"/>
  <c r="F40" i="2"/>
  <c r="E41" i="2"/>
  <c r="F41" i="2"/>
  <c r="F42" i="2"/>
  <c r="H42" i="2"/>
  <c r="H41" i="2"/>
  <c r="H40" i="2"/>
  <c r="E19" i="2"/>
  <c r="F19" i="2"/>
  <c r="H19" i="2"/>
  <c r="E20" i="2"/>
  <c r="F20" i="2"/>
  <c r="H20" i="2"/>
  <c r="AC3" i="3"/>
  <c r="AD3" i="3"/>
  <c r="P21" i="2"/>
  <c r="P24" i="2"/>
  <c r="L19" i="2"/>
  <c r="E3" i="3"/>
  <c r="J3" i="2"/>
  <c r="AC10" i="3"/>
  <c r="AD10" i="3"/>
  <c r="AH4" i="3"/>
  <c r="AH26" i="3"/>
  <c r="C13" i="4"/>
  <c r="C14" i="4"/>
  <c r="C15" i="4"/>
  <c r="AG31" i="3"/>
  <c r="AH31" i="3"/>
  <c r="AH23" i="3"/>
  <c r="AH22" i="3"/>
  <c r="AH21" i="3"/>
  <c r="AC4" i="3"/>
  <c r="AD4" i="3"/>
  <c r="AI4" i="3"/>
  <c r="C16" i="4"/>
  <c r="AG20" i="3"/>
  <c r="AI20" i="3"/>
  <c r="AH20" i="3"/>
  <c r="AI29" i="3"/>
  <c r="AC16" i="3"/>
  <c r="AD16" i="3"/>
  <c r="AJ4" i="3"/>
  <c r="AJ29" i="3"/>
  <c r="AC22" i="3"/>
  <c r="AD22" i="3"/>
  <c r="AK4" i="3"/>
  <c r="AK29" i="3"/>
  <c r="AC28" i="3"/>
  <c r="AD28" i="3"/>
  <c r="AL4" i="3"/>
  <c r="AL29" i="3"/>
  <c r="AC34" i="3"/>
  <c r="AD34" i="3"/>
  <c r="AM4" i="3"/>
  <c r="AM29" i="3"/>
  <c r="AC40" i="3"/>
  <c r="AD40" i="3"/>
  <c r="AN4" i="3"/>
  <c r="AN29" i="3"/>
  <c r="AC46" i="3"/>
  <c r="AD46" i="3"/>
  <c r="AO4" i="3"/>
  <c r="AO29" i="3"/>
  <c r="AC52" i="3"/>
  <c r="AD52" i="3"/>
  <c r="AP4" i="3"/>
  <c r="AP29" i="3"/>
  <c r="AI27" i="3"/>
  <c r="AJ27" i="3"/>
  <c r="AK27" i="3"/>
  <c r="AL27" i="3"/>
  <c r="AM27" i="3"/>
  <c r="AN27" i="3"/>
  <c r="AO27" i="3"/>
  <c r="AP27" i="3"/>
  <c r="AI25" i="3"/>
  <c r="AJ25" i="3"/>
  <c r="AK25" i="3"/>
  <c r="AL25" i="3"/>
  <c r="AM25" i="3"/>
  <c r="AN25" i="3"/>
  <c r="AO25" i="3"/>
  <c r="AP25" i="3"/>
  <c r="AI22" i="3"/>
  <c r="AJ22" i="3"/>
  <c r="AK22" i="3"/>
  <c r="AL22" i="3"/>
  <c r="AM22" i="3"/>
  <c r="AN22" i="3"/>
  <c r="AO22" i="3"/>
  <c r="AP22" i="3"/>
  <c r="AI28" i="3"/>
  <c r="AJ28" i="3"/>
  <c r="AK28" i="3"/>
  <c r="AL28" i="3"/>
  <c r="AM28" i="3"/>
  <c r="AN28" i="3"/>
  <c r="AO28" i="3"/>
  <c r="AP28" i="3"/>
  <c r="AI23" i="3"/>
  <c r="AJ23" i="3"/>
  <c r="AK23" i="3"/>
  <c r="AL23" i="3"/>
  <c r="AM23" i="3"/>
  <c r="AN23" i="3"/>
  <c r="AO23" i="3"/>
  <c r="AP23" i="3"/>
  <c r="AI21" i="3"/>
  <c r="AJ21" i="3"/>
  <c r="AK21" i="3"/>
  <c r="AL21" i="3"/>
  <c r="AM21" i="3"/>
  <c r="AN21" i="3"/>
  <c r="AO21" i="3"/>
  <c r="AP21" i="3"/>
  <c r="AI30" i="3"/>
  <c r="AJ30" i="3"/>
  <c r="AK30" i="3"/>
  <c r="AL30" i="3"/>
  <c r="AM30" i="3"/>
  <c r="AN30" i="3"/>
  <c r="AO30" i="3"/>
  <c r="AP30" i="3"/>
  <c r="AJ20" i="3"/>
  <c r="AK20" i="3"/>
  <c r="AL20" i="3"/>
  <c r="AM20" i="3"/>
  <c r="AN20" i="3"/>
  <c r="AO20" i="3"/>
  <c r="AP20" i="3"/>
  <c r="AI31" i="3"/>
  <c r="AJ31" i="3"/>
  <c r="AK31" i="3"/>
  <c r="AL31" i="3"/>
  <c r="AM31" i="3"/>
  <c r="AN31" i="3"/>
  <c r="AO31" i="3"/>
  <c r="AP31" i="3"/>
  <c r="AG24" i="3"/>
  <c r="AI24" i="3"/>
  <c r="AJ24" i="3"/>
  <c r="AK24" i="3"/>
  <c r="AL24" i="3"/>
  <c r="AM24" i="3"/>
  <c r="AN24" i="3"/>
  <c r="AO24" i="3"/>
  <c r="AP24" i="3"/>
  <c r="AH24" i="3"/>
  <c r="AH36" i="3"/>
  <c r="AP19" i="3"/>
  <c r="AO19" i="3"/>
  <c r="AN19" i="3"/>
  <c r="AM19" i="3"/>
  <c r="AL19" i="3"/>
  <c r="AK19" i="3"/>
  <c r="AJ19" i="3"/>
  <c r="AI19" i="3"/>
  <c r="AH19" i="3"/>
  <c r="AP26" i="3"/>
  <c r="AO26" i="3"/>
  <c r="AN26" i="3"/>
  <c r="AM26" i="3"/>
  <c r="AL26" i="3"/>
  <c r="AK26" i="3"/>
  <c r="AJ26" i="3"/>
  <c r="AI26" i="3"/>
  <c r="AH29" i="3"/>
  <c r="AH27" i="3"/>
  <c r="AH25" i="3"/>
  <c r="AH28" i="3"/>
  <c r="AH30" i="3"/>
  <c r="AC50" i="3"/>
  <c r="AD50" i="3"/>
  <c r="AO8" i="3"/>
  <c r="AC56" i="3"/>
  <c r="AD56" i="3"/>
  <c r="AP8" i="3"/>
  <c r="AC53" i="3"/>
  <c r="AD53" i="3"/>
  <c r="AP5" i="3"/>
  <c r="AC54" i="3"/>
  <c r="AD54" i="3"/>
  <c r="AP6" i="3"/>
  <c r="AC55" i="3"/>
  <c r="AD55" i="3"/>
  <c r="AP7" i="3"/>
  <c r="AC51" i="3"/>
  <c r="AD51" i="3"/>
  <c r="AP3" i="3"/>
  <c r="AC47" i="3"/>
  <c r="AD47" i="3"/>
  <c r="AO5" i="3"/>
  <c r="AC48" i="3"/>
  <c r="AD48" i="3"/>
  <c r="AO6" i="3"/>
  <c r="AC49" i="3"/>
  <c r="AD49" i="3"/>
  <c r="AO7" i="3"/>
  <c r="AC45" i="3"/>
  <c r="AD45" i="3"/>
  <c r="AO3" i="3"/>
  <c r="AC41" i="3"/>
  <c r="AD41" i="3"/>
  <c r="AN5" i="3"/>
  <c r="AC42" i="3"/>
  <c r="AD42" i="3"/>
  <c r="AN6" i="3"/>
  <c r="AC43" i="3"/>
  <c r="AD43" i="3"/>
  <c r="AN7" i="3"/>
  <c r="AC44" i="3"/>
  <c r="AD44" i="3"/>
  <c r="AN8" i="3"/>
  <c r="AC39" i="3"/>
  <c r="AD39" i="3"/>
  <c r="AN3" i="3"/>
  <c r="AC35" i="3"/>
  <c r="AD35" i="3"/>
  <c r="AM5" i="3"/>
  <c r="AC36" i="3"/>
  <c r="AD36" i="3"/>
  <c r="AM6" i="3"/>
  <c r="AC37" i="3"/>
  <c r="AD37" i="3"/>
  <c r="AM7" i="3"/>
  <c r="AC38" i="3"/>
  <c r="AD38" i="3"/>
  <c r="AM8" i="3"/>
  <c r="AC33" i="3"/>
  <c r="AD33" i="3"/>
  <c r="AM3" i="3"/>
  <c r="AC29" i="3"/>
  <c r="AD29" i="3"/>
  <c r="AL5" i="3"/>
  <c r="AC30" i="3"/>
  <c r="AD30" i="3"/>
  <c r="AL6" i="3"/>
  <c r="AC31" i="3"/>
  <c r="AD31" i="3"/>
  <c r="AL7" i="3"/>
  <c r="AC32" i="3"/>
  <c r="AD32" i="3"/>
  <c r="AL8" i="3"/>
  <c r="AC27" i="3"/>
  <c r="AD27" i="3"/>
  <c r="AL3" i="3"/>
  <c r="AC23" i="3"/>
  <c r="AD23" i="3"/>
  <c r="AK5" i="3"/>
  <c r="AC24" i="3"/>
  <c r="AD24" i="3"/>
  <c r="AK6" i="3"/>
  <c r="AC25" i="3"/>
  <c r="AD25" i="3"/>
  <c r="AK7" i="3"/>
  <c r="AC26" i="3"/>
  <c r="AD26" i="3"/>
  <c r="AK8" i="3"/>
  <c r="AC21" i="3"/>
  <c r="AD21" i="3"/>
  <c r="AK3" i="3"/>
  <c r="AC17" i="3"/>
  <c r="AD17" i="3"/>
  <c r="AJ5" i="3"/>
  <c r="AC18" i="3"/>
  <c r="AD18" i="3"/>
  <c r="AJ6" i="3"/>
  <c r="AC19" i="3"/>
  <c r="AD19" i="3"/>
  <c r="AJ7" i="3"/>
  <c r="AC20" i="3"/>
  <c r="AD20" i="3"/>
  <c r="AJ8" i="3"/>
  <c r="AC15" i="3"/>
  <c r="AD15" i="3"/>
  <c r="AJ3" i="3"/>
  <c r="AC9" i="3"/>
  <c r="AD9" i="3"/>
  <c r="AH3" i="3"/>
  <c r="AC11" i="3"/>
  <c r="AD11" i="3"/>
  <c r="AH5" i="3"/>
  <c r="AC12" i="3"/>
  <c r="AD12" i="3"/>
  <c r="AH6" i="3"/>
  <c r="AC13" i="3"/>
  <c r="AD13" i="3"/>
  <c r="AH7" i="3"/>
  <c r="AC14" i="3"/>
  <c r="AD14" i="3"/>
  <c r="AH8" i="3"/>
  <c r="AC8" i="3"/>
  <c r="AD8" i="3"/>
  <c r="AI8" i="3"/>
  <c r="AC5" i="3"/>
  <c r="AD5" i="3"/>
  <c r="AI5" i="3"/>
  <c r="AC6" i="3"/>
  <c r="AD6" i="3"/>
  <c r="AI6" i="3"/>
  <c r="AC7" i="3"/>
  <c r="AD7" i="3"/>
  <c r="AI7" i="3"/>
  <c r="L41" i="2"/>
  <c r="L38" i="2"/>
  <c r="L20" i="2"/>
  <c r="L44" i="2"/>
  <c r="P47" i="2"/>
  <c r="P46" i="2"/>
  <c r="P43" i="2"/>
  <c r="C12" i="4"/>
  <c r="AH37" i="3"/>
  <c r="AH35" i="3"/>
  <c r="J20" i="2"/>
  <c r="N20" i="2"/>
  <c r="K20" i="2"/>
  <c r="O20" i="2"/>
  <c r="J21" i="2"/>
  <c r="N21" i="2"/>
  <c r="K21" i="2"/>
  <c r="O21" i="2"/>
  <c r="J22" i="2"/>
  <c r="N22" i="2"/>
  <c r="K22" i="2"/>
  <c r="O22" i="2"/>
  <c r="J23" i="2"/>
  <c r="N23" i="2"/>
  <c r="K23" i="2"/>
  <c r="O23" i="2"/>
  <c r="B24" i="2"/>
  <c r="J24" i="2"/>
  <c r="N24" i="2"/>
  <c r="K24" i="2"/>
  <c r="O24" i="2"/>
  <c r="J25" i="2"/>
  <c r="N25" i="2"/>
  <c r="K25" i="2"/>
  <c r="O25" i="2"/>
  <c r="J26" i="2"/>
  <c r="N26" i="2"/>
  <c r="K26" i="2"/>
  <c r="O26" i="2"/>
  <c r="J27" i="2"/>
  <c r="N27" i="2"/>
  <c r="K27" i="2"/>
  <c r="O27" i="2"/>
  <c r="J28" i="2"/>
  <c r="N28" i="2"/>
  <c r="K28" i="2"/>
  <c r="O28" i="2"/>
  <c r="J29" i="2"/>
  <c r="N29" i="2"/>
  <c r="K29" i="2"/>
  <c r="O29" i="2"/>
  <c r="B30" i="2"/>
  <c r="J30" i="2"/>
  <c r="N30" i="2"/>
  <c r="K30" i="2"/>
  <c r="O30" i="2"/>
  <c r="J31" i="2"/>
  <c r="N31" i="2"/>
  <c r="K31" i="2"/>
  <c r="O31" i="2"/>
  <c r="J32" i="2"/>
  <c r="N32" i="2"/>
  <c r="K32" i="2"/>
  <c r="O32" i="2"/>
  <c r="J33" i="2"/>
  <c r="N33" i="2"/>
  <c r="K33" i="2"/>
  <c r="O33" i="2"/>
  <c r="J34" i="2"/>
  <c r="N34" i="2"/>
  <c r="K34" i="2"/>
  <c r="O34" i="2"/>
  <c r="J35" i="2"/>
  <c r="N35" i="2"/>
  <c r="K35" i="2"/>
  <c r="O35" i="2"/>
  <c r="B36" i="2"/>
  <c r="J36" i="2"/>
  <c r="N36" i="2"/>
  <c r="K36" i="2"/>
  <c r="O36" i="2"/>
  <c r="J37" i="2"/>
  <c r="N37" i="2"/>
  <c r="K37" i="2"/>
  <c r="O37" i="2"/>
  <c r="J38" i="2"/>
  <c r="N38" i="2"/>
  <c r="K38" i="2"/>
  <c r="O38" i="2"/>
  <c r="J39" i="2"/>
  <c r="N39" i="2"/>
  <c r="K39" i="2"/>
  <c r="O39" i="2"/>
  <c r="J40" i="2"/>
  <c r="N40" i="2"/>
  <c r="K40" i="2"/>
  <c r="O40" i="2"/>
  <c r="J41" i="2"/>
  <c r="N41" i="2"/>
  <c r="K41" i="2"/>
  <c r="O41" i="2"/>
  <c r="B42" i="2"/>
  <c r="J42" i="2"/>
  <c r="N42" i="2"/>
  <c r="K42" i="2"/>
  <c r="O42" i="2"/>
  <c r="J43" i="2"/>
  <c r="N43" i="2"/>
  <c r="K43" i="2"/>
  <c r="O43" i="2"/>
  <c r="J44" i="2"/>
  <c r="N44" i="2"/>
  <c r="K44" i="2"/>
  <c r="O44" i="2"/>
  <c r="J45" i="2"/>
  <c r="N45" i="2"/>
  <c r="K45" i="2"/>
  <c r="O45" i="2"/>
  <c r="J46" i="2"/>
  <c r="N46" i="2"/>
  <c r="K46" i="2"/>
  <c r="O46" i="2"/>
  <c r="J47" i="2"/>
  <c r="N47" i="2"/>
  <c r="K47" i="2"/>
  <c r="O47" i="2"/>
  <c r="J48" i="2"/>
  <c r="N48" i="2"/>
  <c r="K48" i="2"/>
  <c r="O48" i="2"/>
  <c r="K19" i="2"/>
  <c r="O19" i="2"/>
  <c r="J19" i="2"/>
  <c r="N19" i="2"/>
  <c r="L40" i="2"/>
  <c r="L46" i="2"/>
  <c r="L37" i="2"/>
  <c r="L43" i="2"/>
  <c r="L24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Q15" i="3"/>
  <c r="Q16" i="3"/>
  <c r="Q17" i="3"/>
  <c r="Q18" i="3"/>
  <c r="Q19" i="3"/>
  <c r="Q20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W9" i="3"/>
  <c r="W10" i="3"/>
  <c r="W11" i="3"/>
  <c r="W12" i="3"/>
  <c r="W13" i="3"/>
  <c r="W14" i="3"/>
  <c r="W15" i="3"/>
  <c r="W16" i="3"/>
  <c r="W17" i="3"/>
  <c r="W18" i="3"/>
  <c r="W19" i="3"/>
  <c r="W20" i="3"/>
  <c r="Q9" i="3"/>
  <c r="Q10" i="3"/>
  <c r="Q11" i="3"/>
  <c r="Q12" i="3"/>
  <c r="Q13" i="3"/>
  <c r="Q14" i="3"/>
  <c r="E14" i="3"/>
  <c r="E13" i="3"/>
  <c r="E12" i="3"/>
  <c r="E11" i="3"/>
  <c r="E10" i="3"/>
  <c r="E9" i="3"/>
  <c r="W4" i="3"/>
  <c r="W5" i="3"/>
  <c r="W6" i="3"/>
  <c r="W7" i="3"/>
  <c r="W8" i="3"/>
  <c r="W3" i="3"/>
  <c r="Q4" i="3"/>
  <c r="Q5" i="3"/>
  <c r="Q6" i="3"/>
  <c r="Q7" i="3"/>
  <c r="Q8" i="3"/>
  <c r="Q3" i="3"/>
  <c r="E4" i="3"/>
  <c r="E5" i="3"/>
  <c r="E6" i="3"/>
  <c r="E7" i="3"/>
  <c r="E8" i="3"/>
  <c r="E22" i="2"/>
  <c r="F22" i="2"/>
  <c r="H22" i="2"/>
  <c r="E25" i="2"/>
  <c r="F25" i="2"/>
  <c r="E26" i="2"/>
  <c r="F26" i="2"/>
  <c r="E28" i="2"/>
  <c r="F28" i="2"/>
  <c r="H28" i="2"/>
  <c r="E31" i="2"/>
  <c r="F31" i="2"/>
  <c r="E32" i="2"/>
  <c r="F32" i="2"/>
  <c r="E34" i="2"/>
  <c r="F34" i="2"/>
  <c r="H34" i="2"/>
  <c r="S8" i="2"/>
  <c r="Y6" i="2"/>
  <c r="K3" i="2"/>
  <c r="E29" i="2"/>
  <c r="F29" i="2"/>
  <c r="H29" i="2"/>
  <c r="J6" i="2"/>
  <c r="J4" i="2"/>
  <c r="J7" i="2"/>
  <c r="J8" i="2"/>
  <c r="J9" i="2"/>
  <c r="J10" i="2"/>
  <c r="J11" i="2"/>
  <c r="J12" i="2"/>
  <c r="K4" i="2"/>
  <c r="L4" i="2"/>
  <c r="M4" i="2"/>
  <c r="O4" i="2"/>
  <c r="P4" i="2"/>
  <c r="Q4" i="2"/>
  <c r="R4" i="2"/>
  <c r="S4" i="2"/>
  <c r="T4" i="2"/>
  <c r="U4" i="2"/>
  <c r="V4" i="2"/>
  <c r="W4" i="2"/>
  <c r="K5" i="2"/>
  <c r="L5" i="2"/>
  <c r="M5" i="2"/>
  <c r="O5" i="2"/>
  <c r="P5" i="2"/>
  <c r="Q5" i="2"/>
  <c r="R5" i="2"/>
  <c r="S5" i="2"/>
  <c r="S6" i="2"/>
  <c r="T5" i="2"/>
  <c r="U5" i="2"/>
  <c r="V5" i="2"/>
  <c r="W5" i="2"/>
  <c r="K6" i="2"/>
  <c r="L6" i="2"/>
  <c r="M6" i="2"/>
  <c r="O6" i="2"/>
  <c r="P6" i="2"/>
  <c r="Q6" i="2"/>
  <c r="R6" i="2"/>
  <c r="T6" i="2"/>
  <c r="U6" i="2"/>
  <c r="V6" i="2"/>
  <c r="W6" i="2"/>
  <c r="K7" i="2"/>
  <c r="L7" i="2"/>
  <c r="M7" i="2"/>
  <c r="O7" i="2"/>
  <c r="P7" i="2"/>
  <c r="Q7" i="2"/>
  <c r="R7" i="2"/>
  <c r="S7" i="2"/>
  <c r="T7" i="2"/>
  <c r="U7" i="2"/>
  <c r="V7" i="2"/>
  <c r="W7" i="2"/>
  <c r="K8" i="2"/>
  <c r="L8" i="2"/>
  <c r="M8" i="2"/>
  <c r="O8" i="2"/>
  <c r="P8" i="2"/>
  <c r="Q8" i="2"/>
  <c r="R8" i="2"/>
  <c r="T8" i="2"/>
  <c r="U8" i="2"/>
  <c r="V8" i="2"/>
  <c r="W8" i="2"/>
  <c r="K9" i="2"/>
  <c r="L9" i="2"/>
  <c r="M9" i="2"/>
  <c r="O9" i="2"/>
  <c r="P9" i="2"/>
  <c r="Q9" i="2"/>
  <c r="R9" i="2"/>
  <c r="S9" i="2"/>
  <c r="T9" i="2"/>
  <c r="U9" i="2"/>
  <c r="V9" i="2"/>
  <c r="W9" i="2"/>
  <c r="K10" i="2"/>
  <c r="L10" i="2"/>
  <c r="M10" i="2"/>
  <c r="O10" i="2"/>
  <c r="P10" i="2"/>
  <c r="Q10" i="2"/>
  <c r="R10" i="2"/>
  <c r="S10" i="2"/>
  <c r="T10" i="2"/>
  <c r="U10" i="2"/>
  <c r="V10" i="2"/>
  <c r="W10" i="2"/>
  <c r="K11" i="2"/>
  <c r="L11" i="2"/>
  <c r="M11" i="2"/>
  <c r="O11" i="2"/>
  <c r="P11" i="2"/>
  <c r="Q11" i="2"/>
  <c r="R11" i="2"/>
  <c r="S11" i="2"/>
  <c r="T11" i="2"/>
  <c r="U11" i="2"/>
  <c r="V11" i="2"/>
  <c r="W11" i="2"/>
  <c r="K12" i="2"/>
  <c r="L12" i="2"/>
  <c r="M12" i="2"/>
  <c r="O12" i="2"/>
  <c r="P12" i="2"/>
  <c r="Q12" i="2"/>
  <c r="R12" i="2"/>
  <c r="S12" i="2"/>
  <c r="T12" i="2"/>
  <c r="U12" i="2"/>
  <c r="V12" i="2"/>
  <c r="W12" i="2"/>
  <c r="W3" i="2"/>
  <c r="V3" i="2"/>
  <c r="U3" i="2"/>
  <c r="T3" i="2"/>
  <c r="S3" i="2"/>
  <c r="R3" i="2"/>
  <c r="Q3" i="2"/>
  <c r="P3" i="2"/>
  <c r="O3" i="2"/>
  <c r="N6" i="2"/>
  <c r="N7" i="2"/>
  <c r="N8" i="2"/>
  <c r="N9" i="2"/>
  <c r="N10" i="2"/>
  <c r="N11" i="2"/>
  <c r="N12" i="2"/>
  <c r="M3" i="2"/>
  <c r="L3" i="2"/>
  <c r="G19" i="1"/>
  <c r="G18" i="1"/>
  <c r="G17" i="1"/>
  <c r="E23" i="2"/>
  <c r="F23" i="2"/>
  <c r="E35" i="2"/>
  <c r="F35" i="2"/>
  <c r="H35" i="2"/>
  <c r="L35" i="2"/>
  <c r="H23" i="2"/>
  <c r="AI3" i="3"/>
  <c r="P27" i="2"/>
  <c r="H27" i="2"/>
  <c r="P39" i="2"/>
  <c r="H39" i="2"/>
  <c r="L39" i="2"/>
  <c r="P32" i="2"/>
  <c r="H32" i="2"/>
  <c r="H26" i="2"/>
  <c r="P26" i="2"/>
  <c r="P30" i="2"/>
  <c r="L29" i="2"/>
  <c r="L30" i="2"/>
  <c r="F30" i="2"/>
  <c r="H30" i="2"/>
  <c r="H25" i="2"/>
  <c r="L36" i="2"/>
  <c r="P33" i="2"/>
  <c r="H33" i="2"/>
  <c r="F36" i="2"/>
  <c r="H36" i="2"/>
  <c r="H31" i="2"/>
  <c r="D48" i="2"/>
  <c r="H21" i="2"/>
  <c r="P45" i="2"/>
  <c r="F24" i="2"/>
  <c r="H24" i="2"/>
  <c r="L47" i="2"/>
  <c r="P36" i="2"/>
  <c r="P48" i="2"/>
  <c r="P44" i="2"/>
  <c r="L42" i="2"/>
  <c r="L45" i="2"/>
  <c r="L48" i="2"/>
  <c r="AJ27" i="1"/>
  <c r="AK27" i="1"/>
  <c r="AJ30" i="1"/>
  <c r="AJ38" i="1"/>
  <c r="AK38" i="1"/>
  <c r="AL38" i="1"/>
  <c r="AI38" i="1"/>
  <c r="AM38" i="1"/>
</calcChain>
</file>

<file path=xl/sharedStrings.xml><?xml version="1.0" encoding="utf-8"?>
<sst xmlns="http://schemas.openxmlformats.org/spreadsheetml/2006/main" count="1094" uniqueCount="276">
  <si>
    <t>Implementation Costs</t>
  </si>
  <si>
    <t>Activity</t>
  </si>
  <si>
    <t>District and Facility Introduction Visits</t>
  </si>
  <si>
    <t>Cost Item</t>
  </si>
  <si>
    <t>Salary</t>
  </si>
  <si>
    <t>Petrol</t>
  </si>
  <si>
    <t>-</t>
  </si>
  <si>
    <t>Total Cost USD</t>
  </si>
  <si>
    <t>Car Service</t>
  </si>
  <si>
    <t>Per Night Lodging</t>
  </si>
  <si>
    <t>Unit Cost</t>
  </si>
  <si>
    <t>Quantity</t>
  </si>
  <si>
    <t>Achilles introductions</t>
  </si>
  <si>
    <t>Time (in Hours)</t>
  </si>
  <si>
    <t>Chief Accounting Officer time (18 districts)</t>
  </si>
  <si>
    <t>Site Visits - Research Staff Time</t>
  </si>
  <si>
    <t xml:space="preserve">Key Staff Time </t>
  </si>
  <si>
    <t>Letter of Introduction Preparation Time</t>
  </si>
  <si>
    <t>IRB Letter</t>
  </si>
  <si>
    <t>Research Staff time to organize shipments</t>
  </si>
  <si>
    <t>Research Staff time to prepare documentation</t>
  </si>
  <si>
    <t>Bank Clearance Fees</t>
  </si>
  <si>
    <t>Labor costs (carrying equipment to office)</t>
  </si>
  <si>
    <t>Handling fees to a clearing agent</t>
  </si>
  <si>
    <t>Scanner</t>
  </si>
  <si>
    <t>Laptop Cost</t>
  </si>
  <si>
    <t>Assay Cable</t>
  </si>
  <si>
    <t>Rif Ultra Cartridges</t>
  </si>
  <si>
    <t>Clearing Gene Xpert through customs</t>
  </si>
  <si>
    <t>Clearing Solar Panels through customs</t>
  </si>
  <si>
    <t>Staff time for coordination of shipments</t>
  </si>
  <si>
    <t>Other resources</t>
  </si>
  <si>
    <t>Solar Panels Flight</t>
  </si>
  <si>
    <t xml:space="preserve">Solar Panels </t>
  </si>
  <si>
    <t>Total Cost Currency</t>
  </si>
  <si>
    <t>UPS with solar input</t>
  </si>
  <si>
    <t>Installation/Training Site Visits</t>
  </si>
  <si>
    <t>Research Staff Time Day 1 Visit</t>
  </si>
  <si>
    <t>Caroga Staff Time Day 1 Visit</t>
  </si>
  <si>
    <t>NTRL Staff time Day 1 Visit</t>
  </si>
  <si>
    <t>Facility Staff Time Day 1 Visit - Physician</t>
  </si>
  <si>
    <t>Facility Staff Time Day 1 Visit - Clinical Officers</t>
  </si>
  <si>
    <t>Facility Staff Time Day 1 Visit - Nurses</t>
  </si>
  <si>
    <t>Facility Staff Time Day 1 Visit - Midwives</t>
  </si>
  <si>
    <t>Facility Staff Time Day 1 Visit - Laboratory Staff</t>
  </si>
  <si>
    <t>Facility Staff Time Day 1 Visit - FLF, Volunteers, Other</t>
  </si>
  <si>
    <t>Research Staff Time Day 2 Visit</t>
  </si>
  <si>
    <t>Caroga Staff Time Day 2 Visit</t>
  </si>
  <si>
    <t>NTRL Staff time Day 2 Visit</t>
  </si>
  <si>
    <t>Facility Staff Time Day 2 Visit - Physician</t>
  </si>
  <si>
    <t>Facility Staff Time Day 2 Visit - Clinical Officers</t>
  </si>
  <si>
    <t>Facility Staff Time Day 2 Visit - Nurses</t>
  </si>
  <si>
    <t>Facility Staff Time Day 2 Visit - Midwives</t>
  </si>
  <si>
    <t>Facility Staff Time Day 2 Visit - Laboratory Staff</t>
  </si>
  <si>
    <t>Facility Staff Time Day 2 Visit - FLF, Volunteers, Other</t>
  </si>
  <si>
    <t>Development of Materials</t>
  </si>
  <si>
    <t>Airtime</t>
  </si>
  <si>
    <t>Transport and Food</t>
  </si>
  <si>
    <t>Development Time - Research Staff</t>
  </si>
  <si>
    <t>Printing and Laminating</t>
  </si>
  <si>
    <t>Dust Covers for Devices</t>
  </si>
  <si>
    <t>Security System for Laptops on Work Stations</t>
  </si>
  <si>
    <t>Petrol and Transport</t>
  </si>
  <si>
    <t>Soda Notebooks Pens</t>
  </si>
  <si>
    <t>Smart Phones Model 1</t>
  </si>
  <si>
    <t>Smart Phones Model 2</t>
  </si>
  <si>
    <t>Smart Phones Model 3</t>
  </si>
  <si>
    <t>Smart Phones Model 4</t>
  </si>
  <si>
    <t>Monthly airtime for data</t>
  </si>
  <si>
    <t>Sim Cards</t>
  </si>
  <si>
    <t>Transport Refund</t>
  </si>
  <si>
    <t>Paper for printing photos (per month)</t>
  </si>
  <si>
    <t xml:space="preserve">Cartridges </t>
  </si>
  <si>
    <t>Study Staff airtime</t>
  </si>
  <si>
    <t>Office Internet</t>
  </si>
  <si>
    <t>Airtime for Iganga (per month)</t>
  </si>
  <si>
    <t>**</t>
  </si>
  <si>
    <t>Total</t>
  </si>
  <si>
    <t>Total - Cartridges</t>
  </si>
  <si>
    <t xml:space="preserve">             </t>
  </si>
  <si>
    <t>Total Equipment</t>
  </si>
  <si>
    <t>Implementation Costs - Equipment</t>
  </si>
  <si>
    <t>IC - EQP - Solar Panels</t>
  </si>
  <si>
    <t>Consumable</t>
  </si>
  <si>
    <t>Category</t>
  </si>
  <si>
    <t>HR Time</t>
  </si>
  <si>
    <t>Travel</t>
  </si>
  <si>
    <t>One Time Cost</t>
  </si>
  <si>
    <t>Equipment</t>
  </si>
  <si>
    <t>Cost Type</t>
  </si>
  <si>
    <t>ELY</t>
  </si>
  <si>
    <t>Annualizing Factor</t>
  </si>
  <si>
    <t>Total Cost</t>
  </si>
  <si>
    <t>Annual Cost</t>
  </si>
  <si>
    <t>Activity Number</t>
  </si>
  <si>
    <t>Discount Rate</t>
  </si>
  <si>
    <t>Capacity</t>
  </si>
  <si>
    <t>Capacity (Clinics)</t>
  </si>
  <si>
    <t>Per Capita Cost</t>
  </si>
  <si>
    <t>Per Capita</t>
  </si>
  <si>
    <t>ELY 10 DR 3%</t>
  </si>
  <si>
    <t>Scenario</t>
  </si>
  <si>
    <t>Annual Total</t>
  </si>
  <si>
    <t>Solar Panels</t>
  </si>
  <si>
    <t xml:space="preserve">Xpert Machines and </t>
  </si>
  <si>
    <t>ELY 10 DR 1%</t>
  </si>
  <si>
    <t>ELY 10 DR 6%</t>
  </si>
  <si>
    <t>ELY 5 DR 1%</t>
  </si>
  <si>
    <t>ELY 15 DR 1%</t>
  </si>
  <si>
    <t>ELY 5 DR 3%</t>
  </si>
  <si>
    <t>ELY 15 DR 3%</t>
  </si>
  <si>
    <t>ELY 5 DR 6%</t>
  </si>
  <si>
    <t>ELY 15 DR 6%</t>
  </si>
  <si>
    <t>Variable Costs (per Clinic)</t>
  </si>
  <si>
    <t>Fixed Costs</t>
  </si>
  <si>
    <t>Bishop Asili</t>
  </si>
  <si>
    <t>Intervention</t>
  </si>
  <si>
    <t>Clinic Name</t>
  </si>
  <si>
    <t>Arm</t>
  </si>
  <si>
    <t>Xpert Tests</t>
  </si>
  <si>
    <t>Average</t>
  </si>
  <si>
    <t>Std. Dev</t>
  </si>
  <si>
    <t>UB - 95% Conf Int.</t>
  </si>
  <si>
    <t>LB - 95% Conf Int.</t>
  </si>
  <si>
    <t>Standard Analysis w/ 10 clinics &amp; 5ELY, 3% discount rate</t>
  </si>
  <si>
    <t>Progam Total Cos</t>
  </si>
  <si>
    <t>Program Total Cost</t>
  </si>
  <si>
    <t>Fixed</t>
  </si>
  <si>
    <t>Variable</t>
  </si>
  <si>
    <t xml:space="preserve">Cost per Patient (at 1 Clinic) - 10 Clinic Capacity </t>
  </si>
  <si>
    <t>Range 516</t>
  </si>
  <si>
    <t>Range 271</t>
  </si>
  <si>
    <t>Range 26</t>
  </si>
  <si>
    <t>Clinic 2</t>
  </si>
  <si>
    <t>Service Volume</t>
  </si>
  <si>
    <t>Clinic 4</t>
  </si>
  <si>
    <t>Clinic 5</t>
  </si>
  <si>
    <t>Clinic 7</t>
  </si>
  <si>
    <t>Clinic 8</t>
  </si>
  <si>
    <t>Clinic 9</t>
  </si>
  <si>
    <t>Wtd. Avg</t>
  </si>
  <si>
    <t>USD</t>
  </si>
  <si>
    <t>USh (2018)</t>
  </si>
  <si>
    <t>Iganga</t>
  </si>
  <si>
    <t>Lugasa</t>
  </si>
  <si>
    <t>St. Francis</t>
  </si>
  <si>
    <t>Why 10/12</t>
  </si>
  <si>
    <t>Introductory Visits</t>
  </si>
  <si>
    <t>Customs: Gene Xpert</t>
  </si>
  <si>
    <t>Customs: Solar Panels</t>
  </si>
  <si>
    <t>Installation and Training Site Visits</t>
  </si>
  <si>
    <t>Cartridges</t>
  </si>
  <si>
    <t>Current implementation costs is (total cost) - (cost cartridges) - (cost equipment)</t>
  </si>
  <si>
    <t>One Time Cost*</t>
  </si>
  <si>
    <t>We could create a table of fixed (one-time), fixed (recurring), and variable implementation costs?</t>
  </si>
  <si>
    <t>*May be more like every 5 years. Could do ELY discounting to get cost/year for these "one time" costs</t>
  </si>
  <si>
    <t>--Multiple instances of airtime</t>
  </si>
  <si>
    <t>Consumables: Airtime, printing/laminating, notebooks + pens, sim cards, internet</t>
  </si>
  <si>
    <t>What year is the currency??</t>
  </si>
  <si>
    <t>Assumes that research staff salary costs would be interchangeable with salaries of individuals responsible for coordinating implementation with other sites in the future</t>
  </si>
  <si>
    <t>Ryan Estimate</t>
  </si>
  <si>
    <t>Austin Estimate</t>
  </si>
  <si>
    <t>But, there are a few equipment costs we need to include: cost of assay cables, cost of cell phones, security system, dust covers, and maybe UPS solar input.</t>
  </si>
  <si>
    <t>Cost/Clinic, Ryan</t>
  </si>
  <si>
    <t>Cost/Clinic, Austin</t>
  </si>
  <si>
    <t>Ryan/Test Cost</t>
  </si>
  <si>
    <t>Austin/Test Cost</t>
  </si>
  <si>
    <t>Design</t>
  </si>
  <si>
    <t>Initiation</t>
  </si>
  <si>
    <t>Maintenance</t>
  </si>
  <si>
    <t>Central</t>
  </si>
  <si>
    <t>Site-Specific, Programmatic</t>
  </si>
  <si>
    <t>Site-Specific, Research</t>
  </si>
  <si>
    <t>Central, Programmatic</t>
  </si>
  <si>
    <t>Central, Research</t>
  </si>
  <si>
    <t>Phase</t>
  </si>
  <si>
    <t>Central or Site</t>
  </si>
  <si>
    <t>Research or Program</t>
  </si>
  <si>
    <t>Site</t>
  </si>
  <si>
    <t>Research</t>
  </si>
  <si>
    <t>Program</t>
  </si>
  <si>
    <t xml:space="preserve">Research </t>
  </si>
  <si>
    <t>Take out equipment costs that are accounted for elsewhere</t>
  </si>
  <si>
    <t>Excluding Research Costs (UPDATE)</t>
  </si>
  <si>
    <t>Without Equipment Costs (but including implementation costs, and solar panels)</t>
  </si>
  <si>
    <t>Excludes Consumables</t>
  </si>
  <si>
    <t>Stop-TB: Edge costs $8945, 2-year warranty on parts</t>
  </si>
  <si>
    <t>Edge external battery, small: $99</t>
  </si>
  <si>
    <t>Edge external battery, medium: $199</t>
  </si>
  <si>
    <t>Can act as a UPS</t>
  </si>
  <si>
    <t>Dust filters, $350</t>
  </si>
  <si>
    <t>http://www.stoptb.org/assets/documents/gdf/drugsupply/Xpert_info_note.pdf</t>
  </si>
  <si>
    <t>Upfront Delivery</t>
  </si>
  <si>
    <t>Annual/Ongoing</t>
  </si>
  <si>
    <t>Total Staff Time:</t>
  </si>
  <si>
    <t>Intro Visit Staff Time</t>
  </si>
  <si>
    <t>Xpert Customs</t>
  </si>
  <si>
    <t>Solar Panels Customs</t>
  </si>
  <si>
    <t>Installation/Training</t>
  </si>
  <si>
    <t>Total hours of commitment for implementation efforts</t>
  </si>
  <si>
    <t>Solar Panel Flights</t>
  </si>
  <si>
    <t>Phones</t>
  </si>
  <si>
    <t>Lodging for introductory visits</t>
  </si>
  <si>
    <t>Solar Panel Customs</t>
  </si>
  <si>
    <t>Cartridges through Customs</t>
  </si>
  <si>
    <t>Universal Power Supply</t>
  </si>
  <si>
    <t>Laptop</t>
  </si>
  <si>
    <t>Largest Costs</t>
  </si>
  <si>
    <t>Item</t>
  </si>
  <si>
    <t>Research Expense?</t>
  </si>
  <si>
    <t>Programmatic</t>
  </si>
  <si>
    <t>Mixed(?)</t>
  </si>
  <si>
    <t>varies</t>
  </si>
  <si>
    <t>Unsure</t>
  </si>
  <si>
    <t>Site Visits: Staff salary</t>
  </si>
  <si>
    <t>Facility Staff Training Salaries</t>
  </si>
  <si>
    <t>Caroga Staff Installation Salary</t>
  </si>
  <si>
    <t>NTLP Staff Training Salary</t>
  </si>
  <si>
    <t>Research Staff Training Salary</t>
  </si>
  <si>
    <t>Activity Type</t>
  </si>
  <si>
    <t>Total Time Spent (Hours)</t>
  </si>
  <si>
    <t>y</t>
  </si>
  <si>
    <t>n</t>
  </si>
  <si>
    <t>Annual?</t>
  </si>
  <si>
    <t>*</t>
  </si>
  <si>
    <t>5-Year Annual Costs</t>
  </si>
  <si>
    <t>Annuitize this too</t>
  </si>
  <si>
    <t>Decentralized Facilities</t>
  </si>
  <si>
    <t>Repair</t>
  </si>
  <si>
    <t>Replacement</t>
  </si>
  <si>
    <t>Catridges</t>
  </si>
  <si>
    <t>Decentralized but not costed</t>
  </si>
  <si>
    <t>Centralized</t>
  </si>
  <si>
    <t>clinic</t>
  </si>
  <si>
    <t>total_replace</t>
  </si>
  <si>
    <t>annuitized_replace</t>
  </si>
  <si>
    <t>one_year_cost</t>
  </si>
  <si>
    <t>Replacement costs</t>
  </si>
  <si>
    <t>Repair costs</t>
  </si>
  <si>
    <t>total_repairs</t>
  </si>
  <si>
    <t>Per Patient</t>
  </si>
  <si>
    <t>Assumes: all maintenance costs are REPAIR costs, unless explicitly noted that part was replaced</t>
  </si>
  <si>
    <t>Replacement Costs</t>
  </si>
  <si>
    <t>Assumes full cost of purchasing replacement costs (including customs when applicable)</t>
  </si>
  <si>
    <t>Present the total cost, the annuitized cost, and the per-year cost</t>
  </si>
  <si>
    <t>(882 days of follow-up, so annuitized rates aren't quite per-year still).</t>
  </si>
  <si>
    <t>To calculate annual cost: take annuitized rate, divide by 882 to get annuitized cost per day. Multiply by 365</t>
  </si>
  <si>
    <t>Repair Costs</t>
  </si>
  <si>
    <t>Based on talks with Makerere team, repair trips from Caroga take one full working day to complete, regardless of distance</t>
  </si>
  <si>
    <t>For now, using this assumption. We could delve further, assign 1/2 day for clinics closer to Kampala</t>
  </si>
  <si>
    <t>Repair costs are the total cost of travel (including gas) and salaries for workers</t>
  </si>
  <si>
    <t>Estimates: 8 hour's pay for Caroga workers (5mil UGX/year, based on Makerere team) + $0.36/km for gas</t>
  </si>
  <si>
    <t>This calculation (full-days' wage + travel) was used for all reported maintenance trips. Since there were 882 days of follow-up, not 365</t>
  </si>
  <si>
    <t>I broke this up into a per-day cost by taking total repair costs for each site and dividing it by 882 days. Then, multiplied the per-day cost by 365 to get the cost per year.</t>
  </si>
  <si>
    <t>es, $120 piece of equipment</t>
  </si>
  <si>
    <t>Breaks in 2nd month, $20 incurred on that device. "Total ownership based on when replaced."</t>
  </si>
  <si>
    <t>From where it breaks, add total cost for new from there but stop charging from original</t>
  </si>
  <si>
    <t>Caroga is also an option, don't add additional value for lost equipment to that equipment being replaced, only account for efforts to replace.</t>
  </si>
  <si>
    <t>Need to decide on % allocation to research + programmatic</t>
  </si>
  <si>
    <t>W/o Cartridge</t>
  </si>
  <si>
    <t>per month</t>
  </si>
  <si>
    <t>% Repair</t>
  </si>
  <si>
    <t>Clinic 1</t>
  </si>
  <si>
    <t>Clinic 3</t>
  </si>
  <si>
    <t>Clinic 6</t>
  </si>
  <si>
    <t>Clinic 10</t>
  </si>
  <si>
    <t>Clinic 11</t>
  </si>
  <si>
    <t>Clinic 12</t>
  </si>
  <si>
    <t>Clinic 13</t>
  </si>
  <si>
    <t>Clinic 14</t>
  </si>
  <si>
    <t>Clinic 15</t>
  </si>
  <si>
    <t>Clinic 16</t>
  </si>
  <si>
    <t>Clinic 17</t>
  </si>
  <si>
    <t>Clinic 18</t>
  </si>
  <si>
    <t>Clinic 19</t>
  </si>
  <si>
    <t>Clinic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</si>
</sst>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UGX]\ #,##0.00"/>
    <numFmt numFmtId="166" formatCode="[$ZAR]\ #,##0.00"/>
    <numFmt numFmtId="167" formatCode="[$UGX]\ #,##0.00_);\([$UGX]\ #,##0.00\)"/>
    <numFmt numFmtId="169" formatCode="&quot;$&quot;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Lucida Grande"/>
    </font>
    <font>
      <sz val="10"/>
      <color rgb="FFFFFFFF"/>
      <name val="Lucida Grande"/>
    </font>
    <font>
      <sz val="11"/>
      <color theme="1"/>
      <name val="Lucida Grande"/>
    </font>
    <font>
      <b/>
      <sz val="11"/>
      <color theme="1"/>
      <name val="Lucida Grande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8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165" fontId="0" fillId="2" borderId="0" xfId="0" applyNumberFormat="1" applyFill="1"/>
    <xf numFmtId="165" fontId="0" fillId="2" borderId="0" xfId="1" applyNumberFormat="1" applyFont="1" applyFill="1"/>
    <xf numFmtId="164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164" fontId="0" fillId="3" borderId="0" xfId="0" applyNumberFormat="1" applyFill="1"/>
    <xf numFmtId="7" fontId="0" fillId="3" borderId="0" xfId="2" applyNumberFormat="1" applyFont="1" applyFill="1"/>
    <xf numFmtId="44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/>
    <xf numFmtId="166" fontId="0" fillId="4" borderId="0" xfId="0" applyNumberFormat="1" applyFill="1"/>
    <xf numFmtId="7" fontId="0" fillId="4" borderId="0" xfId="1" applyNumberFormat="1" applyFont="1" applyFill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167" fontId="0" fillId="2" borderId="0" xfId="2" applyNumberFormat="1" applyFont="1" applyFill="1"/>
    <xf numFmtId="44" fontId="0" fillId="0" borderId="0" xfId="2" applyFont="1"/>
    <xf numFmtId="44" fontId="0" fillId="0" borderId="0" xfId="0" applyNumberFormat="1"/>
    <xf numFmtId="9" fontId="0" fillId="0" borderId="0" xfId="0" applyNumberFormat="1"/>
    <xf numFmtId="44" fontId="2" fillId="0" borderId="0" xfId="2" applyFont="1"/>
    <xf numFmtId="44" fontId="2" fillId="0" borderId="0" xfId="0" applyNumberFormat="1" applyFont="1"/>
    <xf numFmtId="0" fontId="0" fillId="0" borderId="0" xfId="0" applyFont="1"/>
    <xf numFmtId="44" fontId="0" fillId="0" borderId="0" xfId="0" applyNumberFormat="1" applyFont="1"/>
    <xf numFmtId="1" fontId="0" fillId="0" borderId="0" xfId="0" applyNumberFormat="1"/>
    <xf numFmtId="0" fontId="0" fillId="6" borderId="3" xfId="0" applyFill="1" applyBorder="1"/>
    <xf numFmtId="0" fontId="0" fillId="6" borderId="2" xfId="0" applyFill="1" applyBorder="1"/>
    <xf numFmtId="0" fontId="0" fillId="6" borderId="5" xfId="0" applyFill="1" applyBorder="1"/>
    <xf numFmtId="0" fontId="2" fillId="6" borderId="5" xfId="0" applyFont="1" applyFill="1" applyBorder="1"/>
    <xf numFmtId="164" fontId="0" fillId="6" borderId="0" xfId="0" applyNumberFormat="1" applyFill="1" applyBorder="1"/>
    <xf numFmtId="0" fontId="2" fillId="6" borderId="1" xfId="0" applyFont="1" applyFill="1" applyBorder="1"/>
    <xf numFmtId="164" fontId="0" fillId="6" borderId="4" xfId="0" applyNumberFormat="1" applyFill="1" applyBorder="1"/>
    <xf numFmtId="0" fontId="0" fillId="6" borderId="7" xfId="0" applyFill="1" applyBorder="1"/>
    <xf numFmtId="0" fontId="0" fillId="6" borderId="6" xfId="0" applyFill="1" applyBorder="1"/>
    <xf numFmtId="0" fontId="0" fillId="0" borderId="0" xfId="0" applyBorder="1"/>
    <xf numFmtId="0" fontId="0" fillId="0" borderId="10" xfId="0" applyBorder="1"/>
    <xf numFmtId="0" fontId="2" fillId="0" borderId="11" xfId="0" applyFont="1" applyBorder="1"/>
    <xf numFmtId="0" fontId="2" fillId="0" borderId="8" xfId="0" applyFont="1" applyBorder="1"/>
    <xf numFmtId="0" fontId="0" fillId="0" borderId="12" xfId="0" applyBorder="1"/>
    <xf numFmtId="0" fontId="0" fillId="0" borderId="13" xfId="0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0" fontId="2" fillId="0" borderId="13" xfId="0" applyFont="1" applyBorder="1"/>
    <xf numFmtId="164" fontId="2" fillId="0" borderId="10" xfId="0" applyNumberFormat="1" applyFont="1" applyBorder="1"/>
    <xf numFmtId="164" fontId="2" fillId="0" borderId="8" xfId="0" applyNumberFormat="1" applyFont="1" applyBorder="1"/>
    <xf numFmtId="0" fontId="0" fillId="0" borderId="12" xfId="0" applyFill="1" applyBorder="1"/>
    <xf numFmtId="0" fontId="0" fillId="0" borderId="9" xfId="0" applyFill="1" applyBorder="1"/>
    <xf numFmtId="0" fontId="0" fillId="0" borderId="0" xfId="0" quotePrefix="1"/>
    <xf numFmtId="0" fontId="0" fillId="7" borderId="0" xfId="0" applyFill="1"/>
    <xf numFmtId="0" fontId="0" fillId="0" borderId="0" xfId="0" applyFill="1"/>
    <xf numFmtId="0" fontId="0" fillId="0" borderId="9" xfId="0" applyBorder="1"/>
    <xf numFmtId="44" fontId="0" fillId="0" borderId="10" xfId="2" applyFont="1" applyBorder="1"/>
    <xf numFmtId="0" fontId="0" fillId="0" borderId="14" xfId="0" applyBorder="1"/>
    <xf numFmtId="0" fontId="2" fillId="0" borderId="12" xfId="0" applyFont="1" applyBorder="1"/>
    <xf numFmtId="0" fontId="0" fillId="0" borderId="8" xfId="0" applyBorder="1"/>
    <xf numFmtId="0" fontId="2" fillId="0" borderId="15" xfId="0" applyFont="1" applyBorder="1"/>
    <xf numFmtId="0" fontId="0" fillId="0" borderId="0" xfId="0" applyFont="1" applyFill="1" applyBorder="1"/>
    <xf numFmtId="0" fontId="0" fillId="0" borderId="9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" xfId="0" applyFill="1" applyBorder="1"/>
    <xf numFmtId="0" fontId="0" fillId="0" borderId="0" xfId="0" applyFill="1" applyBorder="1"/>
    <xf numFmtId="44" fontId="0" fillId="0" borderId="0" xfId="2" applyFont="1" applyBorder="1"/>
    <xf numFmtId="165" fontId="0" fillId="0" borderId="0" xfId="0" applyNumberForma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0" fillId="0" borderId="20" xfId="0" applyBorder="1"/>
    <xf numFmtId="166" fontId="0" fillId="0" borderId="0" xfId="0" applyNumberFormat="1" applyBorder="1"/>
    <xf numFmtId="7" fontId="0" fillId="0" borderId="0" xfId="0" applyNumberFormat="1" applyBorder="1"/>
    <xf numFmtId="0" fontId="0" fillId="0" borderId="21" xfId="0" applyBorder="1"/>
    <xf numFmtId="7" fontId="0" fillId="0" borderId="10" xfId="0" applyNumberFormat="1" applyBorder="1"/>
    <xf numFmtId="0" fontId="0" fillId="0" borderId="0" xfId="0" applyNumberFormat="1" applyBorder="1"/>
    <xf numFmtId="0" fontId="0" fillId="0" borderId="10" xfId="0" applyFill="1" applyBorder="1"/>
    <xf numFmtId="165" fontId="2" fillId="0" borderId="22" xfId="0" applyNumberFormat="1" applyFont="1" applyBorder="1"/>
    <xf numFmtId="165" fontId="0" fillId="0" borderId="20" xfId="0" applyNumberFormat="1" applyBorder="1"/>
    <xf numFmtId="0" fontId="0" fillId="0" borderId="0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16" xfId="0" applyFont="1" applyBorder="1"/>
    <xf numFmtId="44" fontId="2" fillId="0" borderId="16" xfId="2" applyFont="1" applyBorder="1"/>
    <xf numFmtId="0" fontId="2" fillId="0" borderId="0" xfId="0" applyFont="1" applyAlignment="1"/>
    <xf numFmtId="0" fontId="0" fillId="0" borderId="2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44" fontId="0" fillId="0" borderId="9" xfId="2" applyFont="1" applyBorder="1"/>
    <xf numFmtId="44" fontId="0" fillId="0" borderId="20" xfId="2" applyFont="1" applyBorder="1"/>
    <xf numFmtId="44" fontId="2" fillId="0" borderId="26" xfId="2" applyFont="1" applyBorder="1"/>
    <xf numFmtId="44" fontId="2" fillId="0" borderId="27" xfId="2" applyFont="1" applyBorder="1"/>
    <xf numFmtId="44" fontId="0" fillId="0" borderId="21" xfId="2" applyFont="1" applyBorder="1"/>
    <xf numFmtId="44" fontId="0" fillId="0" borderId="14" xfId="2" applyFont="1" applyBorder="1"/>
    <xf numFmtId="0" fontId="0" fillId="0" borderId="0" xfId="0" applyAlignment="1">
      <alignment vertical="center"/>
    </xf>
    <xf numFmtId="44" fontId="0" fillId="0" borderId="0" xfId="0" applyNumberFormat="1" applyBorder="1"/>
    <xf numFmtId="169" fontId="0" fillId="0" borderId="0" xfId="2" applyNumberFormat="1" applyFont="1" applyBorder="1"/>
    <xf numFmtId="169" fontId="0" fillId="0" borderId="0" xfId="0" applyNumberFormat="1" applyBorder="1"/>
    <xf numFmtId="169" fontId="0" fillId="0" borderId="9" xfId="0" applyNumberFormat="1" applyBorder="1"/>
    <xf numFmtId="169" fontId="0" fillId="0" borderId="9" xfId="2" applyNumberFormat="1" applyFont="1" applyBorder="1"/>
    <xf numFmtId="169" fontId="0" fillId="0" borderId="10" xfId="0" applyNumberFormat="1" applyBorder="1"/>
    <xf numFmtId="169" fontId="0" fillId="0" borderId="14" xfId="2" applyNumberFormat="1" applyFont="1" applyBorder="1"/>
    <xf numFmtId="169" fontId="0" fillId="0" borderId="10" xfId="2" applyNumberFormat="1" applyFont="1" applyBorder="1"/>
    <xf numFmtId="169" fontId="0" fillId="0" borderId="14" xfId="0" applyNumberFormat="1" applyBorder="1"/>
    <xf numFmtId="169" fontId="0" fillId="0" borderId="12" xfId="0" applyNumberFormat="1" applyBorder="1"/>
    <xf numFmtId="169" fontId="0" fillId="0" borderId="0" xfId="0" applyNumberFormat="1" applyFill="1" applyBorder="1"/>
    <xf numFmtId="169" fontId="2" fillId="0" borderId="11" xfId="0" applyNumberFormat="1" applyFont="1" applyBorder="1"/>
    <xf numFmtId="169" fontId="2" fillId="0" borderId="15" xfId="0" applyNumberFormat="1" applyFont="1" applyBorder="1"/>
    <xf numFmtId="169" fontId="2" fillId="0" borderId="8" xfId="0" applyNumberFormat="1" applyFont="1" applyBorder="1"/>
    <xf numFmtId="169" fontId="0" fillId="0" borderId="0" xfId="0" applyNumberFormat="1"/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1" fontId="0" fillId="0" borderId="18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0" applyNumberFormat="1" applyAlignment="1">
      <alignment horizontal="center"/>
    </xf>
  </cellXfs>
  <cellStyles count="28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Implementation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Sheet2!$AI$2</c:f>
              <c:strCache>
                <c:ptCount val="1"/>
                <c:pt idx="0">
                  <c:v>ELY 10 DR 3%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Sheet2!$AG$3:$AG$8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Sheet2!$AI$3:$AI$8</c:f>
              <c:numCache>
                <c:formatCode>_("$"* #,##0.00_);_("$"* \(#,##0.00\);_("$"* "-"??_);_(@_)</c:formatCode>
                <c:ptCount val="6"/>
                <c:pt idx="0">
                  <c:v>1805.197424776666</c:v>
                </c:pt>
                <c:pt idx="1">
                  <c:v>1601.763059846485</c:v>
                </c:pt>
                <c:pt idx="2">
                  <c:v>1567.857332358121</c:v>
                </c:pt>
                <c:pt idx="3">
                  <c:v>1533.951604869757</c:v>
                </c:pt>
                <c:pt idx="4">
                  <c:v>1500.045877381393</c:v>
                </c:pt>
                <c:pt idx="5">
                  <c:v>1466.14014989303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CD-4C8F-A243-1A1E64E130B5}"/>
            </c:ext>
          </c:extLst>
        </c:ser>
        <c:ser>
          <c:idx val="1"/>
          <c:order val="1"/>
          <c:tx>
            <c:strRef>
              <c:f>Sheet2!$AH$2</c:f>
              <c:strCache>
                <c:ptCount val="1"/>
                <c:pt idx="0">
                  <c:v>ELY 10 DR 1%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Sheet2!$AG$3:$AG$8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Sheet2!$AH$3:$AH$8</c:f>
              <c:numCache>
                <c:formatCode>_("$"* #,##0.00_);_("$"* \(#,##0.00\);_("$"* "-"??_);_(@_)</c:formatCode>
                <c:ptCount val="6"/>
                <c:pt idx="0">
                  <c:v>1767.726595871368</c:v>
                </c:pt>
                <c:pt idx="1">
                  <c:v>1564.292230941186</c:v>
                </c:pt>
                <c:pt idx="2">
                  <c:v>1530.386503452822</c:v>
                </c:pt>
                <c:pt idx="3">
                  <c:v>1496.480775964458</c:v>
                </c:pt>
                <c:pt idx="4">
                  <c:v>1462.575048476095</c:v>
                </c:pt>
                <c:pt idx="5">
                  <c:v>1428.669320987731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CD-4C8F-A243-1A1E64E130B5}"/>
            </c:ext>
          </c:extLst>
        </c:ser>
        <c:ser>
          <c:idx val="2"/>
          <c:order val="2"/>
          <c:tx>
            <c:strRef>
              <c:f>Sheet2!$AJ$2</c:f>
              <c:strCache>
                <c:ptCount val="1"/>
                <c:pt idx="0">
                  <c:v>ELY 10 DR 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Sheet2!$AG$3:$AG$8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Sheet2!$AJ$3:$AJ$8</c:f>
              <c:numCache>
                <c:formatCode>_("$"* #,##0.00_);_("$"* \(#,##0.00\);_("$"* "-"??_);_(@_)</c:formatCode>
                <c:ptCount val="6"/>
                <c:pt idx="0">
                  <c:v>1865.150633704228</c:v>
                </c:pt>
                <c:pt idx="1">
                  <c:v>1661.716268774045</c:v>
                </c:pt>
                <c:pt idx="2">
                  <c:v>1627.810541285681</c:v>
                </c:pt>
                <c:pt idx="3">
                  <c:v>1593.904813797318</c:v>
                </c:pt>
                <c:pt idx="4">
                  <c:v>1559.999086308954</c:v>
                </c:pt>
                <c:pt idx="5">
                  <c:v>1526.09335882059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CD-4C8F-A243-1A1E64E130B5}"/>
            </c:ext>
          </c:extLst>
        </c:ser>
        <c:ser>
          <c:idx val="3"/>
          <c:order val="3"/>
          <c:tx>
            <c:strRef>
              <c:f>Sheet2!$AK$2</c:f>
              <c:strCache>
                <c:ptCount val="1"/>
                <c:pt idx="0">
                  <c:v>ELY 5 DR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Sheet2!$AG$3:$AG$8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Sheet2!$AK$3:$AK$8</c:f>
              <c:numCache>
                <c:formatCode>_("$"* #,##0.00_);_("$"* \(#,##0.00\);_("$"* "-"??_);_(@_)</c:formatCode>
                <c:ptCount val="6"/>
                <c:pt idx="0">
                  <c:v>2090.880371592819</c:v>
                </c:pt>
                <c:pt idx="1">
                  <c:v>1887.446006662637</c:v>
                </c:pt>
                <c:pt idx="2">
                  <c:v>1853.540279174273</c:v>
                </c:pt>
                <c:pt idx="3">
                  <c:v>1819.634551685909</c:v>
                </c:pt>
                <c:pt idx="4">
                  <c:v>1785.728824197545</c:v>
                </c:pt>
                <c:pt idx="5">
                  <c:v>1751.823096709181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CD-4C8F-A243-1A1E64E130B5}"/>
            </c:ext>
          </c:extLst>
        </c:ser>
        <c:ser>
          <c:idx val="4"/>
          <c:order val="4"/>
          <c:tx>
            <c:strRef>
              <c:f>Sheet2!$AL$2</c:f>
              <c:strCache>
                <c:ptCount val="1"/>
                <c:pt idx="0">
                  <c:v>ELY 5 DR 3%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Sheet2!$AG$3:$AG$8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Sheet2!$AL$3:$AL$8</c:f>
              <c:numCache>
                <c:formatCode>_("$"* #,##0.00_);_("$"* \(#,##0.00\);_("$"* "-"??_);_(@_)</c:formatCode>
                <c:ptCount val="6"/>
                <c:pt idx="0">
                  <c:v>2124.852697771363</c:v>
                </c:pt>
                <c:pt idx="1">
                  <c:v>1921.418332841181</c:v>
                </c:pt>
                <c:pt idx="2">
                  <c:v>1887.512605352817</c:v>
                </c:pt>
                <c:pt idx="3">
                  <c:v>1853.606877864453</c:v>
                </c:pt>
                <c:pt idx="4">
                  <c:v>1819.70115037609</c:v>
                </c:pt>
                <c:pt idx="5">
                  <c:v>1785.795422887725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5CD-4C8F-A243-1A1E64E130B5}"/>
            </c:ext>
          </c:extLst>
        </c:ser>
        <c:ser>
          <c:idx val="5"/>
          <c:order val="5"/>
          <c:tx>
            <c:strRef>
              <c:f>Sheet2!$AM$2</c:f>
              <c:strCache>
                <c:ptCount val="1"/>
                <c:pt idx="0">
                  <c:v>ELY 5 DR 6%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Sheet2!$AG$3:$AG$8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Sheet2!$AM$3:$AM$8</c:f>
              <c:numCache>
                <c:formatCode>_("$"* #,##0.00_);_("$"* \(#,##0.00\);_("$"* "-"??_);_(@_)</c:formatCode>
                <c:ptCount val="6"/>
                <c:pt idx="0">
                  <c:v>2166.897697706825</c:v>
                </c:pt>
                <c:pt idx="1">
                  <c:v>1963.463332776642</c:v>
                </c:pt>
                <c:pt idx="2">
                  <c:v>1929.557605288279</c:v>
                </c:pt>
                <c:pt idx="3">
                  <c:v>1895.651877799915</c:v>
                </c:pt>
                <c:pt idx="4">
                  <c:v>1861.746150311551</c:v>
                </c:pt>
                <c:pt idx="5">
                  <c:v>1827.840422823187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5CD-4C8F-A243-1A1E64E130B5}"/>
            </c:ext>
          </c:extLst>
        </c:ser>
        <c:ser>
          <c:idx val="6"/>
          <c:order val="6"/>
          <c:tx>
            <c:strRef>
              <c:f>Sheet2!$AN$2</c:f>
              <c:strCache>
                <c:ptCount val="1"/>
                <c:pt idx="0">
                  <c:v>ELY 15 DR 1%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Sheet2!$AG$3:$AG$8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Sheet2!$AN$3:$AN$8</c:f>
              <c:numCache>
                <c:formatCode>_("$"* #,##0.00_);_("$"* \(#,##0.00\);_("$"* "-"??_);_(@_)</c:formatCode>
                <c:ptCount val="6"/>
                <c:pt idx="0">
                  <c:v>1660.097491108555</c:v>
                </c:pt>
                <c:pt idx="1">
                  <c:v>1456.663126178372</c:v>
                </c:pt>
                <c:pt idx="2">
                  <c:v>1422.757398690009</c:v>
                </c:pt>
                <c:pt idx="3">
                  <c:v>1388.851671201645</c:v>
                </c:pt>
                <c:pt idx="4">
                  <c:v>1354.945943713281</c:v>
                </c:pt>
                <c:pt idx="5">
                  <c:v>1321.040216224917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5CD-4C8F-A243-1A1E64E130B5}"/>
            </c:ext>
          </c:extLst>
        </c:ser>
        <c:ser>
          <c:idx val="7"/>
          <c:order val="7"/>
          <c:tx>
            <c:strRef>
              <c:f>Sheet2!$AO$2</c:f>
              <c:strCache>
                <c:ptCount val="1"/>
                <c:pt idx="0">
                  <c:v>ELY 15 DR 3%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Sheet2!$AG$3:$AG$8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Sheet2!$AO$3:$AO$8</c:f>
              <c:numCache>
                <c:formatCode>_("$"* #,##0.00_);_("$"* \(#,##0.00\);_("$"* "-"??_);_(@_)</c:formatCode>
                <c:ptCount val="6"/>
                <c:pt idx="0">
                  <c:v>1697.550210071563</c:v>
                </c:pt>
                <c:pt idx="1">
                  <c:v>1494.11584514138</c:v>
                </c:pt>
                <c:pt idx="2">
                  <c:v>1460.210117653016</c:v>
                </c:pt>
                <c:pt idx="3">
                  <c:v>1426.304390164652</c:v>
                </c:pt>
                <c:pt idx="4">
                  <c:v>1392.398662676289</c:v>
                </c:pt>
                <c:pt idx="5">
                  <c:v>1358.492935187925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5CD-4C8F-A243-1A1E64E130B5}"/>
            </c:ext>
          </c:extLst>
        </c:ser>
        <c:ser>
          <c:idx val="8"/>
          <c:order val="8"/>
          <c:tx>
            <c:strRef>
              <c:f>Sheet2!$AP$2</c:f>
              <c:strCache>
                <c:ptCount val="1"/>
                <c:pt idx="0">
                  <c:v>ELY 15 DR 6%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Sheet2!$AG$3:$AG$8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12.0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Sheet2!$AP$3:$AP$8</c:f>
              <c:numCache>
                <c:formatCode>_("$"* #,##0.00_);_("$"* \(#,##0.00\);_("$"* "-"??_);_(@_)</c:formatCode>
                <c:ptCount val="6"/>
                <c:pt idx="0">
                  <c:v>1759.300755335433</c:v>
                </c:pt>
                <c:pt idx="1">
                  <c:v>1555.86639040525</c:v>
                </c:pt>
                <c:pt idx="2">
                  <c:v>1521.960662916887</c:v>
                </c:pt>
                <c:pt idx="3">
                  <c:v>1488.054935428523</c:v>
                </c:pt>
                <c:pt idx="4">
                  <c:v>1454.149207940159</c:v>
                </c:pt>
                <c:pt idx="5">
                  <c:v>1420.243480451795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5CD-4C8F-A243-1A1E64E1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4020800"/>
        <c:axId val="-1654016768"/>
      </c:scatterChart>
      <c:valAx>
        <c:axId val="-16540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Capacity (Clinic)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016768"/>
        <c:crosses val="autoZero"/>
        <c:crossBetween val="midCat"/>
      </c:valAx>
      <c:valAx>
        <c:axId val="-16540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Clinic Annualized Implementation Costs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02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Annuitized Implementation Costs per Patient per Clinic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Sheet2!$AH$19</c:f>
              <c:strCache>
                <c:ptCount val="1"/>
                <c:pt idx="0">
                  <c:v>ELY 10 DR 1%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Sheet2!$AG$20:$AG$31</c:f>
              <c:numCache>
                <c:formatCode>General</c:formatCode>
                <c:ptCount val="12"/>
                <c:pt idx="0" formatCode="0">
                  <c:v>25.6121903883714</c:v>
                </c:pt>
                <c:pt idx="1">
                  <c:v>102.0</c:v>
                </c:pt>
                <c:pt idx="2">
                  <c:v>163.0</c:v>
                </c:pt>
                <c:pt idx="3">
                  <c:v>169.0</c:v>
                </c:pt>
                <c:pt idx="4">
                  <c:v>271.0</c:v>
                </c:pt>
                <c:pt idx="5">
                  <c:v>283.0</c:v>
                </c:pt>
                <c:pt idx="6">
                  <c:v>312.0</c:v>
                </c:pt>
                <c:pt idx="7">
                  <c:v>364.0</c:v>
                </c:pt>
                <c:pt idx="8">
                  <c:v>371.0</c:v>
                </c:pt>
                <c:pt idx="9">
                  <c:v>384.0</c:v>
                </c:pt>
                <c:pt idx="10">
                  <c:v>393.0</c:v>
                </c:pt>
                <c:pt idx="11" formatCode="0">
                  <c:v>516.3878096116287</c:v>
                </c:pt>
              </c:numCache>
            </c:numRef>
          </c:xVal>
          <c:yVal>
            <c:numRef>
              <c:f>Sheet2!$AH$20:$AH$31</c:f>
              <c:numCache>
                <c:formatCode>_("$"* #,##0.00_);_("$"* \(#,##0.00\);_("$"* "-"??_);_(@_)</c:formatCode>
                <c:ptCount val="12"/>
                <c:pt idx="0">
                  <c:v>61.07608163226114</c:v>
                </c:pt>
                <c:pt idx="1">
                  <c:v>15.33619834256065</c:v>
                </c:pt>
                <c:pt idx="2">
                  <c:v>9.59688485239991</c:v>
                </c:pt>
                <c:pt idx="3">
                  <c:v>9.256167046989265</c:v>
                </c:pt>
                <c:pt idx="4">
                  <c:v>5.772296055133526</c:v>
                </c:pt>
                <c:pt idx="5">
                  <c:v>5.527534384951187</c:v>
                </c:pt>
                <c:pt idx="6">
                  <c:v>5.013757150452519</c:v>
                </c:pt>
                <c:pt idx="7">
                  <c:v>4.297506128959302</c:v>
                </c:pt>
                <c:pt idx="8">
                  <c:v>4.216421107658183</c:v>
                </c:pt>
                <c:pt idx="9">
                  <c:v>4.07367768474267</c:v>
                </c:pt>
                <c:pt idx="10">
                  <c:v>3.980387356084442</c:v>
                </c:pt>
                <c:pt idx="11">
                  <c:v>3.029297364935238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50-4354-95B5-547289BBDDBE}"/>
            </c:ext>
          </c:extLst>
        </c:ser>
        <c:ser>
          <c:idx val="1"/>
          <c:order val="1"/>
          <c:tx>
            <c:strRef>
              <c:f>Sheet2!$AI$19</c:f>
              <c:strCache>
                <c:ptCount val="1"/>
                <c:pt idx="0">
                  <c:v>ELY 10 DR 3%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Sheet2!$AG$20:$AG$31</c:f>
              <c:numCache>
                <c:formatCode>General</c:formatCode>
                <c:ptCount val="12"/>
                <c:pt idx="0" formatCode="0">
                  <c:v>25.6121903883714</c:v>
                </c:pt>
                <c:pt idx="1">
                  <c:v>102.0</c:v>
                </c:pt>
                <c:pt idx="2">
                  <c:v>163.0</c:v>
                </c:pt>
                <c:pt idx="3">
                  <c:v>169.0</c:v>
                </c:pt>
                <c:pt idx="4">
                  <c:v>271.0</c:v>
                </c:pt>
                <c:pt idx="5">
                  <c:v>283.0</c:v>
                </c:pt>
                <c:pt idx="6">
                  <c:v>312.0</c:v>
                </c:pt>
                <c:pt idx="7">
                  <c:v>364.0</c:v>
                </c:pt>
                <c:pt idx="8">
                  <c:v>371.0</c:v>
                </c:pt>
                <c:pt idx="9">
                  <c:v>384.0</c:v>
                </c:pt>
                <c:pt idx="10">
                  <c:v>393.0</c:v>
                </c:pt>
                <c:pt idx="11" formatCode="0">
                  <c:v>516.3878096116287</c:v>
                </c:pt>
              </c:numCache>
            </c:numRef>
          </c:xVal>
          <c:yVal>
            <c:numRef>
              <c:f>Sheet2!$AI$20:$AI$31</c:f>
              <c:numCache>
                <c:formatCode>_("$"* #,##0.00_);_("$"* \(#,##0.00\);_("$"* "-"??_);_(@_)</c:formatCode>
                <c:ptCount val="12"/>
                <c:pt idx="0">
                  <c:v>62.53908922111271</c:v>
                </c:pt>
                <c:pt idx="1">
                  <c:v>15.70355941025965</c:v>
                </c:pt>
                <c:pt idx="2">
                  <c:v>9.82676723832199</c:v>
                </c:pt>
                <c:pt idx="3">
                  <c:v>9.477887928085706</c:v>
                </c:pt>
                <c:pt idx="4">
                  <c:v>5.910564796481493</c:v>
                </c:pt>
                <c:pt idx="5">
                  <c:v>5.659940140800299</c:v>
                </c:pt>
                <c:pt idx="6">
                  <c:v>5.133855961046425</c:v>
                </c:pt>
                <c:pt idx="7">
                  <c:v>4.400447966611221</c:v>
                </c:pt>
                <c:pt idx="8">
                  <c:v>4.317420646486481</c:v>
                </c:pt>
                <c:pt idx="9">
                  <c:v>4.17125796835022</c:v>
                </c:pt>
                <c:pt idx="10">
                  <c:v>4.075732976708612</c:v>
                </c:pt>
                <c:pt idx="11">
                  <c:v>3.101860714045822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50-4354-95B5-547289BBDDBE}"/>
            </c:ext>
          </c:extLst>
        </c:ser>
        <c:ser>
          <c:idx val="2"/>
          <c:order val="2"/>
          <c:tx>
            <c:strRef>
              <c:f>Sheet2!$AJ$19</c:f>
              <c:strCache>
                <c:ptCount val="1"/>
                <c:pt idx="0">
                  <c:v>ELY 10 DR 6%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Sheet2!$AG$20:$AG$31</c:f>
              <c:numCache>
                <c:formatCode>General</c:formatCode>
                <c:ptCount val="12"/>
                <c:pt idx="0" formatCode="0">
                  <c:v>25.6121903883714</c:v>
                </c:pt>
                <c:pt idx="1">
                  <c:v>102.0</c:v>
                </c:pt>
                <c:pt idx="2">
                  <c:v>163.0</c:v>
                </c:pt>
                <c:pt idx="3">
                  <c:v>169.0</c:v>
                </c:pt>
                <c:pt idx="4">
                  <c:v>271.0</c:v>
                </c:pt>
                <c:pt idx="5">
                  <c:v>283.0</c:v>
                </c:pt>
                <c:pt idx="6">
                  <c:v>312.0</c:v>
                </c:pt>
                <c:pt idx="7">
                  <c:v>364.0</c:v>
                </c:pt>
                <c:pt idx="8">
                  <c:v>371.0</c:v>
                </c:pt>
                <c:pt idx="9">
                  <c:v>384.0</c:v>
                </c:pt>
                <c:pt idx="10">
                  <c:v>393.0</c:v>
                </c:pt>
                <c:pt idx="11" formatCode="0">
                  <c:v>516.3878096116287</c:v>
                </c:pt>
              </c:numCache>
            </c:numRef>
          </c:xVal>
          <c:yVal>
            <c:numRef>
              <c:f>Sheet2!$AJ$20:$AJ$31</c:f>
              <c:numCache>
                <c:formatCode>_("$"* #,##0.00_);_("$"* \(#,##0.00\);_("$"* "-"??_);_(@_)</c:formatCode>
                <c:ptCount val="12"/>
                <c:pt idx="0">
                  <c:v>64.87989678260816</c:v>
                </c:pt>
                <c:pt idx="1">
                  <c:v>16.29133596837299</c:v>
                </c:pt>
                <c:pt idx="2">
                  <c:v>10.19457833603709</c:v>
                </c:pt>
                <c:pt idx="3">
                  <c:v>9.832640643633403</c:v>
                </c:pt>
                <c:pt idx="4">
                  <c:v>6.131794349719724</c:v>
                </c:pt>
                <c:pt idx="5">
                  <c:v>5.871788935597332</c:v>
                </c:pt>
                <c:pt idx="6">
                  <c:v>5.326013681968093</c:v>
                </c:pt>
                <c:pt idx="7">
                  <c:v>4.56515458454408</c:v>
                </c:pt>
                <c:pt idx="8">
                  <c:v>4.47901959238287</c:v>
                </c:pt>
                <c:pt idx="9">
                  <c:v>4.327386116599076</c:v>
                </c:pt>
                <c:pt idx="10">
                  <c:v>4.228285671180776</c:v>
                </c:pt>
                <c:pt idx="11">
                  <c:v>3.217961845427391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50-4354-95B5-547289BBDDBE}"/>
            </c:ext>
          </c:extLst>
        </c:ser>
        <c:ser>
          <c:idx val="3"/>
          <c:order val="3"/>
          <c:tx>
            <c:strRef>
              <c:f>Sheet2!$AK$19</c:f>
              <c:strCache>
                <c:ptCount val="1"/>
                <c:pt idx="0">
                  <c:v>ELY 5 DR 1%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Sheet2!$AG$20:$AG$31</c:f>
              <c:numCache>
                <c:formatCode>General</c:formatCode>
                <c:ptCount val="12"/>
                <c:pt idx="0" formatCode="0">
                  <c:v>25.6121903883714</c:v>
                </c:pt>
                <c:pt idx="1">
                  <c:v>102.0</c:v>
                </c:pt>
                <c:pt idx="2">
                  <c:v>163.0</c:v>
                </c:pt>
                <c:pt idx="3">
                  <c:v>169.0</c:v>
                </c:pt>
                <c:pt idx="4">
                  <c:v>271.0</c:v>
                </c:pt>
                <c:pt idx="5">
                  <c:v>283.0</c:v>
                </c:pt>
                <c:pt idx="6">
                  <c:v>312.0</c:v>
                </c:pt>
                <c:pt idx="7">
                  <c:v>364.0</c:v>
                </c:pt>
                <c:pt idx="8">
                  <c:v>371.0</c:v>
                </c:pt>
                <c:pt idx="9">
                  <c:v>384.0</c:v>
                </c:pt>
                <c:pt idx="10">
                  <c:v>393.0</c:v>
                </c:pt>
                <c:pt idx="11" formatCode="0">
                  <c:v>516.3878096116287</c:v>
                </c:pt>
              </c:numCache>
            </c:numRef>
          </c:xVal>
          <c:yVal>
            <c:numRef>
              <c:f>Sheet2!$AK$20:$AK$31</c:f>
              <c:numCache>
                <c:formatCode>_("$"* #,##0.00_);_("$"* \(#,##0.00\);_("$"* "-"??_);_(@_)</c:formatCode>
                <c:ptCount val="12"/>
                <c:pt idx="0">
                  <c:v>73.69326785574677</c:v>
                </c:pt>
                <c:pt idx="1">
                  <c:v>18.50437261433957</c:v>
                </c:pt>
                <c:pt idx="2">
                  <c:v>11.57942335375851</c:v>
                </c:pt>
                <c:pt idx="3">
                  <c:v>11.1683195660511</c:v>
                </c:pt>
                <c:pt idx="4">
                  <c:v>6.96474541203925</c:v>
                </c:pt>
                <c:pt idx="5">
                  <c:v>6.669420518242532</c:v>
                </c:pt>
                <c:pt idx="6">
                  <c:v>6.049506431611014</c:v>
                </c:pt>
                <c:pt idx="7">
                  <c:v>5.185291227095155</c:v>
                </c:pt>
                <c:pt idx="8">
                  <c:v>5.087455543565058</c:v>
                </c:pt>
                <c:pt idx="9">
                  <c:v>4.91522397568395</c:v>
                </c:pt>
                <c:pt idx="10">
                  <c:v>4.802661594561416</c:v>
                </c:pt>
                <c:pt idx="11">
                  <c:v>3.655094042754747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50-4354-95B5-547289BBDDBE}"/>
            </c:ext>
          </c:extLst>
        </c:ser>
        <c:ser>
          <c:idx val="4"/>
          <c:order val="4"/>
          <c:tx>
            <c:strRef>
              <c:f>Sheet2!$AL$19</c:f>
              <c:strCache>
                <c:ptCount val="1"/>
                <c:pt idx="0">
                  <c:v>ELY 5 DR 3%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Sheet2!$AG$20:$AG$31</c:f>
              <c:numCache>
                <c:formatCode>General</c:formatCode>
                <c:ptCount val="12"/>
                <c:pt idx="0" formatCode="0">
                  <c:v>25.6121903883714</c:v>
                </c:pt>
                <c:pt idx="1">
                  <c:v>102.0</c:v>
                </c:pt>
                <c:pt idx="2">
                  <c:v>163.0</c:v>
                </c:pt>
                <c:pt idx="3">
                  <c:v>169.0</c:v>
                </c:pt>
                <c:pt idx="4">
                  <c:v>271.0</c:v>
                </c:pt>
                <c:pt idx="5">
                  <c:v>283.0</c:v>
                </c:pt>
                <c:pt idx="6">
                  <c:v>312.0</c:v>
                </c:pt>
                <c:pt idx="7">
                  <c:v>364.0</c:v>
                </c:pt>
                <c:pt idx="8">
                  <c:v>371.0</c:v>
                </c:pt>
                <c:pt idx="9">
                  <c:v>384.0</c:v>
                </c:pt>
                <c:pt idx="10">
                  <c:v>393.0</c:v>
                </c:pt>
                <c:pt idx="11" formatCode="0">
                  <c:v>516.3878096116287</c:v>
                </c:pt>
              </c:numCache>
            </c:numRef>
          </c:xVal>
          <c:yVal>
            <c:numRef>
              <c:f>Sheet2!$AL$20:$AL$31</c:f>
              <c:numCache>
                <c:formatCode>_("$"* #,##0.00_);_("$"* \(#,##0.00\);_("$"* "-"??_);_(@_)</c:formatCode>
                <c:ptCount val="12"/>
                <c:pt idx="0">
                  <c:v>75.01968022670776</c:v>
                </c:pt>
                <c:pt idx="1">
                  <c:v>18.83743463569785</c:v>
                </c:pt>
                <c:pt idx="2">
                  <c:v>11.78784253276798</c:v>
                </c:pt>
                <c:pt idx="3">
                  <c:v>11.36933924758095</c:v>
                </c:pt>
                <c:pt idx="4">
                  <c:v>7.090104549229449</c:v>
                </c:pt>
                <c:pt idx="5">
                  <c:v>6.789464073643747</c:v>
                </c:pt>
                <c:pt idx="6">
                  <c:v>6.158392092439681</c:v>
                </c:pt>
                <c:pt idx="7">
                  <c:v>5.278621793519727</c:v>
                </c:pt>
                <c:pt idx="8">
                  <c:v>5.179025155906147</c:v>
                </c:pt>
                <c:pt idx="9">
                  <c:v>5.003693575107241</c:v>
                </c:pt>
                <c:pt idx="10">
                  <c:v>4.88910517262387</c:v>
                </c:pt>
                <c:pt idx="11">
                  <c:v>3.720882439665384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C50-4354-95B5-547289BBDDBE}"/>
            </c:ext>
          </c:extLst>
        </c:ser>
        <c:ser>
          <c:idx val="5"/>
          <c:order val="5"/>
          <c:tx>
            <c:strRef>
              <c:f>Sheet2!$AM$19</c:f>
              <c:strCache>
                <c:ptCount val="1"/>
                <c:pt idx="0">
                  <c:v>ELY 5 DR 6%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Sheet2!$AG$20:$AG$31</c:f>
              <c:numCache>
                <c:formatCode>General</c:formatCode>
                <c:ptCount val="12"/>
                <c:pt idx="0" formatCode="0">
                  <c:v>25.6121903883714</c:v>
                </c:pt>
                <c:pt idx="1">
                  <c:v>102.0</c:v>
                </c:pt>
                <c:pt idx="2">
                  <c:v>163.0</c:v>
                </c:pt>
                <c:pt idx="3">
                  <c:v>169.0</c:v>
                </c:pt>
                <c:pt idx="4">
                  <c:v>271.0</c:v>
                </c:pt>
                <c:pt idx="5">
                  <c:v>283.0</c:v>
                </c:pt>
                <c:pt idx="6">
                  <c:v>312.0</c:v>
                </c:pt>
                <c:pt idx="7">
                  <c:v>364.0</c:v>
                </c:pt>
                <c:pt idx="8">
                  <c:v>371.0</c:v>
                </c:pt>
                <c:pt idx="9">
                  <c:v>384.0</c:v>
                </c:pt>
                <c:pt idx="10">
                  <c:v>393.0</c:v>
                </c:pt>
                <c:pt idx="11" formatCode="0">
                  <c:v>516.3878096116287</c:v>
                </c:pt>
              </c:numCache>
            </c:numRef>
          </c:xVal>
          <c:yVal>
            <c:numRef>
              <c:f>Sheet2!$AM$20:$AM$31</c:f>
              <c:numCache>
                <c:formatCode>_("$"* #,##0.00_);_("$"* \(#,##0.00\);_("$"* "-"??_);_(@_)</c:formatCode>
                <c:ptCount val="12"/>
                <c:pt idx="0">
                  <c:v>76.66128132750823</c:v>
                </c:pt>
                <c:pt idx="1">
                  <c:v>19.24964051741806</c:v>
                </c:pt>
                <c:pt idx="2">
                  <c:v>12.04578731764811</c:v>
                </c:pt>
                <c:pt idx="3">
                  <c:v>11.61812622944759</c:v>
                </c:pt>
                <c:pt idx="4">
                  <c:v>7.245252150467314</c:v>
                </c:pt>
                <c:pt idx="5">
                  <c:v>6.938032978009337</c:v>
                </c:pt>
                <c:pt idx="6">
                  <c:v>6.293151707617444</c:v>
                </c:pt>
                <c:pt idx="7">
                  <c:v>5.394130035100666</c:v>
                </c:pt>
                <c:pt idx="8">
                  <c:v>5.29235399670254</c:v>
                </c:pt>
                <c:pt idx="9">
                  <c:v>5.113185762439173</c:v>
                </c:pt>
                <c:pt idx="10">
                  <c:v>4.996089905284077</c:v>
                </c:pt>
                <c:pt idx="11">
                  <c:v>3.80230380390534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C50-4354-95B5-547289BBDDBE}"/>
            </c:ext>
          </c:extLst>
        </c:ser>
        <c:ser>
          <c:idx val="6"/>
          <c:order val="6"/>
          <c:tx>
            <c:strRef>
              <c:f>Sheet2!$AN$19</c:f>
              <c:strCache>
                <c:ptCount val="1"/>
                <c:pt idx="0">
                  <c:v>ELY 15 DR 1%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Sheet2!$AG$20:$AG$31</c:f>
              <c:numCache>
                <c:formatCode>General</c:formatCode>
                <c:ptCount val="12"/>
                <c:pt idx="0" formatCode="0">
                  <c:v>25.6121903883714</c:v>
                </c:pt>
                <c:pt idx="1">
                  <c:v>102.0</c:v>
                </c:pt>
                <c:pt idx="2">
                  <c:v>163.0</c:v>
                </c:pt>
                <c:pt idx="3">
                  <c:v>169.0</c:v>
                </c:pt>
                <c:pt idx="4">
                  <c:v>271.0</c:v>
                </c:pt>
                <c:pt idx="5">
                  <c:v>283.0</c:v>
                </c:pt>
                <c:pt idx="6">
                  <c:v>312.0</c:v>
                </c:pt>
                <c:pt idx="7">
                  <c:v>364.0</c:v>
                </c:pt>
                <c:pt idx="8">
                  <c:v>371.0</c:v>
                </c:pt>
                <c:pt idx="9">
                  <c:v>384.0</c:v>
                </c:pt>
                <c:pt idx="10">
                  <c:v>393.0</c:v>
                </c:pt>
                <c:pt idx="11" formatCode="0">
                  <c:v>516.3878096116287</c:v>
                </c:pt>
              </c:numCache>
            </c:numRef>
          </c:xVal>
          <c:yVal>
            <c:numRef>
              <c:f>Sheet2!$AN$20:$AN$31</c:f>
              <c:numCache>
                <c:formatCode>_("$"* #,##0.00_);_("$"* \(#,##0.00\);_("$"* "-"??_);_(@_)</c:formatCode>
                <c:ptCount val="12"/>
                <c:pt idx="0">
                  <c:v>56.87382078963987</c:v>
                </c:pt>
                <c:pt idx="1">
                  <c:v>14.28101104096443</c:v>
                </c:pt>
                <c:pt idx="2">
                  <c:v>8.93658359618633</c:v>
                </c:pt>
                <c:pt idx="3">
                  <c:v>8.619308438925278</c:v>
                </c:pt>
                <c:pt idx="4">
                  <c:v>5.375140687005063</c:v>
                </c:pt>
                <c:pt idx="5">
                  <c:v>5.147219527132057</c:v>
                </c:pt>
                <c:pt idx="6">
                  <c:v>4.668792071084525</c:v>
                </c:pt>
                <c:pt idx="7">
                  <c:v>4.001821775215307</c:v>
                </c:pt>
                <c:pt idx="8">
                  <c:v>3.92631570398483</c:v>
                </c:pt>
                <c:pt idx="9">
                  <c:v>3.793393557756177</c:v>
                </c:pt>
                <c:pt idx="10">
                  <c:v>3.706521949563287</c:v>
                </c:pt>
                <c:pt idx="11">
                  <c:v>2.820870475764944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C50-4354-95B5-547289BBDDBE}"/>
            </c:ext>
          </c:extLst>
        </c:ser>
        <c:ser>
          <c:idx val="7"/>
          <c:order val="7"/>
          <c:tx>
            <c:strRef>
              <c:f>Sheet2!$AO$19</c:f>
              <c:strCache>
                <c:ptCount val="1"/>
                <c:pt idx="0">
                  <c:v>ELY 15 DR 3%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Sheet2!$AG$20:$AG$31</c:f>
              <c:numCache>
                <c:formatCode>General</c:formatCode>
                <c:ptCount val="12"/>
                <c:pt idx="0" formatCode="0">
                  <c:v>25.6121903883714</c:v>
                </c:pt>
                <c:pt idx="1">
                  <c:v>102.0</c:v>
                </c:pt>
                <c:pt idx="2">
                  <c:v>163.0</c:v>
                </c:pt>
                <c:pt idx="3">
                  <c:v>169.0</c:v>
                </c:pt>
                <c:pt idx="4">
                  <c:v>271.0</c:v>
                </c:pt>
                <c:pt idx="5">
                  <c:v>283.0</c:v>
                </c:pt>
                <c:pt idx="6">
                  <c:v>312.0</c:v>
                </c:pt>
                <c:pt idx="7">
                  <c:v>364.0</c:v>
                </c:pt>
                <c:pt idx="8">
                  <c:v>371.0</c:v>
                </c:pt>
                <c:pt idx="9">
                  <c:v>384.0</c:v>
                </c:pt>
                <c:pt idx="10">
                  <c:v>393.0</c:v>
                </c:pt>
                <c:pt idx="11" formatCode="0">
                  <c:v>516.3878096116287</c:v>
                </c:pt>
              </c:numCache>
            </c:numRef>
          </c:xVal>
          <c:yVal>
            <c:numRef>
              <c:f>Sheet2!$AO$20:$AO$31</c:f>
              <c:numCache>
                <c:formatCode>_("$"* #,##0.00_);_("$"* \(#,##0.00\);_("$"* "-"??_);_(@_)</c:formatCode>
                <c:ptCount val="12"/>
                <c:pt idx="0">
                  <c:v>58.33612129557444</c:v>
                </c:pt>
                <c:pt idx="1">
                  <c:v>14.64819456020961</c:v>
                </c:pt>
                <c:pt idx="2">
                  <c:v>9.166354878167973</c:v>
                </c:pt>
                <c:pt idx="3">
                  <c:v>8.840922160599881</c:v>
                </c:pt>
                <c:pt idx="4">
                  <c:v>5.513342601997712</c:v>
                </c:pt>
                <c:pt idx="5">
                  <c:v>5.279561290252225</c:v>
                </c:pt>
                <c:pt idx="6">
                  <c:v>4.788832836991602</c:v>
                </c:pt>
                <c:pt idx="7">
                  <c:v>4.104713860278516</c:v>
                </c:pt>
                <c:pt idx="8">
                  <c:v>4.027266428952506</c:v>
                </c:pt>
                <c:pt idx="9">
                  <c:v>3.890926680055676</c:v>
                </c:pt>
                <c:pt idx="10">
                  <c:v>3.801821488909364</c:v>
                </c:pt>
                <c:pt idx="11">
                  <c:v>2.893398754445991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C50-4354-95B5-547289BBDDBE}"/>
            </c:ext>
          </c:extLst>
        </c:ser>
        <c:ser>
          <c:idx val="8"/>
          <c:order val="8"/>
          <c:tx>
            <c:strRef>
              <c:f>Sheet2!$AP$19</c:f>
              <c:strCache>
                <c:ptCount val="1"/>
                <c:pt idx="0">
                  <c:v>ELY 15 DR 6%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Sheet2!$AG$20:$AG$31</c:f>
              <c:numCache>
                <c:formatCode>General</c:formatCode>
                <c:ptCount val="12"/>
                <c:pt idx="0" formatCode="0">
                  <c:v>25.6121903883714</c:v>
                </c:pt>
                <c:pt idx="1">
                  <c:v>102.0</c:v>
                </c:pt>
                <c:pt idx="2">
                  <c:v>163.0</c:v>
                </c:pt>
                <c:pt idx="3">
                  <c:v>169.0</c:v>
                </c:pt>
                <c:pt idx="4">
                  <c:v>271.0</c:v>
                </c:pt>
                <c:pt idx="5">
                  <c:v>283.0</c:v>
                </c:pt>
                <c:pt idx="6">
                  <c:v>312.0</c:v>
                </c:pt>
                <c:pt idx="7">
                  <c:v>364.0</c:v>
                </c:pt>
                <c:pt idx="8">
                  <c:v>371.0</c:v>
                </c:pt>
                <c:pt idx="9">
                  <c:v>384.0</c:v>
                </c:pt>
                <c:pt idx="10">
                  <c:v>393.0</c:v>
                </c:pt>
                <c:pt idx="11" formatCode="0">
                  <c:v>516.3878096116287</c:v>
                </c:pt>
              </c:numCache>
            </c:numRef>
          </c:xVal>
          <c:yVal>
            <c:numRef>
              <c:f>Sheet2!$AP$20:$AP$31</c:f>
              <c:numCache>
                <c:formatCode>_("$"* #,##0.00_);_("$"* \(#,##0.00\);_("$"* "-"??_);_(@_)</c:formatCode>
                <c:ptCount val="12"/>
                <c:pt idx="0">
                  <c:v>60.74710389126475</c:v>
                </c:pt>
                <c:pt idx="1">
                  <c:v>15.25359206279657</c:v>
                </c:pt>
                <c:pt idx="2">
                  <c:v>9.545192579173313</c:v>
                </c:pt>
                <c:pt idx="3">
                  <c:v>9.206310002397929</c:v>
                </c:pt>
                <c:pt idx="4">
                  <c:v>5.7412043926393</c:v>
                </c:pt>
                <c:pt idx="5">
                  <c:v>5.49776109683834</c:v>
                </c:pt>
                <c:pt idx="6">
                  <c:v>4.986751251298878</c:v>
                </c:pt>
                <c:pt idx="7">
                  <c:v>4.274358215399038</c:v>
                </c:pt>
                <c:pt idx="8">
                  <c:v>4.193709947183962</c:v>
                </c:pt>
                <c:pt idx="9">
                  <c:v>4.051735391680338</c:v>
                </c:pt>
                <c:pt idx="10">
                  <c:v>3.95894755828308</c:v>
                </c:pt>
                <c:pt idx="11">
                  <c:v>3.01298047987501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C50-4354-95B5-547289BB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6819584"/>
        <c:axId val="-1656817520"/>
      </c:scatterChart>
      <c:valAx>
        <c:axId val="-16568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817520"/>
        <c:crosses val="autoZero"/>
        <c:crossBetween val="midCat"/>
      </c:valAx>
      <c:valAx>
        <c:axId val="-16568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681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265747</xdr:colOff>
      <xdr:row>1</xdr:row>
      <xdr:rowOff>39530</xdr:rowOff>
    </xdr:from>
    <xdr:to>
      <xdr:col>53</xdr:col>
      <xdr:colOff>583405</xdr:colOff>
      <xdr:row>28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A729CE40-6CB4-45BB-9018-39D54A007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506095</xdr:colOff>
      <xdr:row>0</xdr:row>
      <xdr:rowOff>86913</xdr:rowOff>
    </xdr:from>
    <xdr:to>
      <xdr:col>67</xdr:col>
      <xdr:colOff>338667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C370694-9675-491F-8007-61C7AA401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thompson/Documents/Dowdy%20Econ/XPEL/Data/Cost/costs_rou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mplementation Costs"/>
      <sheetName val="Summary--Xpert"/>
      <sheetName val="Sheet4"/>
      <sheetName val="Summary-SSM"/>
      <sheetName val="Top-Down"/>
      <sheetName val="TAM"/>
      <sheetName val="Staff"/>
    </sheetNames>
    <sheetDataSet>
      <sheetData sheetId="0"/>
      <sheetData sheetId="1"/>
      <sheetData sheetId="2"/>
      <sheetData sheetId="3">
        <row r="65">
          <cell r="F65">
            <v>140</v>
          </cell>
        </row>
        <row r="66">
          <cell r="F66">
            <v>622</v>
          </cell>
        </row>
        <row r="67">
          <cell r="F67">
            <v>734</v>
          </cell>
        </row>
        <row r="69">
          <cell r="F69">
            <v>652</v>
          </cell>
        </row>
        <row r="70">
          <cell r="F70">
            <v>538</v>
          </cell>
        </row>
        <row r="72">
          <cell r="F72">
            <v>385</v>
          </cell>
        </row>
        <row r="73">
          <cell r="F73">
            <v>230</v>
          </cell>
        </row>
        <row r="74">
          <cell r="F74">
            <v>219</v>
          </cell>
        </row>
        <row r="77">
          <cell r="F77">
            <v>641</v>
          </cell>
        </row>
        <row r="78">
          <cell r="F78">
            <v>427</v>
          </cell>
        </row>
        <row r="79">
          <cell r="F79">
            <v>180</v>
          </cell>
        </row>
        <row r="80">
          <cell r="F80">
            <v>191</v>
          </cell>
        </row>
        <row r="81">
          <cell r="F81">
            <v>528</v>
          </cell>
        </row>
        <row r="82">
          <cell r="F82">
            <v>134</v>
          </cell>
        </row>
        <row r="83">
          <cell r="F83">
            <v>199</v>
          </cell>
        </row>
        <row r="84">
          <cell r="F84">
            <v>621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162"/>
  <sheetViews>
    <sheetView tabSelected="1" zoomScaleNormal="80" zoomScalePageLayoutView="80" workbookViewId="0">
      <selection activeCell="B13" sqref="B13"/>
    </sheetView>
  </sheetViews>
  <sheetFormatPr baseColWidth="10" defaultColWidth="8.83203125" defaultRowHeight="15" x14ac:dyDescent="0.2"/>
  <cols>
    <col min="1" max="1" width="36.5" bestFit="1" customWidth="1"/>
    <col min="2" max="2" width="42.5" bestFit="1" customWidth="1"/>
    <col min="3" max="3" width="19.5" bestFit="1" customWidth="1"/>
    <col min="4" max="4" width="17.83203125" bestFit="1" customWidth="1"/>
    <col min="5" max="5" width="16.83203125" style="3" bestFit="1" customWidth="1"/>
    <col min="6" max="6" width="19.6640625" bestFit="1" customWidth="1"/>
    <col min="7" max="7" width="19.83203125" bestFit="1" customWidth="1"/>
    <col min="8" max="8" width="12.83203125" style="2" bestFit="1" customWidth="1"/>
    <col min="9" max="9" width="19.33203125" bestFit="1" customWidth="1"/>
    <col min="10" max="10" width="9.83203125" bestFit="1" customWidth="1"/>
    <col min="11" max="11" width="12" bestFit="1" customWidth="1"/>
    <col min="12" max="12" width="17" bestFit="1" customWidth="1"/>
    <col min="22" max="22" width="29.6640625" bestFit="1" customWidth="1"/>
    <col min="23" max="23" width="22.83203125" customWidth="1"/>
    <col min="24" max="24" width="16.33203125" customWidth="1"/>
    <col min="25" max="25" width="18.33203125" customWidth="1"/>
    <col min="26" max="26" width="19" customWidth="1"/>
    <col min="27" max="27" width="29.1640625" customWidth="1"/>
    <col min="28" max="28" width="14" customWidth="1"/>
    <col min="32" max="32" width="12.6640625" customWidth="1"/>
    <col min="33" max="33" width="15.33203125" customWidth="1"/>
    <col min="34" max="34" width="15.1640625" bestFit="1" customWidth="1"/>
    <col min="35" max="35" width="17.1640625" bestFit="1" customWidth="1"/>
    <col min="36" max="36" width="17.83203125" bestFit="1" customWidth="1"/>
    <col min="37" max="37" width="27.33203125" bestFit="1" customWidth="1"/>
    <col min="38" max="38" width="17.1640625" customWidth="1"/>
    <col min="45" max="45" width="14.1640625" customWidth="1"/>
    <col min="46" max="46" width="19" customWidth="1"/>
    <col min="47" max="47" width="17.1640625" bestFit="1" customWidth="1"/>
    <col min="48" max="48" width="17.83203125" bestFit="1" customWidth="1"/>
    <col min="49" max="49" width="27.33203125" bestFit="1" customWidth="1"/>
    <col min="50" max="50" width="10.33203125" bestFit="1" customWidth="1"/>
  </cols>
  <sheetData>
    <row r="1" spans="1:50" x14ac:dyDescent="0.2">
      <c r="A1" t="s">
        <v>0</v>
      </c>
      <c r="H1" s="2">
        <f>SUM(H53:H58,H62,H64)</f>
        <v>10978.599773242633</v>
      </c>
    </row>
    <row r="2" spans="1:50" x14ac:dyDescent="0.2">
      <c r="A2" s="1" t="s">
        <v>1</v>
      </c>
      <c r="B2" s="1" t="s">
        <v>3</v>
      </c>
      <c r="C2" s="1" t="s">
        <v>13</v>
      </c>
      <c r="D2" s="1" t="s">
        <v>4</v>
      </c>
      <c r="E2" s="4" t="s">
        <v>10</v>
      </c>
      <c r="F2" s="1" t="s">
        <v>11</v>
      </c>
      <c r="G2" s="1" t="s">
        <v>34</v>
      </c>
      <c r="H2" s="5" t="s">
        <v>7</v>
      </c>
      <c r="I2" s="1" t="s">
        <v>84</v>
      </c>
      <c r="J2" s="1" t="s">
        <v>175</v>
      </c>
      <c r="K2" s="1" t="s">
        <v>176</v>
      </c>
      <c r="L2" s="1" t="s">
        <v>177</v>
      </c>
      <c r="M2" s="1" t="s">
        <v>90</v>
      </c>
      <c r="N2" s="1" t="s">
        <v>223</v>
      </c>
    </row>
    <row r="3" spans="1:50" x14ac:dyDescent="0.2">
      <c r="A3" s="6" t="s">
        <v>2</v>
      </c>
      <c r="B3" s="6" t="s">
        <v>5</v>
      </c>
      <c r="C3" s="6">
        <v>0</v>
      </c>
      <c r="D3" s="6" t="s">
        <v>6</v>
      </c>
      <c r="E3" s="7">
        <v>1750000</v>
      </c>
      <c r="F3" s="6">
        <v>1</v>
      </c>
      <c r="G3" s="8">
        <f t="shared" ref="G3:G10" si="0">E3*F3</f>
        <v>1750000</v>
      </c>
      <c r="H3" s="9">
        <f t="shared" ref="H3:H16" si="1">G3/3528</f>
        <v>496.03174603174602</v>
      </c>
      <c r="I3" t="s">
        <v>86</v>
      </c>
      <c r="J3" t="s">
        <v>167</v>
      </c>
      <c r="K3" t="s">
        <v>170</v>
      </c>
      <c r="L3" t="s">
        <v>179</v>
      </c>
      <c r="M3">
        <v>1</v>
      </c>
      <c r="N3" t="s">
        <v>222</v>
      </c>
      <c r="Q3" t="s">
        <v>94</v>
      </c>
      <c r="R3" t="s">
        <v>1</v>
      </c>
      <c r="W3" s="41"/>
      <c r="X3" s="41"/>
      <c r="Y3" s="41"/>
      <c r="Z3" s="41"/>
    </row>
    <row r="4" spans="1:50" x14ac:dyDescent="0.2">
      <c r="A4" s="6" t="s">
        <v>2</v>
      </c>
      <c r="B4" s="6" t="s">
        <v>8</v>
      </c>
      <c r="C4" s="6">
        <v>0</v>
      </c>
      <c r="D4" s="6" t="s">
        <v>6</v>
      </c>
      <c r="E4" s="7">
        <v>500000</v>
      </c>
      <c r="F4" s="6">
        <v>1</v>
      </c>
      <c r="G4" s="7">
        <f t="shared" si="0"/>
        <v>500000</v>
      </c>
      <c r="H4" s="9">
        <f t="shared" si="1"/>
        <v>141.7233560090703</v>
      </c>
      <c r="I4" t="s">
        <v>86</v>
      </c>
      <c r="J4" t="s">
        <v>167</v>
      </c>
      <c r="K4" t="s">
        <v>170</v>
      </c>
      <c r="L4" t="s">
        <v>179</v>
      </c>
      <c r="M4">
        <v>1</v>
      </c>
      <c r="N4" t="s">
        <v>222</v>
      </c>
      <c r="Q4">
        <v>1</v>
      </c>
      <c r="R4" t="s">
        <v>2</v>
      </c>
      <c r="W4" s="41"/>
      <c r="Z4" s="41"/>
    </row>
    <row r="5" spans="1:50" x14ac:dyDescent="0.2">
      <c r="A5" s="6" t="s">
        <v>2</v>
      </c>
      <c r="B5" s="6" t="s">
        <v>9</v>
      </c>
      <c r="C5" s="6">
        <v>0</v>
      </c>
      <c r="D5" s="6" t="s">
        <v>6</v>
      </c>
      <c r="E5" s="7">
        <v>140000</v>
      </c>
      <c r="F5" s="6">
        <v>36</v>
      </c>
      <c r="G5" s="7">
        <f t="shared" si="0"/>
        <v>5040000</v>
      </c>
      <c r="H5" s="9">
        <f t="shared" si="1"/>
        <v>1428.5714285714287</v>
      </c>
      <c r="I5" t="s">
        <v>86</v>
      </c>
      <c r="J5" t="s">
        <v>167</v>
      </c>
      <c r="K5" t="s">
        <v>170</v>
      </c>
      <c r="L5" t="s">
        <v>179</v>
      </c>
      <c r="M5">
        <v>1</v>
      </c>
      <c r="N5" t="s">
        <v>222</v>
      </c>
      <c r="Q5">
        <v>2</v>
      </c>
      <c r="R5" t="s">
        <v>28</v>
      </c>
    </row>
    <row r="6" spans="1:50" x14ac:dyDescent="0.2">
      <c r="A6" s="6" t="s">
        <v>2</v>
      </c>
      <c r="B6" s="6" t="s">
        <v>12</v>
      </c>
      <c r="C6" s="6">
        <v>2</v>
      </c>
      <c r="D6" s="7">
        <v>4697024</v>
      </c>
      <c r="E6" s="7">
        <f>(D6/176)*C6</f>
        <v>53375.272727272728</v>
      </c>
      <c r="F6" s="6">
        <v>30</v>
      </c>
      <c r="G6" s="6">
        <f t="shared" si="0"/>
        <v>1601258.1818181819</v>
      </c>
      <c r="H6" s="9">
        <f t="shared" si="1"/>
        <v>453.8713667285096</v>
      </c>
      <c r="I6" t="s">
        <v>85</v>
      </c>
      <c r="J6" t="s">
        <v>167</v>
      </c>
      <c r="K6" t="s">
        <v>170</v>
      </c>
      <c r="L6" t="s">
        <v>179</v>
      </c>
      <c r="M6">
        <v>1</v>
      </c>
      <c r="N6" t="s">
        <v>222</v>
      </c>
      <c r="Q6">
        <v>3</v>
      </c>
      <c r="R6" t="s">
        <v>29</v>
      </c>
    </row>
    <row r="7" spans="1:50" x14ac:dyDescent="0.2">
      <c r="A7" s="6" t="s">
        <v>2</v>
      </c>
      <c r="B7" s="6" t="s">
        <v>14</v>
      </c>
      <c r="C7" s="6">
        <v>0.5</v>
      </c>
      <c r="D7" s="7">
        <v>2628075</v>
      </c>
      <c r="E7" s="7">
        <f>(D7/176)*C7</f>
        <v>7466.122159090909</v>
      </c>
      <c r="F7" s="6">
        <v>18</v>
      </c>
      <c r="G7" s="6">
        <f t="shared" si="0"/>
        <v>134390.19886363635</v>
      </c>
      <c r="H7" s="9">
        <f t="shared" si="1"/>
        <v>38.092459995361779</v>
      </c>
      <c r="I7" t="s">
        <v>85</v>
      </c>
      <c r="J7" t="s">
        <v>167</v>
      </c>
      <c r="K7" t="s">
        <v>170</v>
      </c>
      <c r="L7" t="s">
        <v>180</v>
      </c>
      <c r="M7">
        <v>1</v>
      </c>
      <c r="N7" t="s">
        <v>222</v>
      </c>
      <c r="Q7">
        <v>4</v>
      </c>
      <c r="R7" t="s">
        <v>36</v>
      </c>
      <c r="W7" s="41"/>
      <c r="AB7" s="41"/>
      <c r="AG7" s="41"/>
      <c r="AL7" s="41"/>
      <c r="AS7" s="41"/>
      <c r="AX7" s="41"/>
    </row>
    <row r="8" spans="1:50" x14ac:dyDescent="0.2">
      <c r="A8" s="6" t="s">
        <v>2</v>
      </c>
      <c r="B8" s="6" t="s">
        <v>15</v>
      </c>
      <c r="C8" s="6">
        <v>9</v>
      </c>
      <c r="D8" s="23">
        <v>2600400</v>
      </c>
      <c r="E8" s="7">
        <f>(D8/176)*C8</f>
        <v>132975</v>
      </c>
      <c r="F8" s="6">
        <v>30</v>
      </c>
      <c r="G8" s="6">
        <f t="shared" si="0"/>
        <v>3989250</v>
      </c>
      <c r="H8" s="9">
        <f t="shared" si="1"/>
        <v>1130.7397959183672</v>
      </c>
      <c r="I8" t="s">
        <v>85</v>
      </c>
      <c r="J8" t="s">
        <v>167</v>
      </c>
      <c r="K8" t="s">
        <v>170</v>
      </c>
      <c r="L8" t="s">
        <v>179</v>
      </c>
      <c r="M8">
        <v>1</v>
      </c>
      <c r="N8" t="s">
        <v>222</v>
      </c>
      <c r="Q8">
        <v>5</v>
      </c>
    </row>
    <row r="9" spans="1:50" x14ac:dyDescent="0.2">
      <c r="A9" s="6" t="s">
        <v>2</v>
      </c>
      <c r="B9" s="6" t="s">
        <v>16</v>
      </c>
      <c r="C9" s="6">
        <v>1</v>
      </c>
      <c r="D9" s="23">
        <v>753862</v>
      </c>
      <c r="E9" s="7">
        <f>(D9/176)*C9</f>
        <v>4283.306818181818</v>
      </c>
      <c r="F9" s="6">
        <f>8*30</f>
        <v>240</v>
      </c>
      <c r="G9" s="6">
        <f t="shared" si="0"/>
        <v>1027993.6363636364</v>
      </c>
      <c r="H9" s="9">
        <f t="shared" si="1"/>
        <v>291.38141620284478</v>
      </c>
      <c r="I9" t="s">
        <v>85</v>
      </c>
      <c r="J9" t="s">
        <v>167</v>
      </c>
      <c r="K9" t="s">
        <v>170</v>
      </c>
      <c r="L9" t="s">
        <v>180</v>
      </c>
      <c r="M9">
        <v>1</v>
      </c>
      <c r="N9" t="s">
        <v>222</v>
      </c>
      <c r="Q9">
        <v>6</v>
      </c>
      <c r="Y9" s="2">
        <f>AB18</f>
        <v>48894.422639933167</v>
      </c>
    </row>
    <row r="10" spans="1:50" x14ac:dyDescent="0.2">
      <c r="A10" s="6" t="s">
        <v>2</v>
      </c>
      <c r="B10" s="6" t="s">
        <v>17</v>
      </c>
      <c r="C10" s="6">
        <v>0.25</v>
      </c>
      <c r="D10" s="7">
        <v>4697024</v>
      </c>
      <c r="E10" s="7">
        <f>(D10/176)*C10</f>
        <v>6671.909090909091</v>
      </c>
      <c r="F10" s="6">
        <v>30</v>
      </c>
      <c r="G10" s="6">
        <f t="shared" si="0"/>
        <v>200157.27272727274</v>
      </c>
      <c r="H10" s="9">
        <f t="shared" si="1"/>
        <v>56.7339208410637</v>
      </c>
      <c r="I10" t="s">
        <v>85</v>
      </c>
      <c r="J10" t="s">
        <v>167</v>
      </c>
      <c r="K10" t="s">
        <v>170</v>
      </c>
      <c r="L10" t="s">
        <v>179</v>
      </c>
      <c r="M10">
        <v>1</v>
      </c>
      <c r="N10" t="s">
        <v>222</v>
      </c>
      <c r="Q10">
        <v>7</v>
      </c>
      <c r="AS10" s="41"/>
    </row>
    <row r="11" spans="1:50" x14ac:dyDescent="0.2">
      <c r="A11" s="6" t="s">
        <v>2</v>
      </c>
      <c r="B11" s="6" t="s">
        <v>18</v>
      </c>
      <c r="C11" s="6">
        <v>1</v>
      </c>
      <c r="D11" s="6" t="s">
        <v>6</v>
      </c>
      <c r="E11" s="7"/>
      <c r="F11" s="6">
        <v>1</v>
      </c>
      <c r="G11" s="7">
        <v>705600</v>
      </c>
      <c r="H11" s="9">
        <f t="shared" si="1"/>
        <v>200</v>
      </c>
      <c r="I11" t="s">
        <v>87</v>
      </c>
      <c r="J11" t="s">
        <v>167</v>
      </c>
      <c r="K11" t="s">
        <v>170</v>
      </c>
      <c r="L11" t="s">
        <v>179</v>
      </c>
      <c r="M11">
        <v>1</v>
      </c>
      <c r="N11" t="s">
        <v>222</v>
      </c>
      <c r="Q11">
        <v>8</v>
      </c>
      <c r="W11" s="41"/>
      <c r="X11" s="41"/>
      <c r="Y11" s="41"/>
      <c r="Z11" s="41"/>
      <c r="AH11" s="41"/>
      <c r="AI11" s="41"/>
      <c r="AJ11" s="41"/>
      <c r="AK11" s="41"/>
      <c r="AL11" s="41"/>
      <c r="AM11" s="41"/>
    </row>
    <row r="12" spans="1:50" x14ac:dyDescent="0.2">
      <c r="A12" s="10" t="s">
        <v>28</v>
      </c>
      <c r="B12" s="10" t="s">
        <v>19</v>
      </c>
      <c r="C12" s="10">
        <v>0.25</v>
      </c>
      <c r="D12" s="11">
        <v>2600400</v>
      </c>
      <c r="E12" s="11">
        <f>(D12/176)*C12</f>
        <v>3693.75</v>
      </c>
      <c r="F12" s="10">
        <f>5*3*2</f>
        <v>30</v>
      </c>
      <c r="G12" s="11">
        <f t="shared" ref="G12:G21" si="2">E12*F12</f>
        <v>110812.5</v>
      </c>
      <c r="H12" s="12">
        <f t="shared" si="1"/>
        <v>31.409438775510203</v>
      </c>
      <c r="I12" t="s">
        <v>85</v>
      </c>
      <c r="J12" t="s">
        <v>168</v>
      </c>
      <c r="K12" t="s">
        <v>170</v>
      </c>
      <c r="L12" s="56" t="s">
        <v>180</v>
      </c>
      <c r="M12">
        <v>5</v>
      </c>
      <c r="N12" t="s">
        <v>222</v>
      </c>
      <c r="Q12">
        <v>9</v>
      </c>
      <c r="W12" s="41"/>
      <c r="AB12" s="41"/>
      <c r="AG12" s="41"/>
      <c r="AL12" s="41"/>
      <c r="AS12" s="41"/>
      <c r="AX12" s="41"/>
    </row>
    <row r="13" spans="1:50" ht="16" thickBot="1" x14ac:dyDescent="0.25">
      <c r="A13" s="10" t="s">
        <v>28</v>
      </c>
      <c r="B13" s="10" t="s">
        <v>20</v>
      </c>
      <c r="C13" s="10">
        <v>9</v>
      </c>
      <c r="D13" s="11">
        <v>2600400</v>
      </c>
      <c r="E13" s="11">
        <f>(D13/176)*C13</f>
        <v>132975</v>
      </c>
      <c r="F13" s="10">
        <v>2</v>
      </c>
      <c r="G13" s="11">
        <f t="shared" si="2"/>
        <v>265950</v>
      </c>
      <c r="H13" s="12">
        <f t="shared" si="1"/>
        <v>75.382653061224488</v>
      </c>
      <c r="I13" t="s">
        <v>85</v>
      </c>
      <c r="J13" t="s">
        <v>168</v>
      </c>
      <c r="K13" t="s">
        <v>170</v>
      </c>
      <c r="L13" s="56" t="s">
        <v>180</v>
      </c>
      <c r="M13">
        <v>5</v>
      </c>
      <c r="N13" t="s">
        <v>222</v>
      </c>
      <c r="Q13">
        <v>10</v>
      </c>
      <c r="AH13" t="s">
        <v>182</v>
      </c>
    </row>
    <row r="14" spans="1:50" ht="16" thickBot="1" x14ac:dyDescent="0.25">
      <c r="A14" s="10" t="s">
        <v>28</v>
      </c>
      <c r="B14" s="10" t="s">
        <v>21</v>
      </c>
      <c r="C14" s="10">
        <v>0</v>
      </c>
      <c r="D14" s="10" t="s">
        <v>6</v>
      </c>
      <c r="E14" s="11">
        <v>307875</v>
      </c>
      <c r="F14" s="10">
        <v>1</v>
      </c>
      <c r="G14" s="11">
        <f t="shared" si="2"/>
        <v>307875</v>
      </c>
      <c r="H14" s="12">
        <f t="shared" si="1"/>
        <v>87.26615646258503</v>
      </c>
      <c r="I14" t="s">
        <v>87</v>
      </c>
      <c r="J14" t="s">
        <v>168</v>
      </c>
      <c r="K14" t="s">
        <v>170</v>
      </c>
      <c r="L14" t="s">
        <v>181</v>
      </c>
      <c r="M14">
        <v>1</v>
      </c>
      <c r="N14" t="s">
        <v>222</v>
      </c>
      <c r="W14" s="44" t="s">
        <v>84</v>
      </c>
      <c r="X14" s="43" t="s">
        <v>147</v>
      </c>
      <c r="Y14" s="43" t="s">
        <v>148</v>
      </c>
      <c r="Z14" s="43" t="s">
        <v>149</v>
      </c>
      <c r="AA14" s="43" t="s">
        <v>150</v>
      </c>
      <c r="AB14" s="44" t="s">
        <v>77</v>
      </c>
      <c r="AG14" s="44" t="s">
        <v>84</v>
      </c>
      <c r="AH14" s="43" t="s">
        <v>147</v>
      </c>
      <c r="AI14" s="43" t="s">
        <v>148</v>
      </c>
      <c r="AJ14" s="43" t="s">
        <v>149</v>
      </c>
      <c r="AK14" s="43" t="s">
        <v>150</v>
      </c>
      <c r="AL14" s="44" t="s">
        <v>77</v>
      </c>
      <c r="AS14" s="1" t="s">
        <v>183</v>
      </c>
    </row>
    <row r="15" spans="1:50" ht="16" thickBot="1" x14ac:dyDescent="0.25">
      <c r="A15" s="10" t="s">
        <v>28</v>
      </c>
      <c r="B15" s="10" t="s">
        <v>22</v>
      </c>
      <c r="C15" s="10">
        <v>0</v>
      </c>
      <c r="D15" s="10" t="s">
        <v>6</v>
      </c>
      <c r="E15" s="11">
        <v>40000</v>
      </c>
      <c r="F15" s="10">
        <v>1</v>
      </c>
      <c r="G15" s="11">
        <f t="shared" si="2"/>
        <v>40000</v>
      </c>
      <c r="H15" s="12">
        <f t="shared" si="1"/>
        <v>11.337868480725623</v>
      </c>
      <c r="I15" t="s">
        <v>87</v>
      </c>
      <c r="J15" t="s">
        <v>168</v>
      </c>
      <c r="K15" t="s">
        <v>170</v>
      </c>
      <c r="L15" t="s">
        <v>179</v>
      </c>
      <c r="M15">
        <v>1</v>
      </c>
      <c r="N15" t="s">
        <v>222</v>
      </c>
      <c r="W15" s="45" t="s">
        <v>153</v>
      </c>
      <c r="X15" s="47">
        <f>H11</f>
        <v>200</v>
      </c>
      <c r="Y15" s="47">
        <f>H14+H15+H16</f>
        <v>806.21286848072555</v>
      </c>
      <c r="Z15" s="47">
        <f>H22+H23</f>
        <v>908.77491347416151</v>
      </c>
      <c r="AA15" s="41">
        <f>0</f>
        <v>0</v>
      </c>
      <c r="AB15" s="49">
        <f t="shared" ref="AB15:AB20" si="3">SUM(X15:AA15)</f>
        <v>1914.9877819548869</v>
      </c>
      <c r="AG15" s="45" t="s">
        <v>153</v>
      </c>
      <c r="AH15" s="105">
        <f>H11</f>
        <v>200</v>
      </c>
      <c r="AI15" s="105">
        <f>H14+H15+H16</f>
        <v>806.21286848072555</v>
      </c>
      <c r="AJ15" s="105">
        <f>H22+H23</f>
        <v>908.77491347416151</v>
      </c>
      <c r="AK15" s="105">
        <f>0</f>
        <v>0</v>
      </c>
      <c r="AL15" s="112">
        <f t="shared" ref="AL15:AL19" si="4">SUM(AH15:AK15)</f>
        <v>1914.9877819548869</v>
      </c>
      <c r="AS15" s="44" t="s">
        <v>84</v>
      </c>
      <c r="AT15" s="43" t="s">
        <v>147</v>
      </c>
      <c r="AU15" s="43" t="s">
        <v>148</v>
      </c>
      <c r="AV15" s="43" t="s">
        <v>149</v>
      </c>
      <c r="AW15" s="43" t="s">
        <v>150</v>
      </c>
      <c r="AX15" s="44" t="s">
        <v>77</v>
      </c>
    </row>
    <row r="16" spans="1:50" x14ac:dyDescent="0.2">
      <c r="A16" s="10" t="s">
        <v>28</v>
      </c>
      <c r="B16" s="10" t="s">
        <v>23</v>
      </c>
      <c r="C16" s="10">
        <v>0</v>
      </c>
      <c r="D16" s="10" t="s">
        <v>6</v>
      </c>
      <c r="E16" s="11">
        <v>2496444</v>
      </c>
      <c r="F16" s="10">
        <v>1</v>
      </c>
      <c r="G16" s="11">
        <f t="shared" si="2"/>
        <v>2496444</v>
      </c>
      <c r="H16" s="12">
        <f t="shared" si="1"/>
        <v>707.60884353741494</v>
      </c>
      <c r="I16" t="s">
        <v>87</v>
      </c>
      <c r="J16" t="s">
        <v>168</v>
      </c>
      <c r="K16" s="56" t="s">
        <v>170</v>
      </c>
      <c r="L16" t="s">
        <v>179</v>
      </c>
      <c r="M16">
        <v>5</v>
      </c>
      <c r="N16" t="s">
        <v>222</v>
      </c>
      <c r="W16" s="45" t="s">
        <v>85</v>
      </c>
      <c r="X16" s="47">
        <f>SUM(H6:H10)</f>
        <v>1970.8189596861471</v>
      </c>
      <c r="Y16" s="47">
        <f>H12+H13</f>
        <v>106.7920918367347</v>
      </c>
      <c r="Z16" s="47">
        <f>H21</f>
        <v>12.563775510204081</v>
      </c>
      <c r="AA16" s="47">
        <f>SUM(H26:H44)+H47</f>
        <v>2995.5982271696562</v>
      </c>
      <c r="AB16" s="49">
        <f t="shared" si="3"/>
        <v>5085.7730542027421</v>
      </c>
      <c r="AG16" s="45" t="s">
        <v>85</v>
      </c>
      <c r="AH16" s="105">
        <f>SUM(H6:H10)</f>
        <v>1970.8189596861471</v>
      </c>
      <c r="AI16" s="105">
        <f>H12+H13</f>
        <v>106.7920918367347</v>
      </c>
      <c r="AJ16" s="105">
        <f>H21</f>
        <v>12.563775510204081</v>
      </c>
      <c r="AK16" s="105">
        <f>SUM(H26:H44)+H47</f>
        <v>2995.5982271696562</v>
      </c>
      <c r="AL16" s="112">
        <f t="shared" si="4"/>
        <v>5085.7730542027421</v>
      </c>
      <c r="AS16" s="45" t="s">
        <v>153</v>
      </c>
      <c r="AT16" s="47">
        <f>0</f>
        <v>0</v>
      </c>
      <c r="AU16" s="47">
        <f>H14+H15+H16</f>
        <v>806.21286848072555</v>
      </c>
      <c r="AV16" s="47">
        <f>H22+H23</f>
        <v>908.77491347416151</v>
      </c>
      <c r="AW16" s="41">
        <f>0</f>
        <v>0</v>
      </c>
      <c r="AX16" s="49">
        <f t="shared" ref="AX16:AX21" si="5">SUM(AT16:AW16)</f>
        <v>1714.9877819548869</v>
      </c>
    </row>
    <row r="17" spans="1:50" x14ac:dyDescent="0.2">
      <c r="A17" s="10" t="s">
        <v>28</v>
      </c>
      <c r="B17" s="10" t="s">
        <v>24</v>
      </c>
      <c r="C17" s="10">
        <v>0</v>
      </c>
      <c r="D17" s="10" t="s">
        <v>6</v>
      </c>
      <c r="E17" s="13">
        <v>800</v>
      </c>
      <c r="F17" s="10">
        <v>12</v>
      </c>
      <c r="G17" s="14">
        <f t="shared" si="2"/>
        <v>9600</v>
      </c>
      <c r="H17" s="12">
        <f>F17*800</f>
        <v>9600</v>
      </c>
      <c r="I17" t="s">
        <v>88</v>
      </c>
      <c r="J17" t="s">
        <v>168</v>
      </c>
      <c r="K17" t="s">
        <v>178</v>
      </c>
      <c r="L17" t="s">
        <v>180</v>
      </c>
      <c r="M17">
        <v>5</v>
      </c>
      <c r="N17" t="s">
        <v>222</v>
      </c>
      <c r="W17" s="45" t="s">
        <v>86</v>
      </c>
      <c r="X17" s="47">
        <f>SUM(H3:H5)</f>
        <v>2066.3265306122448</v>
      </c>
      <c r="Y17" s="41">
        <f>0</f>
        <v>0</v>
      </c>
      <c r="Z17" s="41">
        <f>0</f>
        <v>0</v>
      </c>
      <c r="AA17" s="47">
        <f>H46+H59+H51</f>
        <v>1272.7324264455783</v>
      </c>
      <c r="AB17" s="49">
        <f t="shared" si="3"/>
        <v>3339.0589570578231</v>
      </c>
      <c r="AG17" s="45" t="s">
        <v>86</v>
      </c>
      <c r="AH17" s="105">
        <f>SUM(H3:H5)</f>
        <v>2066.3265306122448</v>
      </c>
      <c r="AI17" s="105">
        <f>0</f>
        <v>0</v>
      </c>
      <c r="AJ17" s="105">
        <f>0</f>
        <v>0</v>
      </c>
      <c r="AK17" s="105">
        <f>H46+H59+H51</f>
        <v>1272.7324264455783</v>
      </c>
      <c r="AL17" s="112">
        <f t="shared" si="4"/>
        <v>3339.0589570578231</v>
      </c>
      <c r="AS17" s="45" t="s">
        <v>85</v>
      </c>
      <c r="AT17" s="47">
        <f>H6+H7+H8+H9+H10</f>
        <v>1970.8189596861471</v>
      </c>
      <c r="AU17" s="47">
        <f>H12+H13</f>
        <v>106.7920918367347</v>
      </c>
      <c r="AV17" s="47">
        <f>H21</f>
        <v>12.563775510204081</v>
      </c>
      <c r="AW17" s="47">
        <f>SUM(H26:H44)</f>
        <v>2953.7189754689757</v>
      </c>
      <c r="AX17" s="49">
        <f t="shared" si="5"/>
        <v>5043.8938025020616</v>
      </c>
    </row>
    <row r="18" spans="1:50" x14ac:dyDescent="0.2">
      <c r="A18" s="10" t="s">
        <v>28</v>
      </c>
      <c r="B18" s="10" t="s">
        <v>25</v>
      </c>
      <c r="C18" s="10">
        <v>0</v>
      </c>
      <c r="D18" s="10" t="s">
        <v>6</v>
      </c>
      <c r="E18" s="13">
        <v>1895</v>
      </c>
      <c r="F18" s="10">
        <v>12</v>
      </c>
      <c r="G18" s="14">
        <f t="shared" si="2"/>
        <v>22740</v>
      </c>
      <c r="H18" s="12">
        <f>F18*1895</f>
        <v>22740</v>
      </c>
      <c r="I18" t="s">
        <v>88</v>
      </c>
      <c r="J18" t="s">
        <v>168</v>
      </c>
      <c r="K18" t="s">
        <v>178</v>
      </c>
      <c r="L18" t="s">
        <v>180</v>
      </c>
      <c r="M18">
        <v>5</v>
      </c>
      <c r="N18" t="s">
        <v>222</v>
      </c>
      <c r="W18" s="45" t="s">
        <v>88</v>
      </c>
      <c r="X18" s="41">
        <f>0</f>
        <v>0</v>
      </c>
      <c r="Y18" s="47">
        <f>H17+H18+H19</f>
        <v>32410.32</v>
      </c>
      <c r="Z18" s="47">
        <f>H24+H25</f>
        <v>6191.4439097744362</v>
      </c>
      <c r="AA18" s="47">
        <f>SUM(H53:H56)+H49+H50</f>
        <v>10292.658730158731</v>
      </c>
      <c r="AB18" s="49">
        <f t="shared" si="3"/>
        <v>48894.422639933167</v>
      </c>
      <c r="AG18" s="45" t="s">
        <v>88</v>
      </c>
      <c r="AH18" s="105">
        <f>0</f>
        <v>0</v>
      </c>
      <c r="AI18" s="105">
        <f>H19</f>
        <v>70.320000000000007</v>
      </c>
      <c r="AJ18" s="113">
        <f>H25</f>
        <v>3935.88</v>
      </c>
      <c r="AK18" s="105">
        <f>SUM(H53:H56)+H49+H50</f>
        <v>10292.658730158731</v>
      </c>
      <c r="AL18" s="112">
        <f t="shared" si="4"/>
        <v>14298.858730158732</v>
      </c>
      <c r="AS18" s="45" t="s">
        <v>86</v>
      </c>
      <c r="AT18" s="47">
        <f>H3+H4+H5</f>
        <v>2066.3265306122448</v>
      </c>
      <c r="AU18" s="41">
        <v>0</v>
      </c>
      <c r="AV18" s="41">
        <f>0</f>
        <v>0</v>
      </c>
      <c r="AW18" s="47">
        <f>H46+H51+H59</f>
        <v>1272.7324264455783</v>
      </c>
      <c r="AX18" s="49">
        <f t="shared" si="5"/>
        <v>3339.0589570578231</v>
      </c>
    </row>
    <row r="19" spans="1:50" ht="16" thickBot="1" x14ac:dyDescent="0.25">
      <c r="A19" s="10" t="s">
        <v>28</v>
      </c>
      <c r="B19" s="10" t="s">
        <v>26</v>
      </c>
      <c r="C19" s="10">
        <v>0</v>
      </c>
      <c r="D19" s="10" t="s">
        <v>6</v>
      </c>
      <c r="E19" s="13">
        <v>5.86</v>
      </c>
      <c r="F19" s="10">
        <v>12</v>
      </c>
      <c r="G19" s="14">
        <f t="shared" si="2"/>
        <v>70.320000000000007</v>
      </c>
      <c r="H19" s="12">
        <f>F19*5.86</f>
        <v>70.320000000000007</v>
      </c>
      <c r="I19" t="s">
        <v>88</v>
      </c>
      <c r="J19" t="s">
        <v>168</v>
      </c>
      <c r="K19" t="s">
        <v>178</v>
      </c>
      <c r="L19" t="s">
        <v>180</v>
      </c>
      <c r="M19">
        <v>5</v>
      </c>
      <c r="N19" t="s">
        <v>222</v>
      </c>
      <c r="W19" s="45" t="s">
        <v>83</v>
      </c>
      <c r="X19" s="41">
        <f>0</f>
        <v>0</v>
      </c>
      <c r="Y19" s="41">
        <f>0</f>
        <v>0</v>
      </c>
      <c r="Z19" s="41">
        <f>0</f>
        <v>0</v>
      </c>
      <c r="AA19" s="47">
        <f>H45+H48+H52+H57+H58+H62+H63+H64+H60</f>
        <v>1719.9546485260773</v>
      </c>
      <c r="AB19" s="49">
        <f t="shared" si="3"/>
        <v>1719.9546485260773</v>
      </c>
      <c r="AG19" s="45" t="s">
        <v>83</v>
      </c>
      <c r="AH19" s="105">
        <f>0</f>
        <v>0</v>
      </c>
      <c r="AI19" s="105">
        <f>0</f>
        <v>0</v>
      </c>
      <c r="AJ19" s="105">
        <f>0</f>
        <v>0</v>
      </c>
      <c r="AK19" s="105">
        <f>H45+H48+H52+H57+H58+H62+H63+H64+H60</f>
        <v>1719.9546485260773</v>
      </c>
      <c r="AL19" s="112">
        <f t="shared" si="4"/>
        <v>1719.9546485260773</v>
      </c>
      <c r="AS19" s="45" t="s">
        <v>88</v>
      </c>
      <c r="AT19" s="41">
        <v>0</v>
      </c>
      <c r="AU19" s="47">
        <f>H17+H18+H19</f>
        <v>32410.32</v>
      </c>
      <c r="AV19" s="47">
        <f>H24+H25</f>
        <v>6191.4439097744362</v>
      </c>
      <c r="AW19" s="47">
        <f>H49+H50+H53+H54+H55+H56</f>
        <v>10292.65873015873</v>
      </c>
      <c r="AX19" s="49">
        <f t="shared" si="5"/>
        <v>48894.422639933167</v>
      </c>
    </row>
    <row r="20" spans="1:50" ht="16" thickBot="1" x14ac:dyDescent="0.25">
      <c r="A20" s="10" t="s">
        <v>28</v>
      </c>
      <c r="B20" s="10" t="s">
        <v>27</v>
      </c>
      <c r="C20" s="10">
        <v>0</v>
      </c>
      <c r="D20" s="10" t="s">
        <v>6</v>
      </c>
      <c r="E20" s="13">
        <v>499</v>
      </c>
      <c r="F20" s="10">
        <v>6</v>
      </c>
      <c r="G20" s="14">
        <f t="shared" si="2"/>
        <v>2994</v>
      </c>
      <c r="H20" s="12">
        <f>F20*499</f>
        <v>2994</v>
      </c>
      <c r="I20" t="s">
        <v>76</v>
      </c>
      <c r="J20" t="s">
        <v>168</v>
      </c>
      <c r="K20" t="s">
        <v>178</v>
      </c>
      <c r="L20" t="s">
        <v>180</v>
      </c>
      <c r="M20" t="s">
        <v>224</v>
      </c>
      <c r="N20" t="s">
        <v>224</v>
      </c>
      <c r="W20" s="46" t="s">
        <v>151</v>
      </c>
      <c r="X20" s="42">
        <f>0</f>
        <v>0</v>
      </c>
      <c r="Y20" s="48">
        <f>H20</f>
        <v>2994</v>
      </c>
      <c r="Z20" s="42">
        <f>0</f>
        <v>0</v>
      </c>
      <c r="AA20" s="48">
        <f>H61</f>
        <v>561224.48979591834</v>
      </c>
      <c r="AB20" s="49">
        <f t="shared" si="3"/>
        <v>564218.48979591834</v>
      </c>
      <c r="AG20" s="44" t="s">
        <v>77</v>
      </c>
      <c r="AH20" s="114">
        <f>SUM(AH15:AH19)</f>
        <v>4237.1454902983915</v>
      </c>
      <c r="AI20" s="114">
        <f>SUM(AI15:AI19)</f>
        <v>983.3249603174603</v>
      </c>
      <c r="AJ20" s="114">
        <f>SUM(AJ15:AJ19)</f>
        <v>4857.2186889843661</v>
      </c>
      <c r="AK20" s="115">
        <f>SUM(AK15:AK19)</f>
        <v>16280.944032300044</v>
      </c>
      <c r="AL20" s="116">
        <f>SUM(AL15:AL19)</f>
        <v>26358.633171900259</v>
      </c>
      <c r="AS20" s="45" t="s">
        <v>83</v>
      </c>
      <c r="AT20" s="41">
        <v>0</v>
      </c>
      <c r="AU20" s="41">
        <v>0</v>
      </c>
      <c r="AV20" s="41">
        <v>0</v>
      </c>
      <c r="AW20" s="47">
        <f>H45+H48+H52+H60+H62+H63+H64+H57+H58</f>
        <v>1719.9546485260769</v>
      </c>
      <c r="AX20" s="49">
        <f t="shared" si="5"/>
        <v>1719.9546485260769</v>
      </c>
    </row>
    <row r="21" spans="1:50" ht="16" thickBot="1" x14ac:dyDescent="0.25">
      <c r="A21" s="15" t="s">
        <v>29</v>
      </c>
      <c r="B21" s="15" t="s">
        <v>30</v>
      </c>
      <c r="C21" s="15">
        <v>1.5</v>
      </c>
      <c r="D21" s="16">
        <v>2600400</v>
      </c>
      <c r="E21" s="16">
        <f>(D21/176)*C21</f>
        <v>22162.5</v>
      </c>
      <c r="F21" s="15">
        <v>2</v>
      </c>
      <c r="G21" s="16">
        <f t="shared" si="2"/>
        <v>44325</v>
      </c>
      <c r="H21" s="17">
        <f>G21/3528</f>
        <v>12.563775510204081</v>
      </c>
      <c r="I21" t="s">
        <v>85</v>
      </c>
      <c r="J21" t="s">
        <v>168</v>
      </c>
      <c r="K21" t="s">
        <v>170</v>
      </c>
      <c r="L21" t="s">
        <v>180</v>
      </c>
      <c r="M21">
        <v>5</v>
      </c>
      <c r="N21" t="s">
        <v>222</v>
      </c>
      <c r="W21" s="50" t="s">
        <v>77</v>
      </c>
      <c r="X21" s="51">
        <f>SUM(X15:X20)</f>
        <v>4237.1454902983915</v>
      </c>
      <c r="Y21" s="51">
        <f>SUM(Y15:Y20)</f>
        <v>36317.324960317463</v>
      </c>
      <c r="Z21" s="51">
        <f>SUM(Z15:Z20)</f>
        <v>7112.7825987588021</v>
      </c>
      <c r="AA21" s="51">
        <f>SUM(AA15:AA20)</f>
        <v>577505.43382821837</v>
      </c>
      <c r="AB21" s="52">
        <f>SUM(AB15:AB20)</f>
        <v>625172.68687759305</v>
      </c>
      <c r="AS21" s="46" t="s">
        <v>151</v>
      </c>
      <c r="AT21" s="42">
        <v>0</v>
      </c>
      <c r="AU21" s="48">
        <f>G20</f>
        <v>2994</v>
      </c>
      <c r="AV21" s="42">
        <v>0</v>
      </c>
      <c r="AW21" s="48">
        <f>H61</f>
        <v>561224.48979591834</v>
      </c>
      <c r="AX21" s="49">
        <f t="shared" si="5"/>
        <v>564218.48979591834</v>
      </c>
    </row>
    <row r="22" spans="1:50" ht="16" thickBot="1" x14ac:dyDescent="0.25">
      <c r="A22" s="15" t="s">
        <v>29</v>
      </c>
      <c r="B22" s="15" t="s">
        <v>31</v>
      </c>
      <c r="C22" s="15">
        <v>0</v>
      </c>
      <c r="D22" s="15" t="s">
        <v>6</v>
      </c>
      <c r="E22" s="16">
        <v>23000</v>
      </c>
      <c r="F22" s="15">
        <v>1</v>
      </c>
      <c r="G22" s="16">
        <f>F22*E22</f>
        <v>23000</v>
      </c>
      <c r="H22" s="17">
        <f>G22/3528</f>
        <v>6.5192743764172336</v>
      </c>
      <c r="I22" t="s">
        <v>87</v>
      </c>
      <c r="J22" t="s">
        <v>168</v>
      </c>
      <c r="K22" t="s">
        <v>170</v>
      </c>
      <c r="L22" t="s">
        <v>179</v>
      </c>
      <c r="M22">
        <v>1</v>
      </c>
      <c r="N22" t="s">
        <v>222</v>
      </c>
      <c r="V22" s="41"/>
      <c r="W22" s="54" t="s">
        <v>155</v>
      </c>
      <c r="AS22" s="50" t="s">
        <v>77</v>
      </c>
      <c r="AT22" s="51">
        <f>SUM(AT16:AT21)</f>
        <v>4037.1454902983919</v>
      </c>
      <c r="AU22" s="51">
        <f>SUM(AU16:AU21)</f>
        <v>36317.324960317463</v>
      </c>
      <c r="AV22" s="51">
        <f>SUM(AV16:AV21)</f>
        <v>7112.7825987588021</v>
      </c>
      <c r="AW22" s="51">
        <f>SUM(AW16:AW21)</f>
        <v>577463.55457651766</v>
      </c>
      <c r="AX22" s="52">
        <f>SUM(AX16:AX21)</f>
        <v>624930.80762589234</v>
      </c>
    </row>
    <row r="23" spans="1:50" x14ac:dyDescent="0.2">
      <c r="A23" s="15" t="s">
        <v>29</v>
      </c>
      <c r="B23" s="15" t="s">
        <v>32</v>
      </c>
      <c r="C23" s="15">
        <v>0</v>
      </c>
      <c r="D23" s="15" t="s">
        <v>6</v>
      </c>
      <c r="E23" s="18">
        <v>12000</v>
      </c>
      <c r="F23" s="15">
        <v>1</v>
      </c>
      <c r="G23" s="18">
        <f>F23*E23</f>
        <v>12000</v>
      </c>
      <c r="H23" s="17">
        <f>G23/13.3</f>
        <v>902.25563909774428</v>
      </c>
      <c r="I23" t="s">
        <v>87</v>
      </c>
      <c r="J23" t="s">
        <v>168</v>
      </c>
      <c r="K23" s="56" t="s">
        <v>178</v>
      </c>
      <c r="L23" t="s">
        <v>180</v>
      </c>
      <c r="M23">
        <v>5</v>
      </c>
      <c r="N23" t="s">
        <v>222</v>
      </c>
      <c r="W23" t="s">
        <v>154</v>
      </c>
      <c r="AS23" s="53" t="s">
        <v>159</v>
      </c>
    </row>
    <row r="24" spans="1:50" x14ac:dyDescent="0.2">
      <c r="A24" s="15" t="s">
        <v>29</v>
      </c>
      <c r="B24" s="15" t="s">
        <v>33</v>
      </c>
      <c r="C24" s="15">
        <v>0</v>
      </c>
      <c r="D24" s="15" t="s">
        <v>6</v>
      </c>
      <c r="E24" s="18">
        <v>29999</v>
      </c>
      <c r="F24" s="15">
        <v>1</v>
      </c>
      <c r="G24" s="18">
        <f>F24*E24</f>
        <v>29999</v>
      </c>
      <c r="H24" s="17">
        <f>G24/13.3</f>
        <v>2255.5639097744361</v>
      </c>
      <c r="I24" t="s">
        <v>88</v>
      </c>
      <c r="J24" t="s">
        <v>168</v>
      </c>
      <c r="K24" s="56" t="s">
        <v>178</v>
      </c>
      <c r="L24" t="s">
        <v>180</v>
      </c>
      <c r="M24">
        <v>5</v>
      </c>
      <c r="N24" t="s">
        <v>222</v>
      </c>
      <c r="AJ24" s="5" t="s">
        <v>141</v>
      </c>
      <c r="AK24" s="1" t="s">
        <v>142</v>
      </c>
    </row>
    <row r="25" spans="1:50" x14ac:dyDescent="0.2">
      <c r="A25" s="15" t="s">
        <v>29</v>
      </c>
      <c r="B25" s="15" t="s">
        <v>35</v>
      </c>
      <c r="C25" s="15">
        <v>0</v>
      </c>
      <c r="D25" s="15" t="s">
        <v>6</v>
      </c>
      <c r="E25" s="17">
        <v>327.99</v>
      </c>
      <c r="F25" s="15">
        <v>12</v>
      </c>
      <c r="G25" s="19">
        <f>E25*F25</f>
        <v>3935.88</v>
      </c>
      <c r="H25" s="17">
        <f>G25</f>
        <v>3935.88</v>
      </c>
      <c r="I25" t="s">
        <v>88</v>
      </c>
      <c r="J25" t="s">
        <v>168</v>
      </c>
      <c r="K25" s="56" t="s">
        <v>178</v>
      </c>
      <c r="L25" t="s">
        <v>180</v>
      </c>
      <c r="M25">
        <v>5</v>
      </c>
      <c r="N25" t="s">
        <v>222</v>
      </c>
      <c r="W25" t="s">
        <v>152</v>
      </c>
      <c r="AI25" t="s">
        <v>77</v>
      </c>
      <c r="AJ25" s="2">
        <f>SUM($H$3:$H$64)</f>
        <v>625172.68687759305</v>
      </c>
      <c r="AK25" s="3">
        <f>AJ25*3528</f>
        <v>2205609239.3041482</v>
      </c>
    </row>
    <row r="26" spans="1:50" x14ac:dyDescent="0.2">
      <c r="A26" s="20" t="s">
        <v>36</v>
      </c>
      <c r="B26" s="20" t="s">
        <v>37</v>
      </c>
      <c r="C26" s="20">
        <v>8</v>
      </c>
      <c r="D26" s="21">
        <v>2600400</v>
      </c>
      <c r="E26" s="21">
        <f t="shared" ref="E26:E43" si="6">(D26/176)*C26</f>
        <v>118200</v>
      </c>
      <c r="F26" s="20">
        <v>24</v>
      </c>
      <c r="G26" s="21">
        <f t="shared" ref="G26:G64" si="7">F26*E26</f>
        <v>2836800</v>
      </c>
      <c r="H26" s="22">
        <f t="shared" ref="H26:H64" si="8">G26/3528</f>
        <v>804.08163265306121</v>
      </c>
      <c r="I26" t="s">
        <v>85</v>
      </c>
      <c r="J26" t="s">
        <v>168</v>
      </c>
      <c r="K26" s="57" t="s">
        <v>170</v>
      </c>
      <c r="L26" s="57" t="s">
        <v>179</v>
      </c>
      <c r="M26">
        <v>5</v>
      </c>
      <c r="N26" t="s">
        <v>222</v>
      </c>
      <c r="W26" s="41" t="s">
        <v>162</v>
      </c>
      <c r="AI26" t="s">
        <v>78</v>
      </c>
      <c r="AJ26" s="2">
        <f>$H$66-$H$61-$H$20</f>
        <v>60954.197081674705</v>
      </c>
      <c r="AK26" s="3">
        <f>AJ26*3528</f>
        <v>215046407.30414835</v>
      </c>
    </row>
    <row r="27" spans="1:50" x14ac:dyDescent="0.2">
      <c r="A27" s="20" t="s">
        <v>36</v>
      </c>
      <c r="B27" s="20" t="s">
        <v>38</v>
      </c>
      <c r="C27" s="20">
        <v>0</v>
      </c>
      <c r="D27" s="21">
        <v>5000000</v>
      </c>
      <c r="E27" s="21">
        <f t="shared" si="6"/>
        <v>0</v>
      </c>
      <c r="F27" s="20">
        <v>12</v>
      </c>
      <c r="G27" s="21">
        <f t="shared" si="7"/>
        <v>0</v>
      </c>
      <c r="H27" s="22">
        <f t="shared" si="8"/>
        <v>0</v>
      </c>
      <c r="I27" t="s">
        <v>85</v>
      </c>
      <c r="J27" t="s">
        <v>168</v>
      </c>
      <c r="K27" s="57" t="s">
        <v>170</v>
      </c>
      <c r="L27" s="57" t="s">
        <v>180</v>
      </c>
      <c r="M27">
        <v>1</v>
      </c>
      <c r="N27" t="s">
        <v>221</v>
      </c>
      <c r="W27" t="s">
        <v>157</v>
      </c>
      <c r="AI27" t="s">
        <v>160</v>
      </c>
      <c r="AJ27" s="2">
        <f>AL20</f>
        <v>26358.633171900259</v>
      </c>
      <c r="AK27" s="3">
        <f>AJ27*3528</f>
        <v>92993257.83046411</v>
      </c>
    </row>
    <row r="28" spans="1:50" x14ac:dyDescent="0.2">
      <c r="A28" s="20" t="s">
        <v>36</v>
      </c>
      <c r="B28" s="20" t="s">
        <v>39</v>
      </c>
      <c r="C28" s="20">
        <v>3</v>
      </c>
      <c r="D28" s="21">
        <v>500000</v>
      </c>
      <c r="E28" s="21">
        <f t="shared" si="6"/>
        <v>8522.7272727272721</v>
      </c>
      <c r="F28" s="20">
        <v>12</v>
      </c>
      <c r="G28" s="21">
        <f t="shared" si="7"/>
        <v>102272.72727272726</v>
      </c>
      <c r="H28" s="22">
        <f t="shared" si="8"/>
        <v>28.988868274582558</v>
      </c>
      <c r="I28" t="s">
        <v>85</v>
      </c>
      <c r="J28" t="s">
        <v>168</v>
      </c>
      <c r="K28" s="57" t="s">
        <v>170</v>
      </c>
      <c r="L28" s="57" t="s">
        <v>180</v>
      </c>
      <c r="M28">
        <v>1</v>
      </c>
      <c r="N28" t="s">
        <v>221</v>
      </c>
      <c r="W28" s="41"/>
      <c r="X28" s="55" t="s">
        <v>156</v>
      </c>
      <c r="AB28" s="41"/>
      <c r="AG28" s="41"/>
      <c r="AI28" t="s">
        <v>161</v>
      </c>
      <c r="AJ28" s="2">
        <f>$H$67-$H$68</f>
        <v>18426.413634962686</v>
      </c>
      <c r="AK28" s="3">
        <f>AJ28*3528</f>
        <v>65008387.304148354</v>
      </c>
      <c r="AL28" s="41"/>
      <c r="AS28" s="41"/>
      <c r="AT28" s="41"/>
      <c r="AU28" s="41"/>
      <c r="AV28" s="41"/>
      <c r="AW28" s="41"/>
      <c r="AX28" s="41"/>
    </row>
    <row r="29" spans="1:50" x14ac:dyDescent="0.2">
      <c r="A29" s="20" t="s">
        <v>36</v>
      </c>
      <c r="B29" s="20" t="s">
        <v>40</v>
      </c>
      <c r="C29" s="20">
        <v>3</v>
      </c>
      <c r="D29" s="21">
        <v>1176028</v>
      </c>
      <c r="E29" s="21">
        <f t="shared" si="6"/>
        <v>20045.93181818182</v>
      </c>
      <c r="F29" s="20">
        <v>12</v>
      </c>
      <c r="G29" s="21">
        <f t="shared" si="7"/>
        <v>240551.18181818182</v>
      </c>
      <c r="H29" s="22">
        <f t="shared" si="8"/>
        <v>68.183441558441558</v>
      </c>
      <c r="I29" t="s">
        <v>85</v>
      </c>
      <c r="J29" t="s">
        <v>168</v>
      </c>
      <c r="K29" s="57" t="s">
        <v>178</v>
      </c>
      <c r="L29" s="57" t="s">
        <v>180</v>
      </c>
      <c r="M29">
        <v>5</v>
      </c>
      <c r="N29" t="s">
        <v>222</v>
      </c>
      <c r="W29" t="s">
        <v>158</v>
      </c>
      <c r="X29" s="55"/>
      <c r="AJ29" s="2"/>
      <c r="AK29" s="3"/>
    </row>
    <row r="30" spans="1:50" x14ac:dyDescent="0.2">
      <c r="A30" s="20" t="s">
        <v>36</v>
      </c>
      <c r="B30" s="20" t="s">
        <v>41</v>
      </c>
      <c r="C30" s="20">
        <v>3</v>
      </c>
      <c r="D30" s="21">
        <v>753862</v>
      </c>
      <c r="E30" s="21">
        <f t="shared" si="6"/>
        <v>12849.920454545454</v>
      </c>
      <c r="F30" s="20">
        <f>2*12</f>
        <v>24</v>
      </c>
      <c r="G30" s="21">
        <f t="shared" si="7"/>
        <v>308398.09090909088</v>
      </c>
      <c r="H30" s="22">
        <f t="shared" si="8"/>
        <v>87.41442486085343</v>
      </c>
      <c r="I30" t="s">
        <v>85</v>
      </c>
      <c r="J30" t="s">
        <v>168</v>
      </c>
      <c r="K30" s="57" t="s">
        <v>178</v>
      </c>
      <c r="L30" s="57" t="s">
        <v>180</v>
      </c>
      <c r="M30">
        <v>5</v>
      </c>
      <c r="N30" t="s">
        <v>222</v>
      </c>
      <c r="AI30" t="s">
        <v>163</v>
      </c>
      <c r="AJ30" s="2">
        <f>AJ27/10</f>
        <v>2635.863317190026</v>
      </c>
    </row>
    <row r="31" spans="1:50" ht="16" thickBot="1" x14ac:dyDescent="0.25">
      <c r="A31" s="20" t="s">
        <v>36</v>
      </c>
      <c r="B31" s="20" t="s">
        <v>42</v>
      </c>
      <c r="C31" s="20">
        <v>3</v>
      </c>
      <c r="D31" s="21">
        <v>413158</v>
      </c>
      <c r="E31" s="21">
        <f t="shared" si="6"/>
        <v>7042.4659090909099</v>
      </c>
      <c r="F31" s="20">
        <f>3*12</f>
        <v>36</v>
      </c>
      <c r="G31" s="21">
        <f t="shared" si="7"/>
        <v>253528.77272727276</v>
      </c>
      <c r="H31" s="22">
        <f t="shared" si="8"/>
        <v>71.861897031539897</v>
      </c>
      <c r="I31" t="s">
        <v>85</v>
      </c>
      <c r="J31" t="s">
        <v>168</v>
      </c>
      <c r="K31" s="57" t="s">
        <v>178</v>
      </c>
      <c r="L31" s="57" t="s">
        <v>180</v>
      </c>
      <c r="M31">
        <v>5</v>
      </c>
      <c r="N31" t="s">
        <v>222</v>
      </c>
      <c r="AI31" t="s">
        <v>164</v>
      </c>
      <c r="AJ31" s="2">
        <f>AJ28/10</f>
        <v>1842.6413634962687</v>
      </c>
    </row>
    <row r="32" spans="1:50" ht="16" thickBot="1" x14ac:dyDescent="0.25">
      <c r="A32" s="20" t="s">
        <v>36</v>
      </c>
      <c r="B32" s="20" t="s">
        <v>43</v>
      </c>
      <c r="C32" s="20">
        <v>3</v>
      </c>
      <c r="D32" s="21">
        <v>413158</v>
      </c>
      <c r="E32" s="21">
        <f t="shared" si="6"/>
        <v>7042.4659090909099</v>
      </c>
      <c r="F32" s="20">
        <f>3*12</f>
        <v>36</v>
      </c>
      <c r="G32" s="21">
        <f t="shared" si="7"/>
        <v>253528.77272727276</v>
      </c>
      <c r="H32" s="22">
        <f t="shared" si="8"/>
        <v>71.861897031539897</v>
      </c>
      <c r="I32" t="s">
        <v>85</v>
      </c>
      <c r="J32" t="s">
        <v>168</v>
      </c>
      <c r="K32" s="57" t="s">
        <v>178</v>
      </c>
      <c r="L32" s="57" t="s">
        <v>180</v>
      </c>
      <c r="M32">
        <v>5</v>
      </c>
      <c r="N32" t="s">
        <v>222</v>
      </c>
      <c r="W32" s="62"/>
      <c r="X32" s="43" t="s">
        <v>167</v>
      </c>
      <c r="Y32" s="43" t="s">
        <v>168</v>
      </c>
      <c r="Z32" s="63" t="s">
        <v>169</v>
      </c>
    </row>
    <row r="33" spans="1:40" x14ac:dyDescent="0.2">
      <c r="A33" s="20" t="s">
        <v>36</v>
      </c>
      <c r="B33" s="20" t="s">
        <v>44</v>
      </c>
      <c r="C33" s="20">
        <v>3</v>
      </c>
      <c r="D33" s="21">
        <v>753862</v>
      </c>
      <c r="E33" s="21">
        <f t="shared" si="6"/>
        <v>12849.920454545454</v>
      </c>
      <c r="F33" s="20">
        <f>2*12</f>
        <v>24</v>
      </c>
      <c r="G33" s="21">
        <f t="shared" si="7"/>
        <v>308398.09090909088</v>
      </c>
      <c r="H33" s="22">
        <f t="shared" si="8"/>
        <v>87.41442486085343</v>
      </c>
      <c r="I33" t="s">
        <v>85</v>
      </c>
      <c r="J33" t="s">
        <v>168</v>
      </c>
      <c r="K33" s="57" t="s">
        <v>178</v>
      </c>
      <c r="L33" s="57" t="s">
        <v>180</v>
      </c>
      <c r="M33">
        <v>5</v>
      </c>
      <c r="N33" t="s">
        <v>222</v>
      </c>
      <c r="W33" s="61" t="s">
        <v>171</v>
      </c>
      <c r="X33" s="41">
        <f>0</f>
        <v>0</v>
      </c>
      <c r="Y33" s="47">
        <f>H17+H18+H19+H23+H24+H25+H29+H30+H31+H32+H33+H34+H38+H39+H40+H41+H42+H43+H45+H48+H49+H50+H52+H60+H63</f>
        <v>41284.828299645196</v>
      </c>
      <c r="Z33" s="58"/>
    </row>
    <row r="34" spans="1:40" x14ac:dyDescent="0.2">
      <c r="A34" s="20" t="s">
        <v>36</v>
      </c>
      <c r="B34" s="20" t="s">
        <v>45</v>
      </c>
      <c r="C34" s="20">
        <v>3</v>
      </c>
      <c r="D34" s="21">
        <v>300000</v>
      </c>
      <c r="E34" s="21">
        <f t="shared" si="6"/>
        <v>5113.636363636364</v>
      </c>
      <c r="F34" s="20">
        <f>14*12</f>
        <v>168</v>
      </c>
      <c r="G34" s="21">
        <f t="shared" si="7"/>
        <v>859090.90909090918</v>
      </c>
      <c r="H34" s="22">
        <f t="shared" si="8"/>
        <v>243.50649350649354</v>
      </c>
      <c r="I34" t="s">
        <v>85</v>
      </c>
      <c r="J34" t="s">
        <v>168</v>
      </c>
      <c r="K34" s="57" t="s">
        <v>178</v>
      </c>
      <c r="L34" s="57" t="s">
        <v>180</v>
      </c>
      <c r="M34">
        <v>5</v>
      </c>
      <c r="N34" t="s">
        <v>222</v>
      </c>
      <c r="W34" s="61" t="s">
        <v>172</v>
      </c>
      <c r="X34" s="41">
        <f>0</f>
        <v>0</v>
      </c>
      <c r="Y34" s="47">
        <f>H53+H54+H55+H56+H57+H58+H62+H64</f>
        <v>10978.599773242633</v>
      </c>
      <c r="Z34" s="58"/>
      <c r="AH34" s="41"/>
      <c r="AI34" s="41"/>
      <c r="AJ34" s="41"/>
      <c r="AK34" s="41"/>
      <c r="AL34" s="41"/>
      <c r="AN34">
        <f>AI37+AJ37+AK37+AL37</f>
        <v>1037</v>
      </c>
    </row>
    <row r="35" spans="1:40" x14ac:dyDescent="0.2">
      <c r="A35" s="20" t="s">
        <v>36</v>
      </c>
      <c r="B35" s="20" t="s">
        <v>46</v>
      </c>
      <c r="C35" s="20">
        <v>4</v>
      </c>
      <c r="D35" s="21">
        <v>2600400</v>
      </c>
      <c r="E35" s="21">
        <f t="shared" si="6"/>
        <v>59100</v>
      </c>
      <c r="F35" s="20">
        <v>24</v>
      </c>
      <c r="G35" s="21">
        <f t="shared" si="7"/>
        <v>1418400</v>
      </c>
      <c r="H35" s="22">
        <f t="shared" si="8"/>
        <v>402.0408163265306</v>
      </c>
      <c r="I35" t="s">
        <v>85</v>
      </c>
      <c r="J35" t="s">
        <v>168</v>
      </c>
      <c r="K35" s="57" t="s">
        <v>170</v>
      </c>
      <c r="L35" s="57" t="s">
        <v>179</v>
      </c>
      <c r="M35">
        <v>5</v>
      </c>
      <c r="N35" t="s">
        <v>222</v>
      </c>
      <c r="W35" s="61" t="s">
        <v>173</v>
      </c>
      <c r="X35" s="47">
        <f>H7+H9</f>
        <v>329.47387619820654</v>
      </c>
      <c r="Y35" s="47">
        <f>H12+H13+H21+H27+H28+H36+H37+H46+H51+H59</f>
        <v>1685.1657520485469</v>
      </c>
      <c r="Z35" s="58"/>
    </row>
    <row r="36" spans="1:40" ht="16" thickBot="1" x14ac:dyDescent="0.25">
      <c r="A36" s="20" t="s">
        <v>36</v>
      </c>
      <c r="B36" s="20" t="s">
        <v>47</v>
      </c>
      <c r="C36" s="20">
        <v>2.3330000000000002</v>
      </c>
      <c r="D36" s="21">
        <v>5000000</v>
      </c>
      <c r="E36" s="21">
        <f t="shared" si="6"/>
        <v>66278.409090909088</v>
      </c>
      <c r="F36" s="20">
        <v>12</v>
      </c>
      <c r="G36" s="21">
        <f t="shared" si="7"/>
        <v>795340.90909090906</v>
      </c>
      <c r="H36" s="22">
        <f t="shared" si="8"/>
        <v>225.43676561533704</v>
      </c>
      <c r="I36" t="s">
        <v>85</v>
      </c>
      <c r="J36" t="s">
        <v>168</v>
      </c>
      <c r="K36" s="57" t="s">
        <v>170</v>
      </c>
      <c r="L36" s="57" t="s">
        <v>180</v>
      </c>
      <c r="M36">
        <v>5</v>
      </c>
      <c r="N36" t="s">
        <v>221</v>
      </c>
      <c r="W36" s="50" t="s">
        <v>174</v>
      </c>
      <c r="X36" s="48">
        <f>SUM(H3:H6,H8,H10:H11,H44,H47)</f>
        <v>4657.2747887033602</v>
      </c>
      <c r="Y36" s="48">
        <f>H14+H15+H16+H22+H26+H35</f>
        <v>2018.8545918367345</v>
      </c>
      <c r="Z36" s="60"/>
      <c r="AH36" s="32"/>
      <c r="AI36" s="35" t="s">
        <v>115</v>
      </c>
      <c r="AJ36" s="35" t="s">
        <v>143</v>
      </c>
      <c r="AK36" s="35" t="s">
        <v>144</v>
      </c>
      <c r="AL36" s="35" t="s">
        <v>145</v>
      </c>
      <c r="AM36" s="37" t="s">
        <v>140</v>
      </c>
    </row>
    <row r="37" spans="1:40" ht="16" thickBot="1" x14ac:dyDescent="0.25">
      <c r="A37" s="20" t="s">
        <v>36</v>
      </c>
      <c r="B37" s="20" t="s">
        <v>48</v>
      </c>
      <c r="C37" s="20">
        <v>4</v>
      </c>
      <c r="D37" s="21">
        <v>500000</v>
      </c>
      <c r="E37" s="21">
        <f t="shared" si="6"/>
        <v>11363.636363636364</v>
      </c>
      <c r="F37" s="20">
        <v>12</v>
      </c>
      <c r="G37" s="21">
        <f t="shared" si="7"/>
        <v>136363.63636363635</v>
      </c>
      <c r="H37" s="22">
        <f t="shared" si="8"/>
        <v>38.651824366110077</v>
      </c>
      <c r="I37" t="s">
        <v>85</v>
      </c>
      <c r="J37" t="s">
        <v>168</v>
      </c>
      <c r="K37" s="57" t="s">
        <v>170</v>
      </c>
      <c r="L37" s="57" t="s">
        <v>180</v>
      </c>
      <c r="M37">
        <v>5</v>
      </c>
      <c r="N37" t="s">
        <v>221</v>
      </c>
      <c r="W37" s="50"/>
      <c r="X37" s="59">
        <f>SUM(X33:X36)</f>
        <v>4986.7486649015664</v>
      </c>
      <c r="Y37" s="59">
        <f>SUM(Y33:Y36)</f>
        <v>55967.448416773113</v>
      </c>
      <c r="Z37" s="60"/>
      <c r="AB37" s="41"/>
      <c r="AG37" s="41"/>
      <c r="AH37" s="39" t="s">
        <v>134</v>
      </c>
      <c r="AI37" s="34">
        <v>312</v>
      </c>
      <c r="AJ37" s="34">
        <v>169</v>
      </c>
      <c r="AK37" s="34">
        <v>163</v>
      </c>
      <c r="AL37" s="34">
        <v>393</v>
      </c>
      <c r="AM37" s="40">
        <f>SUM(AI37:AL37)/4</f>
        <v>259.25</v>
      </c>
    </row>
    <row r="38" spans="1:40" x14ac:dyDescent="0.2">
      <c r="A38" s="20" t="s">
        <v>36</v>
      </c>
      <c r="B38" s="20" t="s">
        <v>49</v>
      </c>
      <c r="C38" s="20">
        <v>0</v>
      </c>
      <c r="D38" s="21">
        <v>1176028</v>
      </c>
      <c r="E38" s="21">
        <f t="shared" si="6"/>
        <v>0</v>
      </c>
      <c r="F38" s="20">
        <v>12</v>
      </c>
      <c r="G38" s="21">
        <f t="shared" si="7"/>
        <v>0</v>
      </c>
      <c r="H38" s="22">
        <f t="shared" si="8"/>
        <v>0</v>
      </c>
      <c r="I38" t="s">
        <v>85</v>
      </c>
      <c r="J38" t="s">
        <v>168</v>
      </c>
      <c r="K38" s="57" t="s">
        <v>178</v>
      </c>
      <c r="L38" s="57" t="s">
        <v>180</v>
      </c>
      <c r="M38">
        <v>5</v>
      </c>
      <c r="N38" t="s">
        <v>222</v>
      </c>
      <c r="W38" s="64" t="s">
        <v>185</v>
      </c>
      <c r="AH38" s="33" t="s">
        <v>165</v>
      </c>
      <c r="AI38" s="38">
        <f>$AJ$30/AI37</f>
        <v>8.448279862788544</v>
      </c>
      <c r="AJ38" s="38">
        <f>$AJ$30/AJ37</f>
        <v>15.59682436207116</v>
      </c>
      <c r="AK38" s="38">
        <f>$AJ$30/AK37</f>
        <v>16.170940596257829</v>
      </c>
      <c r="AL38" s="38">
        <f>$AJ$30/AL37</f>
        <v>6.7070313414504481</v>
      </c>
      <c r="AM38" s="36">
        <f>((AI37/AN34)*AI38)+((AJ37/AN34)*AJ38+((AK37/AN34)*AK38+((AL37/AN34)*AL38)))</f>
        <v>10.167264482893062</v>
      </c>
    </row>
    <row r="39" spans="1:40" x14ac:dyDescent="0.2">
      <c r="A39" s="20" t="s">
        <v>36</v>
      </c>
      <c r="B39" s="20" t="s">
        <v>50</v>
      </c>
      <c r="C39" s="20">
        <v>0</v>
      </c>
      <c r="D39" s="21">
        <v>753862</v>
      </c>
      <c r="E39" s="21">
        <f t="shared" si="6"/>
        <v>0</v>
      </c>
      <c r="F39" s="20">
        <f>2*12</f>
        <v>24</v>
      </c>
      <c r="G39" s="21">
        <f t="shared" si="7"/>
        <v>0</v>
      </c>
      <c r="H39" s="22">
        <f t="shared" si="8"/>
        <v>0</v>
      </c>
      <c r="I39" t="s">
        <v>85</v>
      </c>
      <c r="J39" t="s">
        <v>168</v>
      </c>
      <c r="K39" s="57" t="s">
        <v>178</v>
      </c>
      <c r="L39" s="57" t="s">
        <v>180</v>
      </c>
      <c r="M39">
        <v>5</v>
      </c>
      <c r="N39" t="s">
        <v>222</v>
      </c>
      <c r="W39" s="64"/>
      <c r="Y39" s="25">
        <f>SUM(X37:Y37)</f>
        <v>60954.197081674676</v>
      </c>
      <c r="AH39" s="41" t="s">
        <v>166</v>
      </c>
      <c r="AI39" s="47">
        <f>$AJ$31/AI37</f>
        <v>5.9059018060777841</v>
      </c>
      <c r="AJ39" s="47">
        <f>$AJ$31/AJ37</f>
        <v>10.903203334297448</v>
      </c>
      <c r="AK39" s="47">
        <f>$AJ$31/AK37</f>
        <v>11.304548242308396</v>
      </c>
      <c r="AL39" s="47">
        <f>$AJ$31/AL37</f>
        <v>4.6886548689472489</v>
      </c>
      <c r="AM39" s="36">
        <f>((AI37/AN34)*AI39)+((AJ37/AN34)*AJ39+((AK37/AN34)*AK39+((AL37/AN34)*AL39)))</f>
        <v>7.1075848158004575</v>
      </c>
    </row>
    <row r="40" spans="1:40" x14ac:dyDescent="0.2">
      <c r="A40" s="20" t="s">
        <v>36</v>
      </c>
      <c r="B40" s="20" t="s">
        <v>51</v>
      </c>
      <c r="C40" s="20">
        <v>0</v>
      </c>
      <c r="D40" s="21">
        <v>413158</v>
      </c>
      <c r="E40" s="21">
        <f t="shared" si="6"/>
        <v>0</v>
      </c>
      <c r="F40" s="20">
        <f>3*12</f>
        <v>36</v>
      </c>
      <c r="G40" s="21">
        <f t="shared" si="7"/>
        <v>0</v>
      </c>
      <c r="H40" s="22">
        <f t="shared" si="8"/>
        <v>0</v>
      </c>
      <c r="I40" t="s">
        <v>85</v>
      </c>
      <c r="J40" t="s">
        <v>168</v>
      </c>
      <c r="K40" s="57" t="s">
        <v>178</v>
      </c>
      <c r="L40" s="57" t="s">
        <v>180</v>
      </c>
      <c r="M40">
        <v>5</v>
      </c>
      <c r="N40" t="s">
        <v>222</v>
      </c>
      <c r="AH40" s="41"/>
      <c r="AI40" s="47"/>
      <c r="AJ40" s="47"/>
      <c r="AK40" s="47"/>
      <c r="AL40" s="47"/>
    </row>
    <row r="41" spans="1:40" x14ac:dyDescent="0.2">
      <c r="A41" s="20" t="s">
        <v>36</v>
      </c>
      <c r="B41" s="20" t="s">
        <v>52</v>
      </c>
      <c r="C41" s="20">
        <v>0</v>
      </c>
      <c r="D41" s="21">
        <v>413158</v>
      </c>
      <c r="E41" s="21">
        <f t="shared" si="6"/>
        <v>0</v>
      </c>
      <c r="F41" s="20">
        <f>3*12</f>
        <v>36</v>
      </c>
      <c r="G41" s="21">
        <f t="shared" si="7"/>
        <v>0</v>
      </c>
      <c r="H41" s="22">
        <f t="shared" si="8"/>
        <v>0</v>
      </c>
      <c r="I41" t="s">
        <v>85</v>
      </c>
      <c r="J41" t="s">
        <v>168</v>
      </c>
      <c r="K41" s="57" t="s">
        <v>178</v>
      </c>
      <c r="L41" s="57" t="s">
        <v>180</v>
      </c>
      <c r="M41">
        <v>5</v>
      </c>
      <c r="N41" t="s">
        <v>222</v>
      </c>
    </row>
    <row r="42" spans="1:40" x14ac:dyDescent="0.2">
      <c r="A42" s="20" t="s">
        <v>36</v>
      </c>
      <c r="B42" s="20" t="s">
        <v>53</v>
      </c>
      <c r="C42" s="20">
        <v>4</v>
      </c>
      <c r="D42" s="21">
        <v>753862</v>
      </c>
      <c r="E42" s="21">
        <f t="shared" si="6"/>
        <v>17133.227272727272</v>
      </c>
      <c r="F42" s="20">
        <f>2*12</f>
        <v>24</v>
      </c>
      <c r="G42" s="21">
        <f t="shared" si="7"/>
        <v>411197.45454545453</v>
      </c>
      <c r="H42" s="22">
        <f t="shared" si="8"/>
        <v>116.5525664811379</v>
      </c>
      <c r="I42" t="s">
        <v>85</v>
      </c>
      <c r="J42" t="s">
        <v>168</v>
      </c>
      <c r="K42" s="57" t="s">
        <v>178</v>
      </c>
      <c r="L42" s="57" t="s">
        <v>180</v>
      </c>
      <c r="M42">
        <v>5</v>
      </c>
      <c r="N42" t="s">
        <v>222</v>
      </c>
      <c r="W42" s="41"/>
      <c r="Z42" s="41"/>
    </row>
    <row r="43" spans="1:40" x14ac:dyDescent="0.2">
      <c r="A43" s="20" t="s">
        <v>36</v>
      </c>
      <c r="B43" s="20" t="s">
        <v>54</v>
      </c>
      <c r="C43" s="20">
        <v>0</v>
      </c>
      <c r="D43" s="21">
        <v>413158</v>
      </c>
      <c r="E43" s="21">
        <f t="shared" si="6"/>
        <v>0</v>
      </c>
      <c r="F43" s="20">
        <f>14*12</f>
        <v>168</v>
      </c>
      <c r="G43" s="21">
        <f t="shared" si="7"/>
        <v>0</v>
      </c>
      <c r="H43" s="22">
        <f t="shared" si="8"/>
        <v>0</v>
      </c>
      <c r="I43" t="s">
        <v>85</v>
      </c>
      <c r="J43" t="s">
        <v>168</v>
      </c>
      <c r="K43" s="57" t="s">
        <v>178</v>
      </c>
      <c r="L43" s="57" t="s">
        <v>180</v>
      </c>
      <c r="M43">
        <v>5</v>
      </c>
      <c r="N43" t="s">
        <v>222</v>
      </c>
    </row>
    <row r="44" spans="1:40" x14ac:dyDescent="0.2">
      <c r="A44" s="20" t="s">
        <v>36</v>
      </c>
      <c r="B44" s="20" t="s">
        <v>55</v>
      </c>
      <c r="C44" s="20">
        <v>14</v>
      </c>
      <c r="D44" s="21">
        <f>D35</f>
        <v>2600400</v>
      </c>
      <c r="E44" s="21">
        <f>2290000+(D44/176)*C44</f>
        <v>2496850</v>
      </c>
      <c r="F44" s="20">
        <v>1</v>
      </c>
      <c r="G44" s="21">
        <f t="shared" si="7"/>
        <v>2496850</v>
      </c>
      <c r="H44" s="22">
        <f t="shared" si="8"/>
        <v>707.72392290249434</v>
      </c>
      <c r="I44" t="s">
        <v>85</v>
      </c>
      <c r="J44" t="s">
        <v>167</v>
      </c>
      <c r="K44" s="57" t="s">
        <v>170</v>
      </c>
      <c r="L44" s="57" t="s">
        <v>179</v>
      </c>
      <c r="M44">
        <v>1</v>
      </c>
      <c r="N44" t="s">
        <v>222</v>
      </c>
      <c r="W44" s="41"/>
      <c r="X44" s="41"/>
      <c r="Y44" s="41"/>
      <c r="Z44" s="41"/>
    </row>
    <row r="45" spans="1:40" ht="16" thickBot="1" x14ac:dyDescent="0.25">
      <c r="A45" s="20" t="s">
        <v>36</v>
      </c>
      <c r="B45" s="20" t="s">
        <v>56</v>
      </c>
      <c r="C45" s="20">
        <v>0</v>
      </c>
      <c r="D45" s="20"/>
      <c r="E45" s="21">
        <v>420000</v>
      </c>
      <c r="F45" s="20">
        <v>1</v>
      </c>
      <c r="G45" s="21">
        <f t="shared" si="7"/>
        <v>420000</v>
      </c>
      <c r="H45" s="22">
        <f t="shared" si="8"/>
        <v>119.04761904761905</v>
      </c>
      <c r="I45" t="s">
        <v>83</v>
      </c>
      <c r="J45" t="s">
        <v>168</v>
      </c>
      <c r="K45" s="57" t="s">
        <v>178</v>
      </c>
      <c r="L45" s="57" t="s">
        <v>180</v>
      </c>
      <c r="M45">
        <v>1</v>
      </c>
      <c r="N45" t="s">
        <v>221</v>
      </c>
      <c r="W45" s="41"/>
      <c r="Z45" s="41"/>
      <c r="AA45" t="s">
        <v>258</v>
      </c>
    </row>
    <row r="46" spans="1:40" ht="16" thickBot="1" x14ac:dyDescent="0.25">
      <c r="A46" s="20" t="s">
        <v>36</v>
      </c>
      <c r="B46" s="20" t="s">
        <v>57</v>
      </c>
      <c r="C46" s="20">
        <v>0</v>
      </c>
      <c r="D46" s="20"/>
      <c r="E46" s="21">
        <v>15000</v>
      </c>
      <c r="F46" s="20">
        <v>146.66666670000001</v>
      </c>
      <c r="G46" s="21">
        <f t="shared" si="7"/>
        <v>2200000.0005000001</v>
      </c>
      <c r="H46" s="22">
        <f t="shared" si="8"/>
        <v>623.58276658163265</v>
      </c>
      <c r="I46" t="s">
        <v>86</v>
      </c>
      <c r="J46" t="s">
        <v>168</v>
      </c>
      <c r="K46" s="57" t="s">
        <v>170</v>
      </c>
      <c r="L46" s="57" t="s">
        <v>180</v>
      </c>
      <c r="M46">
        <v>1</v>
      </c>
      <c r="N46" t="s">
        <v>221</v>
      </c>
      <c r="W46" s="62"/>
      <c r="X46" s="43" t="s">
        <v>167</v>
      </c>
      <c r="Y46" s="43" t="s">
        <v>168</v>
      </c>
      <c r="Z46" s="63" t="s">
        <v>169</v>
      </c>
    </row>
    <row r="47" spans="1:40" x14ac:dyDescent="0.2">
      <c r="A47" s="20" t="s">
        <v>36</v>
      </c>
      <c r="B47" s="20" t="s">
        <v>58</v>
      </c>
      <c r="C47" s="20">
        <v>8</v>
      </c>
      <c r="D47" s="21">
        <v>2600400</v>
      </c>
      <c r="E47" s="21">
        <f>D47/176</f>
        <v>14775</v>
      </c>
      <c r="F47" s="20">
        <v>10</v>
      </c>
      <c r="G47" s="21">
        <f t="shared" si="7"/>
        <v>147750</v>
      </c>
      <c r="H47" s="22">
        <f t="shared" si="8"/>
        <v>41.879251700680271</v>
      </c>
      <c r="I47" t="s">
        <v>85</v>
      </c>
      <c r="J47" t="s">
        <v>167</v>
      </c>
      <c r="K47" s="57" t="s">
        <v>170</v>
      </c>
      <c r="L47" s="57" t="s">
        <v>179</v>
      </c>
      <c r="M47">
        <v>1</v>
      </c>
      <c r="N47" t="s">
        <v>222</v>
      </c>
      <c r="W47" s="61" t="s">
        <v>171</v>
      </c>
      <c r="X47" s="104">
        <f>0</f>
        <v>0</v>
      </c>
      <c r="Y47" s="105">
        <f>H19+H23+H25+H29+H30+H31+H32+H33+H34+H38+H39+H40+H41+H42+H43+H45+H48+H49+H50+H52+H60+H63</f>
        <v>6689.264389870782</v>
      </c>
      <c r="Z47" s="106">
        <f>AB47*0.6</f>
        <v>1792.2430799999997</v>
      </c>
      <c r="AA47" s="41"/>
      <c r="AB47" s="103">
        <f>SUM(Maintenance!D15:M15)</f>
        <v>2987.0717999999997</v>
      </c>
      <c r="AG47" s="41"/>
      <c r="AH47" s="41"/>
      <c r="AI47" s="41"/>
      <c r="AJ47" s="41"/>
      <c r="AK47" s="41"/>
      <c r="AL47" s="41"/>
    </row>
    <row r="48" spans="1:40" x14ac:dyDescent="0.2">
      <c r="A48" s="20" t="s">
        <v>36</v>
      </c>
      <c r="B48" s="20" t="s">
        <v>59</v>
      </c>
      <c r="C48" s="20">
        <v>0</v>
      </c>
      <c r="D48" s="20"/>
      <c r="E48" s="21">
        <v>250000</v>
      </c>
      <c r="F48" s="20">
        <v>1</v>
      </c>
      <c r="G48" s="21">
        <f t="shared" si="7"/>
        <v>250000</v>
      </c>
      <c r="H48" s="22">
        <f t="shared" si="8"/>
        <v>70.86167800453515</v>
      </c>
      <c r="I48" t="s">
        <v>83</v>
      </c>
      <c r="J48" t="s">
        <v>168</v>
      </c>
      <c r="K48" s="56" t="s">
        <v>178</v>
      </c>
      <c r="L48" s="57" t="s">
        <v>180</v>
      </c>
      <c r="M48">
        <v>5</v>
      </c>
      <c r="N48" t="s">
        <v>221</v>
      </c>
      <c r="W48" s="61" t="s">
        <v>172</v>
      </c>
      <c r="X48" s="104">
        <f>0</f>
        <v>0</v>
      </c>
      <c r="Y48" s="105">
        <f>H53+H54+H55+H56+H57+H58+H62+H64</f>
        <v>10978.599773242633</v>
      </c>
      <c r="Z48" s="107">
        <v>0</v>
      </c>
      <c r="AA48" t="s">
        <v>260</v>
      </c>
      <c r="AB48" s="25">
        <f>AB47/12</f>
        <v>248.92264999999998</v>
      </c>
    </row>
    <row r="49" spans="1:38" x14ac:dyDescent="0.2">
      <c r="A49" s="20" t="s">
        <v>36</v>
      </c>
      <c r="B49" s="20" t="s">
        <v>60</v>
      </c>
      <c r="C49" s="20">
        <v>0</v>
      </c>
      <c r="D49" s="20"/>
      <c r="E49" s="21">
        <v>170000</v>
      </c>
      <c r="F49" s="20">
        <v>1</v>
      </c>
      <c r="G49" s="21">
        <f t="shared" si="7"/>
        <v>170000</v>
      </c>
      <c r="H49" s="22">
        <f t="shared" si="8"/>
        <v>48.185941043083901</v>
      </c>
      <c r="I49" t="s">
        <v>88</v>
      </c>
      <c r="J49" t="s">
        <v>168</v>
      </c>
      <c r="K49" s="57" t="s">
        <v>178</v>
      </c>
      <c r="L49" s="57" t="s">
        <v>180</v>
      </c>
      <c r="M49">
        <v>5</v>
      </c>
      <c r="N49" t="s">
        <v>222</v>
      </c>
      <c r="W49" s="61" t="s">
        <v>173</v>
      </c>
      <c r="X49" s="105">
        <f>H7+H9</f>
        <v>329.47387619820654</v>
      </c>
      <c r="Y49" s="105">
        <f>H12+H13+H21+H27+H28+H36+H37+H46+H51+H59</f>
        <v>1685.1657520485469</v>
      </c>
      <c r="Z49" s="106">
        <f>AB47*0.4</f>
        <v>1194.82872</v>
      </c>
      <c r="AB49" s="25">
        <f>7122/AB48</f>
        <v>28.611297525556637</v>
      </c>
    </row>
    <row r="50" spans="1:38" ht="16" thickBot="1" x14ac:dyDescent="0.25">
      <c r="A50" s="20" t="s">
        <v>36</v>
      </c>
      <c r="B50" s="20" t="s">
        <v>61</v>
      </c>
      <c r="C50" s="20">
        <v>0</v>
      </c>
      <c r="D50" s="20"/>
      <c r="E50" s="21">
        <v>200000</v>
      </c>
      <c r="F50" s="20">
        <v>1</v>
      </c>
      <c r="G50" s="21">
        <f t="shared" si="7"/>
        <v>200000</v>
      </c>
      <c r="H50" s="22">
        <f t="shared" si="8"/>
        <v>56.689342403628117</v>
      </c>
      <c r="I50" t="s">
        <v>88</v>
      </c>
      <c r="J50" t="s">
        <v>168</v>
      </c>
      <c r="K50" s="57" t="s">
        <v>178</v>
      </c>
      <c r="L50" s="57" t="s">
        <v>180</v>
      </c>
      <c r="M50">
        <v>5</v>
      </c>
      <c r="N50" t="s">
        <v>222</v>
      </c>
      <c r="W50" s="50" t="s">
        <v>174</v>
      </c>
      <c r="X50" s="108">
        <f>SUM(H3:H6,H8,H10:H11,H44,H47)</f>
        <v>4657.2747887033602</v>
      </c>
      <c r="Y50" s="108">
        <f>H14+H15+H16+H22+H26+H35</f>
        <v>2018.8545918367345</v>
      </c>
      <c r="Z50" s="109">
        <v>0</v>
      </c>
      <c r="AB50" s="25"/>
    </row>
    <row r="51" spans="1:38" ht="16" thickBot="1" x14ac:dyDescent="0.25">
      <c r="A51" s="20" t="s">
        <v>36</v>
      </c>
      <c r="B51" s="20" t="s">
        <v>62</v>
      </c>
      <c r="C51" s="20">
        <v>0</v>
      </c>
      <c r="D51" s="20"/>
      <c r="E51" s="21">
        <v>2200200</v>
      </c>
      <c r="F51" s="20">
        <v>1</v>
      </c>
      <c r="G51" s="21">
        <f t="shared" si="7"/>
        <v>2200200</v>
      </c>
      <c r="H51" s="22">
        <f t="shared" si="8"/>
        <v>623.63945578231289</v>
      </c>
      <c r="I51" t="s">
        <v>86</v>
      </c>
      <c r="J51" t="s">
        <v>168</v>
      </c>
      <c r="K51" s="57" t="s">
        <v>170</v>
      </c>
      <c r="L51" s="57" t="s">
        <v>180</v>
      </c>
      <c r="M51">
        <v>1</v>
      </c>
      <c r="N51" t="s">
        <v>221</v>
      </c>
      <c r="W51" s="50"/>
      <c r="X51" s="110">
        <f>SUM(X47:X50)</f>
        <v>4986.7486649015664</v>
      </c>
      <c r="Y51" s="110">
        <f>SUM(Y47:Y50)</f>
        <v>21371.884506998696</v>
      </c>
      <c r="Z51" s="111">
        <f>SUM(Z47:Z50)</f>
        <v>2987.0717999999997</v>
      </c>
    </row>
    <row r="52" spans="1:38" x14ac:dyDescent="0.2">
      <c r="A52" s="20" t="s">
        <v>36</v>
      </c>
      <c r="B52" s="20" t="s">
        <v>63</v>
      </c>
      <c r="C52" s="20">
        <v>0</v>
      </c>
      <c r="D52" s="20"/>
      <c r="E52" s="21">
        <v>1300000</v>
      </c>
      <c r="F52" s="20">
        <v>1</v>
      </c>
      <c r="G52" s="21">
        <f t="shared" si="7"/>
        <v>1300000</v>
      </c>
      <c r="H52" s="22">
        <f t="shared" si="8"/>
        <v>368.48072562358277</v>
      </c>
      <c r="I52" t="s">
        <v>83</v>
      </c>
      <c r="J52" t="s">
        <v>168</v>
      </c>
      <c r="K52" s="57" t="s">
        <v>178</v>
      </c>
      <c r="L52" s="57" t="s">
        <v>180</v>
      </c>
      <c r="M52">
        <v>1</v>
      </c>
      <c r="N52" t="s">
        <v>221</v>
      </c>
      <c r="V52" s="41"/>
      <c r="W52" s="65" t="s">
        <v>184</v>
      </c>
    </row>
    <row r="53" spans="1:38" x14ac:dyDescent="0.2">
      <c r="A53" s="20" t="s">
        <v>36</v>
      </c>
      <c r="B53" s="20" t="s">
        <v>64</v>
      </c>
      <c r="C53" s="20">
        <v>0</v>
      </c>
      <c r="D53" s="20"/>
      <c r="E53" s="21">
        <v>653500</v>
      </c>
      <c r="F53" s="20">
        <v>12</v>
      </c>
      <c r="G53" s="21">
        <f t="shared" si="7"/>
        <v>7842000</v>
      </c>
      <c r="H53" s="22">
        <f t="shared" si="8"/>
        <v>2222.7891156462583</v>
      </c>
      <c r="I53" t="s">
        <v>88</v>
      </c>
      <c r="J53" t="s">
        <v>168</v>
      </c>
      <c r="K53" s="57" t="s">
        <v>178</v>
      </c>
      <c r="L53" s="56" t="s">
        <v>179</v>
      </c>
      <c r="M53">
        <v>5</v>
      </c>
      <c r="N53" t="s">
        <v>222</v>
      </c>
      <c r="Y53" s="117"/>
      <c r="Z53" s="25"/>
    </row>
    <row r="54" spans="1:38" ht="16" thickBot="1" x14ac:dyDescent="0.25">
      <c r="A54" s="20" t="s">
        <v>36</v>
      </c>
      <c r="B54" s="20" t="s">
        <v>65</v>
      </c>
      <c r="C54" s="20">
        <v>0</v>
      </c>
      <c r="D54" s="20"/>
      <c r="E54" s="21">
        <v>653500</v>
      </c>
      <c r="F54" s="20">
        <v>7</v>
      </c>
      <c r="G54" s="21">
        <f t="shared" si="7"/>
        <v>4574500</v>
      </c>
      <c r="H54" s="22">
        <f t="shared" si="8"/>
        <v>1296.6269841269841</v>
      </c>
      <c r="I54" t="s">
        <v>88</v>
      </c>
      <c r="J54" t="s">
        <v>168</v>
      </c>
      <c r="K54" s="57" t="s">
        <v>178</v>
      </c>
      <c r="L54" s="56" t="s">
        <v>179</v>
      </c>
      <c r="M54">
        <v>5</v>
      </c>
      <c r="N54" t="s">
        <v>222</v>
      </c>
      <c r="AG54" s="46" t="s">
        <v>151</v>
      </c>
      <c r="AH54" s="42">
        <f>0</f>
        <v>0</v>
      </c>
      <c r="AI54" s="48">
        <v>0</v>
      </c>
      <c r="AJ54" s="42">
        <f>0</f>
        <v>0</v>
      </c>
      <c r="AK54" s="48">
        <v>0</v>
      </c>
      <c r="AL54" s="49">
        <f>SUM(AH54:AK54)</f>
        <v>0</v>
      </c>
    </row>
    <row r="55" spans="1:38" x14ac:dyDescent="0.2">
      <c r="A55" s="20" t="s">
        <v>36</v>
      </c>
      <c r="B55" s="20" t="s">
        <v>66</v>
      </c>
      <c r="C55" s="20">
        <v>0</v>
      </c>
      <c r="D55" s="20"/>
      <c r="E55" s="21">
        <v>653500</v>
      </c>
      <c r="F55" s="20">
        <v>4</v>
      </c>
      <c r="G55" s="21">
        <f t="shared" si="7"/>
        <v>2614000</v>
      </c>
      <c r="H55" s="22">
        <f t="shared" si="8"/>
        <v>740.92970521541952</v>
      </c>
      <c r="I55" t="s">
        <v>88</v>
      </c>
      <c r="J55" t="s">
        <v>168</v>
      </c>
      <c r="K55" s="57" t="s">
        <v>178</v>
      </c>
      <c r="L55" s="56" t="s">
        <v>179</v>
      </c>
      <c r="M55">
        <v>5</v>
      </c>
      <c r="N55" t="s">
        <v>222</v>
      </c>
      <c r="W55" s="41"/>
      <c r="X55" s="41"/>
      <c r="Y55" s="41"/>
      <c r="Z55" s="41"/>
    </row>
    <row r="56" spans="1:38" ht="16" thickBot="1" x14ac:dyDescent="0.25">
      <c r="A56" s="20" t="s">
        <v>36</v>
      </c>
      <c r="B56" s="20" t="s">
        <v>67</v>
      </c>
      <c r="C56" s="20">
        <v>0</v>
      </c>
      <c r="D56" s="20"/>
      <c r="E56" s="21">
        <v>653500</v>
      </c>
      <c r="F56" s="20">
        <v>32</v>
      </c>
      <c r="G56" s="21">
        <f t="shared" si="7"/>
        <v>20912000</v>
      </c>
      <c r="H56" s="22">
        <f t="shared" si="8"/>
        <v>5927.4376417233561</v>
      </c>
      <c r="I56" t="s">
        <v>88</v>
      </c>
      <c r="J56" s="3" t="s">
        <v>168</v>
      </c>
      <c r="K56" s="57" t="s">
        <v>178</v>
      </c>
      <c r="L56" s="56" t="s">
        <v>179</v>
      </c>
      <c r="M56">
        <v>5</v>
      </c>
      <c r="N56" t="s">
        <v>222</v>
      </c>
      <c r="W56" t="s">
        <v>207</v>
      </c>
    </row>
    <row r="57" spans="1:38" x14ac:dyDescent="0.2">
      <c r="A57" s="20" t="s">
        <v>36</v>
      </c>
      <c r="B57" s="20" t="s">
        <v>68</v>
      </c>
      <c r="C57" s="20">
        <v>0</v>
      </c>
      <c r="D57" s="20"/>
      <c r="E57" s="21">
        <v>200000</v>
      </c>
      <c r="F57" s="20">
        <v>6</v>
      </c>
      <c r="G57" s="21">
        <f t="shared" si="7"/>
        <v>1200000</v>
      </c>
      <c r="H57" s="22">
        <f t="shared" si="8"/>
        <v>340.13605442176873</v>
      </c>
      <c r="I57" t="s">
        <v>83</v>
      </c>
      <c r="J57" s="56" t="s">
        <v>168</v>
      </c>
      <c r="K57" s="57" t="s">
        <v>178</v>
      </c>
      <c r="L57" s="56" t="s">
        <v>179</v>
      </c>
      <c r="M57">
        <v>1</v>
      </c>
      <c r="N57" s="57" t="s">
        <v>221</v>
      </c>
      <c r="V57" s="75" t="s">
        <v>1</v>
      </c>
      <c r="W57" s="76" t="s">
        <v>208</v>
      </c>
      <c r="X57" s="76" t="s">
        <v>11</v>
      </c>
      <c r="Y57" s="76" t="s">
        <v>10</v>
      </c>
      <c r="Z57" s="76" t="s">
        <v>92</v>
      </c>
      <c r="AA57" s="77" t="s">
        <v>209</v>
      </c>
    </row>
    <row r="58" spans="1:38" x14ac:dyDescent="0.2">
      <c r="A58" s="20" t="s">
        <v>36</v>
      </c>
      <c r="B58" s="20" t="s">
        <v>69</v>
      </c>
      <c r="C58" s="20">
        <v>0</v>
      </c>
      <c r="D58" s="20"/>
      <c r="E58" s="21">
        <v>60000</v>
      </c>
      <c r="F58" s="20">
        <v>1</v>
      </c>
      <c r="G58" s="21">
        <f t="shared" si="7"/>
        <v>60000</v>
      </c>
      <c r="H58" s="22">
        <f t="shared" si="8"/>
        <v>17.006802721088434</v>
      </c>
      <c r="I58" t="s">
        <v>83</v>
      </c>
      <c r="J58" t="s">
        <v>168</v>
      </c>
      <c r="K58" s="57" t="s">
        <v>178</v>
      </c>
      <c r="L58" s="56" t="s">
        <v>179</v>
      </c>
      <c r="M58">
        <v>1</v>
      </c>
      <c r="N58" t="s">
        <v>221</v>
      </c>
      <c r="R58" s="25"/>
      <c r="V58" s="78" t="str">
        <f>A21</f>
        <v>Clearing Solar Panels through customs</v>
      </c>
      <c r="W58" s="41" t="s">
        <v>200</v>
      </c>
      <c r="X58" s="41">
        <v>1</v>
      </c>
      <c r="Y58" s="41">
        <v>902.26</v>
      </c>
      <c r="Z58" s="73">
        <f>X58*Y58</f>
        <v>902.26</v>
      </c>
      <c r="AA58" s="58" t="s">
        <v>210</v>
      </c>
    </row>
    <row r="59" spans="1:38" x14ac:dyDescent="0.2">
      <c r="A59" s="20" t="s">
        <v>36</v>
      </c>
      <c r="B59" s="20" t="s">
        <v>70</v>
      </c>
      <c r="C59" s="20">
        <v>0</v>
      </c>
      <c r="D59" s="20"/>
      <c r="E59" s="21">
        <f>AVERAGE(20000,10000)</f>
        <v>15000</v>
      </c>
      <c r="F59" s="20">
        <v>6</v>
      </c>
      <c r="G59" s="21">
        <f t="shared" si="7"/>
        <v>90000</v>
      </c>
      <c r="H59" s="22">
        <f t="shared" si="8"/>
        <v>25.510204081632654</v>
      </c>
      <c r="I59" t="s">
        <v>86</v>
      </c>
      <c r="J59" t="s">
        <v>168</v>
      </c>
      <c r="K59" s="57" t="s">
        <v>170</v>
      </c>
      <c r="L59" s="57" t="s">
        <v>180</v>
      </c>
      <c r="M59">
        <v>1</v>
      </c>
      <c r="N59" t="s">
        <v>222</v>
      </c>
      <c r="V59" s="78" t="str">
        <f>A3</f>
        <v>District and Facility Introduction Visits</v>
      </c>
      <c r="W59" s="41" t="s">
        <v>214</v>
      </c>
      <c r="X59" s="41">
        <f>F8</f>
        <v>30</v>
      </c>
      <c r="Y59" s="74">
        <f>E8</f>
        <v>132975</v>
      </c>
      <c r="Z59" s="73">
        <v>1330</v>
      </c>
      <c r="AA59" s="58" t="s">
        <v>211</v>
      </c>
    </row>
    <row r="60" spans="1:38" x14ac:dyDescent="0.2">
      <c r="A60" s="20" t="s">
        <v>36</v>
      </c>
      <c r="B60" s="20" t="s">
        <v>71</v>
      </c>
      <c r="C60" s="20">
        <v>0</v>
      </c>
      <c r="D60" s="20"/>
      <c r="E60" s="21">
        <v>18000</v>
      </c>
      <c r="F60" s="20">
        <v>6</v>
      </c>
      <c r="G60" s="21">
        <f t="shared" si="7"/>
        <v>108000</v>
      </c>
      <c r="H60" s="22">
        <f t="shared" si="8"/>
        <v>30.612244897959183</v>
      </c>
      <c r="I60" t="s">
        <v>83</v>
      </c>
      <c r="J60" t="s">
        <v>168</v>
      </c>
      <c r="K60" s="57" t="s">
        <v>178</v>
      </c>
      <c r="L60" s="57" t="s">
        <v>180</v>
      </c>
      <c r="M60">
        <v>1</v>
      </c>
      <c r="N60" t="s">
        <v>221</v>
      </c>
      <c r="V60" s="78" t="str">
        <f>A52</f>
        <v>Installation/Training Site Visits</v>
      </c>
      <c r="W60" s="72" t="s">
        <v>215</v>
      </c>
      <c r="X60" s="83">
        <f>F29+F30+F31+F32+F33+F34+F38+F39+F40+F41+F42+F43</f>
        <v>600</v>
      </c>
      <c r="Y60" s="74" t="s">
        <v>212</v>
      </c>
      <c r="Z60" s="73">
        <f>(G29+G30+G31+G32+G33+G34+G38+G39+G40+G41+G42+G43)/3528</f>
        <v>746.79514533085967</v>
      </c>
      <c r="AA60" s="58" t="s">
        <v>210</v>
      </c>
    </row>
    <row r="61" spans="1:38" x14ac:dyDescent="0.2">
      <c r="A61" s="20" t="s">
        <v>36</v>
      </c>
      <c r="B61" s="20" t="s">
        <v>72</v>
      </c>
      <c r="C61" s="20">
        <v>0</v>
      </c>
      <c r="D61" s="20"/>
      <c r="E61" s="21">
        <v>300000</v>
      </c>
      <c r="F61" s="20">
        <f>5700+900</f>
        <v>6600</v>
      </c>
      <c r="G61" s="21">
        <f t="shared" si="7"/>
        <v>1980000000</v>
      </c>
      <c r="H61" s="22">
        <f t="shared" si="8"/>
        <v>561224.48979591834</v>
      </c>
      <c r="I61" t="s">
        <v>76</v>
      </c>
      <c r="J61" t="s">
        <v>168</v>
      </c>
      <c r="K61" s="57" t="s">
        <v>178</v>
      </c>
      <c r="L61" s="56" t="s">
        <v>180</v>
      </c>
      <c r="M61" t="s">
        <v>224</v>
      </c>
      <c r="N61" t="s">
        <v>224</v>
      </c>
      <c r="V61" s="78" t="str">
        <f>A53</f>
        <v>Installation/Training Site Visits</v>
      </c>
      <c r="W61" s="72" t="s">
        <v>216</v>
      </c>
      <c r="X61" s="41">
        <f>F36</f>
        <v>12</v>
      </c>
      <c r="Y61" s="74">
        <f>E36</f>
        <v>66278.409090909088</v>
      </c>
      <c r="Z61" s="73">
        <f>H27+H36</f>
        <v>225.43676561533704</v>
      </c>
      <c r="AA61" s="58" t="s">
        <v>210</v>
      </c>
    </row>
    <row r="62" spans="1:38" x14ac:dyDescent="0.2">
      <c r="A62" s="20" t="s">
        <v>36</v>
      </c>
      <c r="B62" s="20" t="s">
        <v>73</v>
      </c>
      <c r="C62" s="20">
        <v>0</v>
      </c>
      <c r="D62" s="20"/>
      <c r="E62" s="21">
        <v>250000</v>
      </c>
      <c r="F62" s="20">
        <v>6</v>
      </c>
      <c r="G62" s="21">
        <f t="shared" si="7"/>
        <v>1500000</v>
      </c>
      <c r="H62" s="22">
        <f t="shared" si="8"/>
        <v>425.1700680272109</v>
      </c>
      <c r="I62" t="s">
        <v>83</v>
      </c>
      <c r="J62" s="56" t="s">
        <v>168</v>
      </c>
      <c r="K62" s="57" t="s">
        <v>178</v>
      </c>
      <c r="L62" s="57" t="s">
        <v>179</v>
      </c>
      <c r="M62">
        <v>1</v>
      </c>
      <c r="N62" t="s">
        <v>221</v>
      </c>
      <c r="V62" s="78" t="str">
        <f>A54</f>
        <v>Installation/Training Site Visits</v>
      </c>
      <c r="W62" s="72" t="s">
        <v>218</v>
      </c>
      <c r="X62" s="41">
        <f>F26+F35</f>
        <v>48</v>
      </c>
      <c r="Y62" s="74">
        <f>E26</f>
        <v>118200</v>
      </c>
      <c r="Z62" s="73">
        <f>H26+H35</f>
        <v>1206.1224489795918</v>
      </c>
      <c r="AA62" s="54" t="s">
        <v>179</v>
      </c>
    </row>
    <row r="63" spans="1:38" x14ac:dyDescent="0.2">
      <c r="A63" s="20" t="s">
        <v>36</v>
      </c>
      <c r="B63" s="20" t="s">
        <v>74</v>
      </c>
      <c r="C63" s="20">
        <v>0</v>
      </c>
      <c r="D63" s="20"/>
      <c r="E63" s="21">
        <v>200000</v>
      </c>
      <c r="F63" s="20">
        <v>6</v>
      </c>
      <c r="G63" s="21">
        <f t="shared" si="7"/>
        <v>1200000</v>
      </c>
      <c r="H63" s="22">
        <f t="shared" si="8"/>
        <v>340.13605442176873</v>
      </c>
      <c r="I63" t="s">
        <v>83</v>
      </c>
      <c r="J63" t="s">
        <v>168</v>
      </c>
      <c r="K63" s="57" t="s">
        <v>178</v>
      </c>
      <c r="L63" s="56" t="s">
        <v>180</v>
      </c>
      <c r="M63">
        <v>1</v>
      </c>
      <c r="N63" t="s">
        <v>221</v>
      </c>
      <c r="V63" s="78" t="str">
        <f>A55</f>
        <v>Installation/Training Site Visits</v>
      </c>
      <c r="W63" s="72" t="s">
        <v>217</v>
      </c>
      <c r="X63" s="41">
        <f>F28+F37</f>
        <v>24</v>
      </c>
      <c r="Y63" s="74">
        <f>E28</f>
        <v>8522.7272727272721</v>
      </c>
      <c r="Z63" s="73">
        <f>H28+H37</f>
        <v>67.640692640692635</v>
      </c>
      <c r="AA63" s="58" t="s">
        <v>210</v>
      </c>
    </row>
    <row r="64" spans="1:38" x14ac:dyDescent="0.2">
      <c r="A64" s="20" t="s">
        <v>36</v>
      </c>
      <c r="B64" s="20" t="s">
        <v>75</v>
      </c>
      <c r="C64" s="20">
        <v>0</v>
      </c>
      <c r="D64" s="20"/>
      <c r="E64" s="21">
        <v>10000</v>
      </c>
      <c r="F64" s="20">
        <v>3</v>
      </c>
      <c r="G64" s="21">
        <f t="shared" si="7"/>
        <v>30000</v>
      </c>
      <c r="H64" s="22">
        <f t="shared" si="8"/>
        <v>8.5034013605442169</v>
      </c>
      <c r="I64" t="s">
        <v>83</v>
      </c>
      <c r="J64" t="s">
        <v>168</v>
      </c>
      <c r="K64" s="57" t="s">
        <v>178</v>
      </c>
      <c r="L64" s="57" t="s">
        <v>179</v>
      </c>
      <c r="M64">
        <v>1</v>
      </c>
      <c r="N64" t="s">
        <v>221</v>
      </c>
      <c r="V64" s="78" t="str">
        <f>A56</f>
        <v>Installation/Training Site Visits</v>
      </c>
      <c r="W64" s="72" t="s">
        <v>201</v>
      </c>
      <c r="X64" s="41">
        <f>F53+F54+F55+F56</f>
        <v>55</v>
      </c>
      <c r="Y64" s="41" t="s">
        <v>212</v>
      </c>
      <c r="Z64" s="73">
        <f>H53+H54+H55+H56</f>
        <v>10187.783446712019</v>
      </c>
      <c r="AA64" s="58" t="s">
        <v>213</v>
      </c>
    </row>
    <row r="65" spans="1:27" x14ac:dyDescent="0.2">
      <c r="H65" s="5" t="s">
        <v>141</v>
      </c>
      <c r="I65" s="1" t="s">
        <v>142</v>
      </c>
      <c r="V65" s="78" t="str">
        <f>A3</f>
        <v>District and Facility Introduction Visits</v>
      </c>
      <c r="W65" s="72" t="s">
        <v>202</v>
      </c>
      <c r="X65" s="41">
        <f>F5</f>
        <v>36</v>
      </c>
      <c r="Y65" s="74">
        <f>E5</f>
        <v>140000</v>
      </c>
      <c r="Z65" s="73">
        <f>H5</f>
        <v>1428.5714285714287</v>
      </c>
      <c r="AA65" s="58" t="s">
        <v>211</v>
      </c>
    </row>
    <row r="66" spans="1:27" x14ac:dyDescent="0.2">
      <c r="G66" t="s">
        <v>77</v>
      </c>
      <c r="H66" s="2">
        <f>SUM($H$3:$H$64)</f>
        <v>625172.68687759305</v>
      </c>
      <c r="I66" s="3">
        <f>H66*3528</f>
        <v>2205609239.3041482</v>
      </c>
      <c r="V66" s="78" t="str">
        <f>A21</f>
        <v>Clearing Solar Panels through customs</v>
      </c>
      <c r="W66" s="72" t="s">
        <v>203</v>
      </c>
      <c r="X66" s="41">
        <f>F24</f>
        <v>1</v>
      </c>
      <c r="Y66" s="79">
        <f>E24</f>
        <v>29999</v>
      </c>
      <c r="Z66" s="73">
        <f>H24</f>
        <v>2255.5639097744361</v>
      </c>
      <c r="AA66" s="58" t="s">
        <v>210</v>
      </c>
    </row>
    <row r="67" spans="1:27" x14ac:dyDescent="0.2">
      <c r="F67" t="s">
        <v>79</v>
      </c>
      <c r="G67" t="s">
        <v>78</v>
      </c>
      <c r="H67" s="2">
        <f>$H$66-$H$61-$H$20</f>
        <v>60954.197081674705</v>
      </c>
      <c r="I67" s="3">
        <f>H67*3528</f>
        <v>215046407.30414835</v>
      </c>
      <c r="V67" s="78" t="str">
        <f>A20</f>
        <v>Clearing Gene Xpert through customs</v>
      </c>
      <c r="W67" s="72" t="s">
        <v>204</v>
      </c>
      <c r="X67" s="41">
        <v>6</v>
      </c>
      <c r="Y67" s="80">
        <f>E20</f>
        <v>499</v>
      </c>
      <c r="Z67" s="73">
        <f>H20</f>
        <v>2994</v>
      </c>
      <c r="AA67" s="58" t="s">
        <v>210</v>
      </c>
    </row>
    <row r="68" spans="1:27" x14ac:dyDescent="0.2">
      <c r="G68" t="s">
        <v>80</v>
      </c>
      <c r="H68" s="2">
        <f>SUM($H$53:$H$56,$H$18,$H$17)</f>
        <v>42527.783446712019</v>
      </c>
      <c r="I68" s="3">
        <f t="shared" ref="I68:I70" si="9">H68*3528</f>
        <v>150038020</v>
      </c>
      <c r="V68" s="78" t="str">
        <f>A21</f>
        <v>Clearing Solar Panels through customs</v>
      </c>
      <c r="W68" s="72" t="s">
        <v>205</v>
      </c>
      <c r="X68" s="41">
        <f>F25</f>
        <v>12</v>
      </c>
      <c r="Y68" s="47">
        <f>E25</f>
        <v>327.99</v>
      </c>
      <c r="Z68" s="73">
        <f>H25</f>
        <v>3935.88</v>
      </c>
      <c r="AA68" s="58" t="s">
        <v>210</v>
      </c>
    </row>
    <row r="69" spans="1:27" x14ac:dyDescent="0.2">
      <c r="G69" t="s">
        <v>81</v>
      </c>
      <c r="H69" s="2">
        <f>$H$67-$H$68</f>
        <v>18426.413634962686</v>
      </c>
      <c r="I69" s="3">
        <f t="shared" si="9"/>
        <v>65008387.304148354</v>
      </c>
      <c r="V69" s="78" t="str">
        <f>A16</f>
        <v>Clearing Gene Xpert through customs</v>
      </c>
      <c r="W69" s="72" t="s">
        <v>24</v>
      </c>
      <c r="X69" s="41">
        <f>F17</f>
        <v>12</v>
      </c>
      <c r="Y69" s="80">
        <f>E17</f>
        <v>800</v>
      </c>
      <c r="Z69" s="73">
        <f>H17</f>
        <v>9600</v>
      </c>
      <c r="AA69" s="58" t="s">
        <v>210</v>
      </c>
    </row>
    <row r="70" spans="1:27" ht="16" thickBot="1" x14ac:dyDescent="0.25">
      <c r="E70" s="3">
        <f>E53/3528</f>
        <v>185.23242630385488</v>
      </c>
      <c r="G70" t="s">
        <v>82</v>
      </c>
      <c r="H70" s="2">
        <f>$H$69 - SUM($H$21:$H$25)</f>
        <v>11313.631036203884</v>
      </c>
      <c r="I70" s="3">
        <f t="shared" si="9"/>
        <v>39914490.295727305</v>
      </c>
      <c r="V70" s="81" t="str">
        <f>A17</f>
        <v>Clearing Gene Xpert through customs</v>
      </c>
      <c r="W70" s="84" t="s">
        <v>206</v>
      </c>
      <c r="X70" s="42">
        <f>F18</f>
        <v>12</v>
      </c>
      <c r="Y70" s="82">
        <f>E18</f>
        <v>1895</v>
      </c>
      <c r="Z70" s="59">
        <f>H18</f>
        <v>22740</v>
      </c>
      <c r="AA70" s="60" t="s">
        <v>210</v>
      </c>
    </row>
    <row r="71" spans="1:27" ht="16" thickBot="1" x14ac:dyDescent="0.25"/>
    <row r="72" spans="1:27" ht="16" thickBot="1" x14ac:dyDescent="0.25">
      <c r="A72" t="s">
        <v>186</v>
      </c>
      <c r="E72" s="85" t="s">
        <v>219</v>
      </c>
      <c r="F72" s="63" t="s">
        <v>220</v>
      </c>
    </row>
    <row r="73" spans="1:27" x14ac:dyDescent="0.2">
      <c r="A73" t="s">
        <v>187</v>
      </c>
      <c r="E73" s="86" t="s">
        <v>195</v>
      </c>
      <c r="F73" s="58">
        <f>D108</f>
        <v>587.5</v>
      </c>
    </row>
    <row r="74" spans="1:27" x14ac:dyDescent="0.2">
      <c r="A74" t="s">
        <v>188</v>
      </c>
      <c r="B74" t="s">
        <v>189</v>
      </c>
      <c r="E74" s="86" t="s">
        <v>196</v>
      </c>
      <c r="F74" s="58">
        <f>D117</f>
        <v>25.5</v>
      </c>
      <c r="G74" s="24"/>
    </row>
    <row r="75" spans="1:27" x14ac:dyDescent="0.2">
      <c r="A75" t="s">
        <v>190</v>
      </c>
      <c r="E75" s="86" t="s">
        <v>197</v>
      </c>
      <c r="F75" s="58">
        <f>D122</f>
        <v>3</v>
      </c>
    </row>
    <row r="76" spans="1:27" ht="16" thickBot="1" x14ac:dyDescent="0.25">
      <c r="A76" t="s">
        <v>191</v>
      </c>
      <c r="E76" s="86" t="s">
        <v>198</v>
      </c>
      <c r="F76" s="58">
        <f>D161</f>
        <v>1489.9960000000001</v>
      </c>
    </row>
    <row r="77" spans="1:27" ht="16" thickBot="1" x14ac:dyDescent="0.25">
      <c r="E77" s="85" t="s">
        <v>194</v>
      </c>
      <c r="F77" s="63">
        <f>C162</f>
        <v>2105.9960000000001</v>
      </c>
    </row>
    <row r="84" spans="2:9" x14ac:dyDescent="0.2">
      <c r="H84" s="2" t="s">
        <v>226</v>
      </c>
    </row>
    <row r="85" spans="2:9" ht="16" thickBot="1" x14ac:dyDescent="0.25"/>
    <row r="86" spans="2:9" ht="16" thickBot="1" x14ac:dyDescent="0.25">
      <c r="B86" s="44" t="s">
        <v>84</v>
      </c>
      <c r="G86" t="s">
        <v>192</v>
      </c>
      <c r="H86" t="s">
        <v>193</v>
      </c>
      <c r="I86" s="3" t="s">
        <v>225</v>
      </c>
    </row>
    <row r="87" spans="2:9" x14ac:dyDescent="0.2">
      <c r="B87" s="45" t="s">
        <v>153</v>
      </c>
      <c r="G87" s="2">
        <f>SUMIFS(H3:H64,M3:M64,1,N3:N64,"n")</f>
        <v>5117.3821683029273</v>
      </c>
      <c r="H87" s="24">
        <f>SUMIFS(H3:H64,M3:M64,1,N3:N64,"y")</f>
        <v>2925.3040611600695</v>
      </c>
      <c r="I87" s="24">
        <f>SUMIFS(H3:H64,M3:M64,5)</f>
        <v>52911.510852211679</v>
      </c>
    </row>
    <row r="88" spans="2:9" x14ac:dyDescent="0.2">
      <c r="B88" s="45" t="s">
        <v>85</v>
      </c>
      <c r="G88" s="2"/>
      <c r="H88"/>
      <c r="I88" s="3"/>
    </row>
    <row r="89" spans="2:9" x14ac:dyDescent="0.2">
      <c r="B89" s="45" t="s">
        <v>86</v>
      </c>
      <c r="G89" s="2"/>
      <c r="H89"/>
      <c r="I89" s="24">
        <f>SUM(G87:I87)</f>
        <v>60954.197081674676</v>
      </c>
    </row>
    <row r="90" spans="2:9" x14ac:dyDescent="0.2">
      <c r="B90" s="45" t="s">
        <v>88</v>
      </c>
      <c r="C90" s="2"/>
    </row>
    <row r="91" spans="2:9" x14ac:dyDescent="0.2">
      <c r="B91" s="45" t="s">
        <v>83</v>
      </c>
      <c r="C91" s="2"/>
    </row>
    <row r="92" spans="2:9" ht="16" thickBot="1" x14ac:dyDescent="0.25">
      <c r="B92" s="46" t="s">
        <v>151</v>
      </c>
      <c r="C92" s="2"/>
    </row>
    <row r="93" spans="2:9" x14ac:dyDescent="0.2">
      <c r="C93" s="2"/>
    </row>
    <row r="100" spans="2:5" x14ac:dyDescent="0.2">
      <c r="B100" s="1" t="s">
        <v>199</v>
      </c>
      <c r="C100" s="6">
        <f>C3*F3</f>
        <v>0</v>
      </c>
    </row>
    <row r="101" spans="2:5" x14ac:dyDescent="0.2">
      <c r="C101" s="6">
        <f t="shared" ref="C101:C161" si="10">C4*F4</f>
        <v>0</v>
      </c>
    </row>
    <row r="102" spans="2:5" x14ac:dyDescent="0.2">
      <c r="C102" s="6">
        <f t="shared" si="10"/>
        <v>0</v>
      </c>
    </row>
    <row r="103" spans="2:5" x14ac:dyDescent="0.2">
      <c r="C103" s="6">
        <f t="shared" si="10"/>
        <v>60</v>
      </c>
    </row>
    <row r="104" spans="2:5" x14ac:dyDescent="0.2">
      <c r="C104" s="6">
        <f t="shared" si="10"/>
        <v>9</v>
      </c>
    </row>
    <row r="105" spans="2:5" x14ac:dyDescent="0.2">
      <c r="C105" s="6">
        <f t="shared" si="10"/>
        <v>270</v>
      </c>
    </row>
    <row r="106" spans="2:5" x14ac:dyDescent="0.2">
      <c r="C106" s="6">
        <f t="shared" si="10"/>
        <v>240</v>
      </c>
    </row>
    <row r="107" spans="2:5" x14ac:dyDescent="0.2">
      <c r="C107" s="6">
        <f t="shared" si="10"/>
        <v>7.5</v>
      </c>
    </row>
    <row r="108" spans="2:5" x14ac:dyDescent="0.2">
      <c r="C108" s="66">
        <f t="shared" si="10"/>
        <v>1</v>
      </c>
      <c r="D108">
        <f>SUM(C100:C108)</f>
        <v>587.5</v>
      </c>
      <c r="E108" s="3" t="s">
        <v>77</v>
      </c>
    </row>
    <row r="109" spans="2:5" x14ac:dyDescent="0.2">
      <c r="C109" s="10">
        <f t="shared" si="10"/>
        <v>7.5</v>
      </c>
    </row>
    <row r="110" spans="2:5" x14ac:dyDescent="0.2">
      <c r="C110" s="10">
        <f t="shared" si="10"/>
        <v>18</v>
      </c>
    </row>
    <row r="111" spans="2:5" x14ac:dyDescent="0.2">
      <c r="C111" s="10">
        <f t="shared" si="10"/>
        <v>0</v>
      </c>
    </row>
    <row r="112" spans="2:5" x14ac:dyDescent="0.2">
      <c r="C112" s="10">
        <f t="shared" si="10"/>
        <v>0</v>
      </c>
    </row>
    <row r="113" spans="3:5" x14ac:dyDescent="0.2">
      <c r="C113" s="10">
        <f t="shared" si="10"/>
        <v>0</v>
      </c>
    </row>
    <row r="114" spans="3:5" x14ac:dyDescent="0.2">
      <c r="C114" s="10">
        <f t="shared" si="10"/>
        <v>0</v>
      </c>
    </row>
    <row r="115" spans="3:5" x14ac:dyDescent="0.2">
      <c r="C115" s="10">
        <f t="shared" si="10"/>
        <v>0</v>
      </c>
    </row>
    <row r="116" spans="3:5" x14ac:dyDescent="0.2">
      <c r="C116" s="10">
        <f t="shared" si="10"/>
        <v>0</v>
      </c>
    </row>
    <row r="117" spans="3:5" x14ac:dyDescent="0.2">
      <c r="C117" s="67">
        <f t="shared" si="10"/>
        <v>0</v>
      </c>
      <c r="D117">
        <f>SUM(C109:C117)</f>
        <v>25.5</v>
      </c>
      <c r="E117" s="3" t="s">
        <v>77</v>
      </c>
    </row>
    <row r="118" spans="3:5" x14ac:dyDescent="0.2">
      <c r="C118" s="15">
        <f t="shared" si="10"/>
        <v>3</v>
      </c>
    </row>
    <row r="119" spans="3:5" x14ac:dyDescent="0.2">
      <c r="C119" s="15">
        <f t="shared" si="10"/>
        <v>0</v>
      </c>
    </row>
    <row r="120" spans="3:5" x14ac:dyDescent="0.2">
      <c r="C120" s="15">
        <f t="shared" si="10"/>
        <v>0</v>
      </c>
    </row>
    <row r="121" spans="3:5" x14ac:dyDescent="0.2">
      <c r="C121" s="15">
        <f t="shared" si="10"/>
        <v>0</v>
      </c>
    </row>
    <row r="122" spans="3:5" x14ac:dyDescent="0.2">
      <c r="C122" s="68">
        <f t="shared" si="10"/>
        <v>0</v>
      </c>
      <c r="D122">
        <f>SUM(C118:C122)</f>
        <v>3</v>
      </c>
      <c r="E122" s="3" t="s">
        <v>77</v>
      </c>
    </row>
    <row r="123" spans="3:5" x14ac:dyDescent="0.2">
      <c r="C123" s="69">
        <f t="shared" si="10"/>
        <v>192</v>
      </c>
    </row>
    <row r="124" spans="3:5" x14ac:dyDescent="0.2">
      <c r="C124" s="70">
        <f t="shared" si="10"/>
        <v>0</v>
      </c>
    </row>
    <row r="125" spans="3:5" x14ac:dyDescent="0.2">
      <c r="C125" s="70">
        <f t="shared" si="10"/>
        <v>36</v>
      </c>
    </row>
    <row r="126" spans="3:5" x14ac:dyDescent="0.2">
      <c r="C126" s="70">
        <f t="shared" si="10"/>
        <v>36</v>
      </c>
    </row>
    <row r="127" spans="3:5" x14ac:dyDescent="0.2">
      <c r="C127" s="70">
        <f t="shared" si="10"/>
        <v>72</v>
      </c>
    </row>
    <row r="128" spans="3:5" x14ac:dyDescent="0.2">
      <c r="C128" s="70">
        <f t="shared" si="10"/>
        <v>108</v>
      </c>
    </row>
    <row r="129" spans="3:3" x14ac:dyDescent="0.2">
      <c r="C129" s="70">
        <f t="shared" si="10"/>
        <v>108</v>
      </c>
    </row>
    <row r="130" spans="3:3" x14ac:dyDescent="0.2">
      <c r="C130" s="70">
        <f t="shared" si="10"/>
        <v>72</v>
      </c>
    </row>
    <row r="131" spans="3:3" x14ac:dyDescent="0.2">
      <c r="C131" s="70">
        <f t="shared" si="10"/>
        <v>504</v>
      </c>
    </row>
    <row r="132" spans="3:3" x14ac:dyDescent="0.2">
      <c r="C132" s="70">
        <f>C35*F35</f>
        <v>96</v>
      </c>
    </row>
    <row r="133" spans="3:3" x14ac:dyDescent="0.2">
      <c r="C133" s="70">
        <f t="shared" si="10"/>
        <v>27.996000000000002</v>
      </c>
    </row>
    <row r="134" spans="3:3" x14ac:dyDescent="0.2">
      <c r="C134" s="70">
        <f t="shared" si="10"/>
        <v>48</v>
      </c>
    </row>
    <row r="135" spans="3:3" x14ac:dyDescent="0.2">
      <c r="C135" s="70">
        <f t="shared" si="10"/>
        <v>0</v>
      </c>
    </row>
    <row r="136" spans="3:3" x14ac:dyDescent="0.2">
      <c r="C136" s="70">
        <f t="shared" si="10"/>
        <v>0</v>
      </c>
    </row>
    <row r="137" spans="3:3" x14ac:dyDescent="0.2">
      <c r="C137" s="70">
        <f t="shared" si="10"/>
        <v>0</v>
      </c>
    </row>
    <row r="138" spans="3:3" x14ac:dyDescent="0.2">
      <c r="C138" s="70">
        <f t="shared" si="10"/>
        <v>0</v>
      </c>
    </row>
    <row r="139" spans="3:3" x14ac:dyDescent="0.2">
      <c r="C139" s="70">
        <f t="shared" si="10"/>
        <v>96</v>
      </c>
    </row>
    <row r="140" spans="3:3" x14ac:dyDescent="0.2">
      <c r="C140" s="70">
        <f t="shared" si="10"/>
        <v>0</v>
      </c>
    </row>
    <row r="141" spans="3:3" x14ac:dyDescent="0.2">
      <c r="C141" s="70">
        <f t="shared" si="10"/>
        <v>14</v>
      </c>
    </row>
    <row r="142" spans="3:3" x14ac:dyDescent="0.2">
      <c r="C142" s="70">
        <f t="shared" si="10"/>
        <v>0</v>
      </c>
    </row>
    <row r="143" spans="3:3" x14ac:dyDescent="0.2">
      <c r="C143" s="70">
        <f t="shared" si="10"/>
        <v>0</v>
      </c>
    </row>
    <row r="144" spans="3:3" x14ac:dyDescent="0.2">
      <c r="C144" s="70">
        <f t="shared" si="10"/>
        <v>80</v>
      </c>
    </row>
    <row r="145" spans="3:3" x14ac:dyDescent="0.2">
      <c r="C145" s="70">
        <f t="shared" si="10"/>
        <v>0</v>
      </c>
    </row>
    <row r="146" spans="3:3" x14ac:dyDescent="0.2">
      <c r="C146" s="70">
        <f t="shared" si="10"/>
        <v>0</v>
      </c>
    </row>
    <row r="147" spans="3:3" x14ac:dyDescent="0.2">
      <c r="C147" s="70">
        <f t="shared" si="10"/>
        <v>0</v>
      </c>
    </row>
    <row r="148" spans="3:3" x14ac:dyDescent="0.2">
      <c r="C148" s="70">
        <f t="shared" si="10"/>
        <v>0</v>
      </c>
    </row>
    <row r="149" spans="3:3" x14ac:dyDescent="0.2">
      <c r="C149" s="70">
        <f t="shared" si="10"/>
        <v>0</v>
      </c>
    </row>
    <row r="150" spans="3:3" x14ac:dyDescent="0.2">
      <c r="C150" s="70">
        <f t="shared" si="10"/>
        <v>0</v>
      </c>
    </row>
    <row r="151" spans="3:3" x14ac:dyDescent="0.2">
      <c r="C151" s="70">
        <f t="shared" si="10"/>
        <v>0</v>
      </c>
    </row>
    <row r="152" spans="3:3" x14ac:dyDescent="0.2">
      <c r="C152" s="70">
        <f t="shared" si="10"/>
        <v>0</v>
      </c>
    </row>
    <row r="153" spans="3:3" x14ac:dyDescent="0.2">
      <c r="C153" s="70">
        <f>C56*F56</f>
        <v>0</v>
      </c>
    </row>
    <row r="154" spans="3:3" x14ac:dyDescent="0.2">
      <c r="C154" s="70">
        <f t="shared" si="10"/>
        <v>0</v>
      </c>
    </row>
    <row r="155" spans="3:3" x14ac:dyDescent="0.2">
      <c r="C155" s="70">
        <f t="shared" si="10"/>
        <v>0</v>
      </c>
    </row>
    <row r="156" spans="3:3" x14ac:dyDescent="0.2">
      <c r="C156" s="70">
        <f t="shared" si="10"/>
        <v>0</v>
      </c>
    </row>
    <row r="157" spans="3:3" x14ac:dyDescent="0.2">
      <c r="C157" s="70">
        <f t="shared" si="10"/>
        <v>0</v>
      </c>
    </row>
    <row r="158" spans="3:3" x14ac:dyDescent="0.2">
      <c r="C158" s="70">
        <f t="shared" si="10"/>
        <v>0</v>
      </c>
    </row>
    <row r="159" spans="3:3" x14ac:dyDescent="0.2">
      <c r="C159" s="70">
        <f t="shared" si="10"/>
        <v>0</v>
      </c>
    </row>
    <row r="160" spans="3:3" x14ac:dyDescent="0.2">
      <c r="C160" s="70">
        <f t="shared" si="10"/>
        <v>0</v>
      </c>
    </row>
    <row r="161" spans="3:5" x14ac:dyDescent="0.2">
      <c r="C161" s="71">
        <f t="shared" si="10"/>
        <v>0</v>
      </c>
      <c r="D161">
        <f>SUM(C123:C161)</f>
        <v>1489.9960000000001</v>
      </c>
      <c r="E161" s="3" t="s">
        <v>77</v>
      </c>
    </row>
    <row r="162" spans="3:5" x14ac:dyDescent="0.2">
      <c r="C162">
        <f>SUM(C100:C161)</f>
        <v>2105.9960000000001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56"/>
  <sheetViews>
    <sheetView workbookViewId="0">
      <selection activeCell="D41" sqref="D41"/>
    </sheetView>
  </sheetViews>
  <sheetFormatPr baseColWidth="10" defaultRowHeight="15" x14ac:dyDescent="0.2"/>
  <sheetData>
    <row r="7" spans="1:25" ht="16" thickBot="1" x14ac:dyDescent="0.25"/>
    <row r="8" spans="1:25" ht="16" x14ac:dyDescent="0.2">
      <c r="D8" s="128" t="s">
        <v>227</v>
      </c>
      <c r="E8" s="129"/>
      <c r="F8" s="129"/>
      <c r="G8" s="130"/>
      <c r="H8" s="120" t="s">
        <v>231</v>
      </c>
      <c r="I8" s="121"/>
      <c r="J8" s="121"/>
      <c r="K8" s="121"/>
      <c r="L8" s="121"/>
      <c r="M8" s="122"/>
      <c r="N8" s="120" t="s">
        <v>232</v>
      </c>
      <c r="O8" s="121"/>
      <c r="P8" s="121"/>
      <c r="Q8" s="121"/>
      <c r="R8" s="121"/>
      <c r="S8" s="121"/>
      <c r="T8" s="121"/>
      <c r="U8" s="121"/>
      <c r="V8" s="121"/>
      <c r="W8" s="122"/>
      <c r="X8" s="93"/>
      <c r="Y8" s="93"/>
    </row>
    <row r="9" spans="1:25" ht="16" thickBot="1" x14ac:dyDescent="0.25">
      <c r="D9" s="94" t="s">
        <v>262</v>
      </c>
      <c r="E9" s="87" t="s">
        <v>133</v>
      </c>
      <c r="F9" s="87" t="s">
        <v>263</v>
      </c>
      <c r="G9" s="95" t="s">
        <v>135</v>
      </c>
      <c r="H9" s="94" t="s">
        <v>136</v>
      </c>
      <c r="I9" s="87" t="s">
        <v>264</v>
      </c>
      <c r="J9" s="87" t="s">
        <v>137</v>
      </c>
      <c r="K9" s="87" t="s">
        <v>138</v>
      </c>
      <c r="L9" s="87" t="s">
        <v>139</v>
      </c>
      <c r="M9" s="95" t="s">
        <v>265</v>
      </c>
      <c r="N9" s="81" t="s">
        <v>266</v>
      </c>
      <c r="O9" s="42" t="s">
        <v>267</v>
      </c>
      <c r="P9" s="42" t="s">
        <v>268</v>
      </c>
      <c r="Q9" s="42" t="s">
        <v>269</v>
      </c>
      <c r="R9" s="42" t="s">
        <v>270</v>
      </c>
      <c r="S9" s="42" t="s">
        <v>271</v>
      </c>
      <c r="T9" s="42" t="s">
        <v>272</v>
      </c>
      <c r="U9" s="42" t="s">
        <v>273</v>
      </c>
      <c r="V9" s="42" t="s">
        <v>274</v>
      </c>
      <c r="W9" s="42" t="s">
        <v>275</v>
      </c>
    </row>
    <row r="10" spans="1:25" s="102" customFormat="1" x14ac:dyDescent="0.2">
      <c r="D10" s="131">
        <f>237</f>
        <v>237</v>
      </c>
      <c r="E10" s="133">
        <f>313</f>
        <v>313</v>
      </c>
      <c r="F10" s="135">
        <f>507</f>
        <v>507</v>
      </c>
      <c r="G10" s="136">
        <f>508</f>
        <v>508</v>
      </c>
      <c r="H10" s="123">
        <f>[1]Sheet4!$F$77</f>
        <v>641</v>
      </c>
      <c r="I10" s="118">
        <f>[1]Sheet4!$F$84</f>
        <v>621</v>
      </c>
      <c r="J10" s="118">
        <f>[1]Sheet4!$F$78</f>
        <v>427</v>
      </c>
      <c r="K10" s="118">
        <f>[1]Sheet4!$F$81</f>
        <v>528</v>
      </c>
      <c r="L10" s="118">
        <f>[1]Sheet4!$F$74</f>
        <v>219</v>
      </c>
      <c r="M10" s="125">
        <f>[1]Sheet4!$F$82</f>
        <v>134</v>
      </c>
      <c r="N10" s="123">
        <f>[1]Sheet4!$F$65</f>
        <v>140</v>
      </c>
      <c r="O10" s="118">
        <f>[1]Sheet4!$F$66</f>
        <v>622</v>
      </c>
      <c r="P10" s="118">
        <f>[1]Sheet4!$F$67</f>
        <v>734</v>
      </c>
      <c r="Q10" s="118">
        <f>[1]Sheet4!$F$69</f>
        <v>652</v>
      </c>
      <c r="R10" s="118">
        <f>[1]Sheet4!$F$70</f>
        <v>538</v>
      </c>
      <c r="S10" s="118">
        <f>[1]Sheet4!$F$79</f>
        <v>180</v>
      </c>
      <c r="T10" s="118">
        <f>[1]Sheet4!$F$80</f>
        <v>191</v>
      </c>
      <c r="U10" s="118">
        <f>[1]Sheet4!$F$72</f>
        <v>385</v>
      </c>
      <c r="V10" s="118">
        <f>[1]Sheet4!$F$73</f>
        <v>230</v>
      </c>
      <c r="W10" s="125">
        <f>[1]Sheet4!$F$83</f>
        <v>199</v>
      </c>
    </row>
    <row r="11" spans="1:25" s="102" customFormat="1" ht="16" thickBot="1" x14ac:dyDescent="0.25">
      <c r="A11" s="25">
        <f>SUM(D12:M12)</f>
        <v>722.04570999999999</v>
      </c>
      <c r="D11" s="132"/>
      <c r="E11" s="134"/>
      <c r="F11" s="134"/>
      <c r="G11" s="137"/>
      <c r="H11" s="124"/>
      <c r="I11" s="119"/>
      <c r="J11" s="119"/>
      <c r="K11" s="119"/>
      <c r="L11" s="119"/>
      <c r="M11" s="126"/>
      <c r="N11" s="124"/>
      <c r="O11" s="119"/>
      <c r="P11" s="119"/>
      <c r="Q11" s="119"/>
      <c r="R11" s="119"/>
      <c r="S11" s="119"/>
      <c r="T11" s="119"/>
      <c r="U11" s="119"/>
      <c r="V11" s="119"/>
      <c r="W11" s="126"/>
    </row>
    <row r="12" spans="1:25" x14ac:dyDescent="0.2">
      <c r="A12" s="25">
        <f>SUM(D13:M13)</f>
        <v>2265.0260900000003</v>
      </c>
      <c r="C12" t="s">
        <v>228</v>
      </c>
      <c r="D12" s="97">
        <v>0</v>
      </c>
      <c r="E12" s="73">
        <v>50.65</v>
      </c>
      <c r="F12" s="73">
        <v>0</v>
      </c>
      <c r="G12" s="96">
        <v>67.37</v>
      </c>
      <c r="H12" s="97">
        <f>L30</f>
        <v>94.684269999999998</v>
      </c>
      <c r="I12" s="73">
        <f>L33</f>
        <v>54.791110000000003</v>
      </c>
      <c r="J12" s="73">
        <f>L34</f>
        <v>57.687939999999998</v>
      </c>
      <c r="K12" s="73">
        <f>L36</f>
        <v>64.723089999999999</v>
      </c>
      <c r="L12" s="73">
        <f>L38</f>
        <v>96.339600000000004</v>
      </c>
      <c r="M12" s="96">
        <f>L39</f>
        <v>235.7997</v>
      </c>
      <c r="N12" s="78">
        <v>0</v>
      </c>
      <c r="O12" s="41">
        <f>L31</f>
        <v>56.032609999999998</v>
      </c>
      <c r="P12" s="41">
        <v>0</v>
      </c>
      <c r="Q12" s="41">
        <v>0</v>
      </c>
      <c r="R12" s="72">
        <v>0</v>
      </c>
      <c r="S12" s="72">
        <v>0</v>
      </c>
      <c r="T12" s="72">
        <v>0</v>
      </c>
      <c r="U12" s="72">
        <v>0</v>
      </c>
      <c r="V12" s="41">
        <f>L37</f>
        <v>56.86027</v>
      </c>
      <c r="W12" s="58">
        <f>L41</f>
        <v>43.617640000000002</v>
      </c>
    </row>
    <row r="13" spans="1:25" x14ac:dyDescent="0.2">
      <c r="C13" t="s">
        <v>229</v>
      </c>
      <c r="D13" s="97">
        <v>86.08</v>
      </c>
      <c r="E13" s="73">
        <v>562.58000000000004</v>
      </c>
      <c r="F13" s="73">
        <v>213.12</v>
      </c>
      <c r="G13" s="96">
        <v>262.64999999999998</v>
      </c>
      <c r="H13" s="97">
        <f>G31</f>
        <v>196.87226000000001</v>
      </c>
      <c r="I13" s="73">
        <f>G34</f>
        <v>55.412129999999998</v>
      </c>
      <c r="J13" s="73">
        <f>G35</f>
        <v>511.91025000000002</v>
      </c>
      <c r="K13" s="73">
        <f>G37</f>
        <v>205.01229000000001</v>
      </c>
      <c r="L13" s="73">
        <f>G38</f>
        <v>128.35078999999999</v>
      </c>
      <c r="M13" s="96">
        <f>G39</f>
        <v>43.03837</v>
      </c>
      <c r="N13" s="78">
        <v>0</v>
      </c>
      <c r="O13" s="41">
        <v>0</v>
      </c>
      <c r="P13" s="41">
        <v>0</v>
      </c>
      <c r="Q13" s="72">
        <v>0</v>
      </c>
      <c r="R13" s="41">
        <f>G33</f>
        <v>40.060279999999999</v>
      </c>
      <c r="S13" s="72">
        <v>0</v>
      </c>
      <c r="T13" s="72">
        <v>0</v>
      </c>
      <c r="U13" s="72">
        <v>0</v>
      </c>
      <c r="V13" s="72">
        <v>0</v>
      </c>
      <c r="W13" s="58">
        <v>0</v>
      </c>
    </row>
    <row r="14" spans="1:25" x14ac:dyDescent="0.2">
      <c r="C14" t="s">
        <v>230</v>
      </c>
      <c r="D14" s="97"/>
      <c r="E14" s="73"/>
      <c r="F14" s="73"/>
      <c r="G14" s="96"/>
      <c r="H14" s="97"/>
      <c r="I14" s="73"/>
      <c r="J14" s="73"/>
      <c r="K14" s="73"/>
      <c r="L14" s="73"/>
      <c r="M14" s="73"/>
      <c r="N14" s="78"/>
      <c r="O14" s="41"/>
      <c r="P14" s="41"/>
      <c r="Q14" s="72"/>
      <c r="R14" s="72"/>
      <c r="S14" s="72"/>
      <c r="T14" s="72"/>
      <c r="U14" s="72"/>
      <c r="V14" s="72"/>
      <c r="W14" s="58"/>
    </row>
    <row r="15" spans="1:25" x14ac:dyDescent="0.2">
      <c r="A15" s="25">
        <f>(A12+A11)</f>
        <v>2987.0718000000002</v>
      </c>
      <c r="C15" s="91" t="s">
        <v>77</v>
      </c>
      <c r="D15" s="98">
        <f t="shared" ref="D15:O15" si="0">SUM(D12:D14)</f>
        <v>86.08</v>
      </c>
      <c r="E15" s="92">
        <f t="shared" si="0"/>
        <v>613.23</v>
      </c>
      <c r="F15" s="92">
        <f t="shared" si="0"/>
        <v>213.12</v>
      </c>
      <c r="G15" s="99">
        <f t="shared" si="0"/>
        <v>330.02</v>
      </c>
      <c r="H15" s="98">
        <f t="shared" si="0"/>
        <v>291.55653000000001</v>
      </c>
      <c r="I15" s="92">
        <f t="shared" si="0"/>
        <v>110.20323999999999</v>
      </c>
      <c r="J15" s="92">
        <f t="shared" si="0"/>
        <v>569.59819000000005</v>
      </c>
      <c r="K15" s="92">
        <f t="shared" si="0"/>
        <v>269.73538000000002</v>
      </c>
      <c r="L15" s="92">
        <f t="shared" si="0"/>
        <v>224.69038999999998</v>
      </c>
      <c r="M15" s="99">
        <f t="shared" si="0"/>
        <v>278.83807000000002</v>
      </c>
      <c r="N15" s="98">
        <f t="shared" si="0"/>
        <v>0</v>
      </c>
      <c r="O15" s="92">
        <f t="shared" si="0"/>
        <v>56.032609999999998</v>
      </c>
      <c r="P15" s="92">
        <f t="shared" ref="P15:U15" si="1">SUM(P12:P14)</f>
        <v>0</v>
      </c>
      <c r="Q15" s="92">
        <f t="shared" si="1"/>
        <v>0</v>
      </c>
      <c r="R15" s="92">
        <f t="shared" si="1"/>
        <v>40.060279999999999</v>
      </c>
      <c r="S15" s="92">
        <f t="shared" si="1"/>
        <v>0</v>
      </c>
      <c r="T15" s="92">
        <f t="shared" si="1"/>
        <v>0</v>
      </c>
      <c r="U15" s="92">
        <f t="shared" si="1"/>
        <v>0</v>
      </c>
      <c r="V15" s="92">
        <f>SUM(V12:V14)</f>
        <v>56.86027</v>
      </c>
      <c r="W15" s="99">
        <f>SUM(W12:W14)</f>
        <v>43.617640000000002</v>
      </c>
    </row>
    <row r="16" spans="1:25" ht="16" thickBot="1" x14ac:dyDescent="0.25">
      <c r="C16" s="1" t="s">
        <v>240</v>
      </c>
      <c r="D16" s="100">
        <f t="shared" ref="D16:M16" si="2">D15/D10</f>
        <v>0.36320675105485234</v>
      </c>
      <c r="E16" s="59">
        <f t="shared" si="2"/>
        <v>1.9592012779552717</v>
      </c>
      <c r="F16" s="59">
        <f t="shared" si="2"/>
        <v>0.42035502958579885</v>
      </c>
      <c r="G16" s="101">
        <f t="shared" si="2"/>
        <v>0.6496456692913386</v>
      </c>
      <c r="H16" s="100">
        <f t="shared" si="2"/>
        <v>0.4548463806552262</v>
      </c>
      <c r="I16" s="59">
        <f t="shared" si="2"/>
        <v>0.17746093397745571</v>
      </c>
      <c r="J16" s="59">
        <f t="shared" si="2"/>
        <v>1.3339536065573772</v>
      </c>
      <c r="K16" s="59">
        <f t="shared" si="2"/>
        <v>0.51086246212121211</v>
      </c>
      <c r="L16" s="59">
        <f t="shared" si="2"/>
        <v>1.025983515981735</v>
      </c>
      <c r="M16" s="59">
        <f t="shared" si="2"/>
        <v>2.080881119402985</v>
      </c>
      <c r="N16" s="81"/>
      <c r="O16" s="42"/>
      <c r="P16" s="42"/>
      <c r="Q16" s="42"/>
      <c r="R16" s="42"/>
      <c r="S16" s="42"/>
      <c r="T16" s="42"/>
      <c r="U16" s="42"/>
      <c r="V16" s="42"/>
      <c r="W16" s="60"/>
    </row>
    <row r="17" spans="1:12" x14ac:dyDescent="0.2">
      <c r="A17" t="s">
        <v>261</v>
      </c>
      <c r="C17" t="s">
        <v>259</v>
      </c>
      <c r="D17" s="25">
        <f>D16-1</f>
        <v>-0.63679324894514766</v>
      </c>
      <c r="E17" s="25">
        <f>E16-1</f>
        <v>0.95920127795527166</v>
      </c>
      <c r="F17" s="25">
        <f>F16-1</f>
        <v>-0.57964497041420115</v>
      </c>
      <c r="G17" s="25">
        <f>G16-1</f>
        <v>-0.3503543307086614</v>
      </c>
    </row>
    <row r="18" spans="1:12" x14ac:dyDescent="0.2">
      <c r="A18">
        <f>A11/A15</f>
        <v>0.24172358695897431</v>
      </c>
    </row>
    <row r="20" spans="1:12" x14ac:dyDescent="0.2">
      <c r="D20" s="25">
        <f>AVERAGE(D16:M16)</f>
        <v>0.89763967465832517</v>
      </c>
    </row>
    <row r="26" spans="1:12" x14ac:dyDescent="0.2">
      <c r="D26" t="s">
        <v>237</v>
      </c>
      <c r="J26" t="s">
        <v>238</v>
      </c>
    </row>
    <row r="27" spans="1:12" x14ac:dyDescent="0.2">
      <c r="C27" s="88" t="s">
        <v>233</v>
      </c>
    </row>
    <row r="28" spans="1:12" x14ac:dyDescent="0.2">
      <c r="C28" s="89" t="s">
        <v>233</v>
      </c>
      <c r="D28" s="139" t="s">
        <v>233</v>
      </c>
      <c r="E28" s="138" t="s">
        <v>234</v>
      </c>
      <c r="F28" s="138" t="s">
        <v>235</v>
      </c>
      <c r="G28" s="138" t="s">
        <v>236</v>
      </c>
      <c r="J28" s="139" t="s">
        <v>233</v>
      </c>
      <c r="K28" s="127" t="s">
        <v>239</v>
      </c>
      <c r="L28" s="127" t="s">
        <v>236</v>
      </c>
    </row>
    <row r="29" spans="1:12" x14ac:dyDescent="0.2">
      <c r="C29" s="88"/>
      <c r="D29" s="139"/>
      <c r="E29" s="138"/>
      <c r="F29" s="138"/>
      <c r="G29" s="138"/>
      <c r="J29" s="139"/>
      <c r="K29" s="127"/>
      <c r="L29" s="127"/>
    </row>
    <row r="30" spans="1:12" x14ac:dyDescent="0.2">
      <c r="C30" s="88">
        <v>1</v>
      </c>
      <c r="D30" s="90" t="str">
        <f>F9</f>
        <v>Clinic 3</v>
      </c>
      <c r="E30" s="90">
        <v>500</v>
      </c>
      <c r="F30" s="90">
        <v>515</v>
      </c>
      <c r="G30" s="90">
        <v>213.12358</v>
      </c>
      <c r="J30" s="90" t="str">
        <f>H9</f>
        <v>Clinic 5</v>
      </c>
      <c r="K30" s="90">
        <v>228.7987</v>
      </c>
      <c r="L30" s="90">
        <v>94.684269999999998</v>
      </c>
    </row>
    <row r="31" spans="1:12" x14ac:dyDescent="0.2">
      <c r="C31" s="88">
        <v>2</v>
      </c>
      <c r="D31" s="90" t="str">
        <f>H9</f>
        <v>Clinic 5</v>
      </c>
      <c r="E31" s="90">
        <v>2254</v>
      </c>
      <c r="F31" s="90">
        <v>475.72969999999998</v>
      </c>
      <c r="G31" s="90">
        <v>196.87226000000001</v>
      </c>
      <c r="J31" s="90" t="str">
        <f>O9</f>
        <v>Clinic 12</v>
      </c>
      <c r="K31" s="90">
        <v>135.39935</v>
      </c>
      <c r="L31" s="90">
        <v>56.032609999999998</v>
      </c>
    </row>
    <row r="32" spans="1:12" x14ac:dyDescent="0.2">
      <c r="C32" s="88">
        <v>3</v>
      </c>
      <c r="D32" s="90" t="str">
        <f>E9</f>
        <v>Clinic 2</v>
      </c>
      <c r="E32" s="90">
        <v>9462.7900000000009</v>
      </c>
      <c r="F32" s="90">
        <v>1359.4473</v>
      </c>
      <c r="G32" s="90">
        <v>562.58308</v>
      </c>
      <c r="J32" s="90" t="str">
        <f>D32</f>
        <v>Clinic 2</v>
      </c>
      <c r="K32" s="90">
        <v>122.39935</v>
      </c>
      <c r="L32" s="90">
        <v>50.652790000000003</v>
      </c>
    </row>
    <row r="33" spans="2:15" x14ac:dyDescent="0.2">
      <c r="C33" s="88">
        <v>4</v>
      </c>
      <c r="D33" s="90" t="str">
        <f>R9</f>
        <v>Clinic 15</v>
      </c>
      <c r="E33" s="90">
        <v>185.23</v>
      </c>
      <c r="F33" s="90">
        <v>96.803200000000004</v>
      </c>
      <c r="G33" s="90">
        <v>40.060279999999999</v>
      </c>
      <c r="J33" s="90" t="str">
        <f>D34</f>
        <v>Clinic 6</v>
      </c>
      <c r="K33" s="90">
        <v>132.39935</v>
      </c>
      <c r="L33" s="90">
        <v>54.791110000000003</v>
      </c>
    </row>
    <row r="34" spans="2:15" x14ac:dyDescent="0.2">
      <c r="C34" s="88">
        <v>5</v>
      </c>
      <c r="D34" s="90" t="str">
        <f>I9</f>
        <v>Clinic 6</v>
      </c>
      <c r="E34" s="90">
        <v>130</v>
      </c>
      <c r="F34" s="90">
        <v>133.9</v>
      </c>
      <c r="G34" s="90">
        <v>55.412129999999998</v>
      </c>
      <c r="J34" s="90" t="str">
        <f>D35</f>
        <v>Clinic 7</v>
      </c>
      <c r="K34" s="90">
        <v>139.39935</v>
      </c>
      <c r="L34" s="90">
        <v>57.687939999999998</v>
      </c>
    </row>
    <row r="35" spans="2:15" x14ac:dyDescent="0.2">
      <c r="C35" s="88">
        <v>6</v>
      </c>
      <c r="D35" s="90" t="str">
        <f>J9</f>
        <v>Clinic 7</v>
      </c>
      <c r="E35" s="90">
        <v>1299</v>
      </c>
      <c r="F35" s="90">
        <v>1236.9996000000001</v>
      </c>
      <c r="G35" s="90">
        <v>511.91025000000002</v>
      </c>
      <c r="J35" s="90" t="str">
        <f>D36</f>
        <v>Clinic 1</v>
      </c>
      <c r="K35" s="90">
        <v>94.399349999999998</v>
      </c>
      <c r="L35" s="90">
        <v>39.065489999999997</v>
      </c>
    </row>
    <row r="36" spans="2:15" x14ac:dyDescent="0.2">
      <c r="C36" s="88">
        <v>7</v>
      </c>
      <c r="D36" s="90" t="str">
        <f>D9</f>
        <v>Clinic 1</v>
      </c>
      <c r="E36" s="90">
        <v>398</v>
      </c>
      <c r="F36" s="90">
        <v>207.9991</v>
      </c>
      <c r="G36" s="90">
        <v>86.076729999999998</v>
      </c>
      <c r="J36" s="90" t="str">
        <f>K9</f>
        <v>Clinic 8</v>
      </c>
      <c r="K36" s="90">
        <v>156.39935</v>
      </c>
      <c r="L36" s="90">
        <v>64.723089999999999</v>
      </c>
    </row>
    <row r="37" spans="2:15" x14ac:dyDescent="0.2">
      <c r="C37" s="88">
        <v>8</v>
      </c>
      <c r="D37" s="90" t="str">
        <f>K9</f>
        <v>Clinic 8</v>
      </c>
      <c r="E37" s="90">
        <v>579</v>
      </c>
      <c r="F37" s="90">
        <v>495.39960000000002</v>
      </c>
      <c r="G37" s="90">
        <v>205.01229000000001</v>
      </c>
      <c r="J37" s="90" t="str">
        <f>V9</f>
        <v>Clinic 19</v>
      </c>
      <c r="K37" s="90">
        <v>137.39935</v>
      </c>
      <c r="L37" s="90">
        <v>56.86027</v>
      </c>
    </row>
    <row r="38" spans="2:15" x14ac:dyDescent="0.2">
      <c r="C38" s="88">
        <v>9</v>
      </c>
      <c r="D38" s="90" t="str">
        <f>L9</f>
        <v>Clinic 9</v>
      </c>
      <c r="E38" s="90">
        <v>409</v>
      </c>
      <c r="F38" s="90">
        <v>310.15179999999998</v>
      </c>
      <c r="G38" s="90">
        <v>128.35078999999999</v>
      </c>
      <c r="J38" s="90" t="str">
        <f>L9</f>
        <v>Clinic 9</v>
      </c>
      <c r="K38" s="90">
        <v>232.7987</v>
      </c>
      <c r="L38" s="90">
        <v>96.339600000000004</v>
      </c>
    </row>
    <row r="39" spans="2:15" x14ac:dyDescent="0.2">
      <c r="C39" s="88">
        <v>10</v>
      </c>
      <c r="D39" s="90" t="str">
        <f>M9</f>
        <v>Clinic 10</v>
      </c>
      <c r="E39" s="90">
        <v>199</v>
      </c>
      <c r="F39" s="90">
        <v>103.9996</v>
      </c>
      <c r="G39" s="90">
        <v>43.03837</v>
      </c>
      <c r="J39" s="90" t="str">
        <f>M9</f>
        <v>Clinic 10</v>
      </c>
      <c r="K39" s="90">
        <v>569.79544999999996</v>
      </c>
      <c r="L39" s="90">
        <v>235.7997</v>
      </c>
    </row>
    <row r="40" spans="2:15" x14ac:dyDescent="0.2">
      <c r="C40" s="88">
        <v>11</v>
      </c>
      <c r="D40" s="90" t="str">
        <f>G9</f>
        <v>Clinic 4</v>
      </c>
      <c r="E40" s="90">
        <v>729</v>
      </c>
      <c r="F40" s="90">
        <v>634.67790000000002</v>
      </c>
      <c r="G40" s="90">
        <v>262.65014000000002</v>
      </c>
      <c r="J40" s="90" t="str">
        <f>G9</f>
        <v>Clinic 4</v>
      </c>
      <c r="K40" s="90">
        <v>162.7987</v>
      </c>
      <c r="L40" s="90">
        <v>67.371340000000004</v>
      </c>
    </row>
    <row r="41" spans="2:15" x14ac:dyDescent="0.2">
      <c r="J41" s="90" t="str">
        <f>W9</f>
        <v>Clinic 20</v>
      </c>
      <c r="K41" s="90">
        <v>105.39935</v>
      </c>
      <c r="L41" s="90">
        <v>43.617640000000002</v>
      </c>
    </row>
    <row r="42" spans="2:15" x14ac:dyDescent="0.2">
      <c r="B42" t="s">
        <v>241</v>
      </c>
      <c r="J42" s="88">
        <v>11</v>
      </c>
    </row>
    <row r="43" spans="2:15" x14ac:dyDescent="0.2">
      <c r="J43" s="88">
        <v>12</v>
      </c>
    </row>
    <row r="44" spans="2:15" x14ac:dyDescent="0.2">
      <c r="B44" t="s">
        <v>242</v>
      </c>
      <c r="O44" t="s">
        <v>254</v>
      </c>
    </row>
    <row r="45" spans="2:15" x14ac:dyDescent="0.2">
      <c r="B45" t="s">
        <v>243</v>
      </c>
      <c r="O45" t="s">
        <v>255</v>
      </c>
    </row>
    <row r="46" spans="2:15" x14ac:dyDescent="0.2">
      <c r="B46" t="s">
        <v>244</v>
      </c>
      <c r="O46" t="s">
        <v>256</v>
      </c>
    </row>
    <row r="47" spans="2:15" x14ac:dyDescent="0.2">
      <c r="B47" t="s">
        <v>245</v>
      </c>
      <c r="O47" t="s">
        <v>257</v>
      </c>
    </row>
    <row r="48" spans="2:15" x14ac:dyDescent="0.2">
      <c r="B48" t="s">
        <v>246</v>
      </c>
    </row>
    <row r="50" spans="2:2" x14ac:dyDescent="0.2">
      <c r="B50" t="s">
        <v>247</v>
      </c>
    </row>
    <row r="51" spans="2:2" x14ac:dyDescent="0.2">
      <c r="B51" t="s">
        <v>248</v>
      </c>
    </row>
    <row r="52" spans="2:2" x14ac:dyDescent="0.2">
      <c r="B52" t="s">
        <v>249</v>
      </c>
    </row>
    <row r="53" spans="2:2" x14ac:dyDescent="0.2">
      <c r="B53" t="s">
        <v>250</v>
      </c>
    </row>
    <row r="54" spans="2:2" x14ac:dyDescent="0.2">
      <c r="B54" t="s">
        <v>251</v>
      </c>
    </row>
    <row r="55" spans="2:2" x14ac:dyDescent="0.2">
      <c r="B55" t="s">
        <v>252</v>
      </c>
    </row>
    <row r="56" spans="2:2" x14ac:dyDescent="0.2">
      <c r="B56" t="s">
        <v>253</v>
      </c>
    </row>
  </sheetData>
  <mergeCells count="30">
    <mergeCell ref="U10:U11"/>
    <mergeCell ref="K28:K29"/>
    <mergeCell ref="L28:L29"/>
    <mergeCell ref="D8:G8"/>
    <mergeCell ref="D10:D11"/>
    <mergeCell ref="E10:E11"/>
    <mergeCell ref="F10:F11"/>
    <mergeCell ref="G10:G11"/>
    <mergeCell ref="H8:M8"/>
    <mergeCell ref="G28:G29"/>
    <mergeCell ref="F28:F29"/>
    <mergeCell ref="E28:E29"/>
    <mergeCell ref="D28:D29"/>
    <mergeCell ref="J28:J29"/>
    <mergeCell ref="V10:V11"/>
    <mergeCell ref="N8:W8"/>
    <mergeCell ref="H10:H11"/>
    <mergeCell ref="I10:I11"/>
    <mergeCell ref="J10:J11"/>
    <mergeCell ref="K10:K11"/>
    <mergeCell ref="L10:L11"/>
    <mergeCell ref="M10:M11"/>
    <mergeCell ref="N10:N11"/>
    <mergeCell ref="O10:O11"/>
    <mergeCell ref="P10:P11"/>
    <mergeCell ref="W10:W11"/>
    <mergeCell ref="Q10:Q11"/>
    <mergeCell ref="R10:R11"/>
    <mergeCell ref="S10:S11"/>
    <mergeCell ref="T10:T1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9"/>
  <sheetViews>
    <sheetView workbookViewId="0">
      <selection activeCell="B13" sqref="B13"/>
    </sheetView>
  </sheetViews>
  <sheetFormatPr baseColWidth="10" defaultColWidth="8.83203125" defaultRowHeight="15" x14ac:dyDescent="0.2"/>
  <cols>
    <col min="2" max="2" width="35.5" bestFit="1" customWidth="1"/>
    <col min="3" max="3" width="25.83203125" customWidth="1"/>
    <col min="4" max="4" width="11.5" bestFit="1" customWidth="1"/>
    <col min="5" max="6" width="17.5" bestFit="1" customWidth="1"/>
    <col min="7" max="7" width="14.83203125" bestFit="1" customWidth="1"/>
    <col min="8" max="8" width="14.5" bestFit="1" customWidth="1"/>
    <col min="9" max="9" width="32.5" bestFit="1" customWidth="1"/>
    <col min="10" max="10" width="35.33203125" bestFit="1" customWidth="1"/>
    <col min="11" max="11" width="14" bestFit="1" customWidth="1"/>
    <col min="12" max="12" width="24.1640625" bestFit="1" customWidth="1"/>
    <col min="15" max="16" width="12" bestFit="1" customWidth="1"/>
  </cols>
  <sheetData>
    <row r="1" spans="3:25" x14ac:dyDescent="0.2">
      <c r="C1" s="1" t="s">
        <v>89</v>
      </c>
      <c r="D1" s="1" t="s">
        <v>90</v>
      </c>
      <c r="E1" s="1" t="s">
        <v>95</v>
      </c>
      <c r="F1" s="1" t="s">
        <v>91</v>
      </c>
      <c r="H1" t="s">
        <v>95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15</v>
      </c>
      <c r="U1">
        <v>20</v>
      </c>
      <c r="V1">
        <v>25</v>
      </c>
      <c r="W1">
        <v>30</v>
      </c>
    </row>
    <row r="2" spans="3:25" x14ac:dyDescent="0.2">
      <c r="C2" t="str">
        <f>C19</f>
        <v>Travel</v>
      </c>
      <c r="D2">
        <v>1</v>
      </c>
      <c r="E2" s="26">
        <v>0.03</v>
      </c>
      <c r="F2">
        <f>INDEX($H$1:$W$12,MATCH(E2,$H$1:$H$12,0),MATCH(D2,$H$1:$W$1,0))</f>
        <v>0.97087378640776789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3:25" x14ac:dyDescent="0.2">
      <c r="C3" t="str">
        <f>C20</f>
        <v>HR Time</v>
      </c>
      <c r="D3">
        <v>5</v>
      </c>
      <c r="E3" s="26">
        <v>0.03</v>
      </c>
      <c r="F3">
        <f>INDEX($H$1:$W$12,MATCH(E3,$H$1:$H$12,0),MATCH(D3,$H$1:$W$1,0))</f>
        <v>4.6167910616738048</v>
      </c>
      <c r="H3">
        <v>0.01</v>
      </c>
      <c r="I3">
        <v>1</v>
      </c>
      <c r="J3">
        <f>((1+H3)^$J$1-1)/(H3*(1+H3)^$J$1)</f>
        <v>0.99009900990099098</v>
      </c>
      <c r="K3">
        <f t="shared" ref="K3:K12" si="0">((1+H3)^$K$1-1)/(H3*(1+H3)^$K$1)</f>
        <v>1.9703950593079116</v>
      </c>
      <c r="L3">
        <f t="shared" ref="L3:L12" si="1">((1+H3)^$L$1-1)/(H3*(1+H3)^$L$1)</f>
        <v>2.9409852072355469</v>
      </c>
      <c r="M3">
        <f t="shared" ref="M3:M12" si="2">((1+H3)^$M$1-1)/(H3*(1+H3)^$M$1)</f>
        <v>3.9019655517183742</v>
      </c>
      <c r="N3">
        <f>((1+H3)^$N$1-1)/(H3*(1+H3)^N1)</f>
        <v>4.853431239325114</v>
      </c>
      <c r="O3">
        <f t="shared" ref="O3:O12" si="3">((1+H3)^$O$1-1)/(H3*(1+H3)^$O$1)</f>
        <v>5.7954764745793392</v>
      </c>
      <c r="P3">
        <f t="shared" ref="P3:P12" si="4">((1+H3)^$P$1-1)/(H3*(1+H3)^$P$1)</f>
        <v>6.7281945292864478</v>
      </c>
      <c r="Q3">
        <f t="shared" ref="Q3:Q12" si="5">((1+H3)^$Q$1-1)/(H3*(1+H3)^$Q$1)</f>
        <v>7.6516777517687862</v>
      </c>
      <c r="R3">
        <f t="shared" ref="R3:R12" si="6">((1+H3)^$R$1-1)/(H3*(1+H3)^$R$1)</f>
        <v>8.5660175760087043</v>
      </c>
      <c r="S3">
        <f t="shared" ref="S3:S12" si="7">((1+H3)^$S$1-1)/(H3*(1+H3)^$S$1)</f>
        <v>9.4713045307016905</v>
      </c>
      <c r="T3">
        <f t="shared" ref="T3:T12" si="8">((1+H3)^$T$1-1)/(H3*(1+H3)^$T$1)</f>
        <v>13.865052517162095</v>
      </c>
      <c r="U3">
        <f t="shared" ref="U3:U12" si="9">((1+H3)^$U$1-1)/(H3*(1+H3)^$U$1)</f>
        <v>18.045552966270456</v>
      </c>
      <c r="V3">
        <f t="shared" ref="V3:V12" si="10">((1+H3)^$V$1-1)/(H3*(1+H3)^$V$1)</f>
        <v>22.023155700621672</v>
      </c>
      <c r="W3">
        <f t="shared" ref="W3:W12" si="11">((1+H3)^$W$1-1)/(H3*(1+H3)^$W$1)</f>
        <v>25.807708221287609</v>
      </c>
    </row>
    <row r="4" spans="3:25" x14ac:dyDescent="0.2">
      <c r="C4" t="str">
        <f>C21</f>
        <v>One Time Cost</v>
      </c>
      <c r="D4">
        <v>5</v>
      </c>
      <c r="E4" s="26">
        <v>0.03</v>
      </c>
      <c r="F4">
        <f>INDEX($H$1:$W$12,MATCH(E4,$H$1:$H$12,0),MATCH(D4,$H$1:$W$1,0))</f>
        <v>4.6167910616738048</v>
      </c>
      <c r="H4">
        <v>0.02</v>
      </c>
      <c r="I4">
        <v>1</v>
      </c>
      <c r="J4">
        <f t="shared" ref="J4:J12" si="12">((1+H4)^$J$1-1)/(H4*(1+H4)^$J$1)</f>
        <v>0.98039215686274594</v>
      </c>
      <c r="K4">
        <f t="shared" si="0"/>
        <v>1.9415609381007302</v>
      </c>
      <c r="L4">
        <f t="shared" si="1"/>
        <v>2.8838832726477719</v>
      </c>
      <c r="M4">
        <f t="shared" si="2"/>
        <v>3.8077286986742878</v>
      </c>
      <c r="N4">
        <f t="shared" ref="N4:N12" si="13">((1+H4)^$N$1-1)/(H4*(1+H4)^N3)</f>
        <v>4.7271599455254636</v>
      </c>
      <c r="O4">
        <f t="shared" si="3"/>
        <v>5.6014308906904002</v>
      </c>
      <c r="P4">
        <f t="shared" si="4"/>
        <v>6.4719910693043046</v>
      </c>
      <c r="Q4">
        <f t="shared" si="5"/>
        <v>7.3254814404944195</v>
      </c>
      <c r="R4">
        <f t="shared" si="6"/>
        <v>8.1622367063670787</v>
      </c>
      <c r="S4">
        <f t="shared" si="7"/>
        <v>8.9825850062422354</v>
      </c>
      <c r="T4">
        <f t="shared" si="8"/>
        <v>12.849263500574036</v>
      </c>
      <c r="U4">
        <f t="shared" si="9"/>
        <v>16.351433344597112</v>
      </c>
      <c r="V4">
        <f t="shared" si="10"/>
        <v>19.523456473586034</v>
      </c>
      <c r="W4">
        <f t="shared" si="11"/>
        <v>22.396455551004401</v>
      </c>
    </row>
    <row r="5" spans="3:25" x14ac:dyDescent="0.2">
      <c r="C5" t="str">
        <f>C22</f>
        <v>Consumable</v>
      </c>
      <c r="D5">
        <v>1</v>
      </c>
      <c r="E5" s="26">
        <v>0.03</v>
      </c>
      <c r="F5">
        <f>INDEX($H$1:$W$12,MATCH(E5,$H$1:$H$12,0),MATCH(D5,$H$1:$W$1,0))</f>
        <v>0.97087378640776789</v>
      </c>
      <c r="H5">
        <v>0.03</v>
      </c>
      <c r="I5">
        <v>1</v>
      </c>
      <c r="J5">
        <f t="shared" si="12"/>
        <v>0.97087378640776789</v>
      </c>
      <c r="K5">
        <f t="shared" si="0"/>
        <v>1.9134696955415202</v>
      </c>
      <c r="L5">
        <f t="shared" si="1"/>
        <v>2.8286113548946807</v>
      </c>
      <c r="M5">
        <f t="shared" si="2"/>
        <v>3.7170984028103682</v>
      </c>
      <c r="N5">
        <f t="shared" si="13"/>
        <v>4.6167910616738048</v>
      </c>
      <c r="O5">
        <f t="shared" si="3"/>
        <v>5.4171914438781865</v>
      </c>
      <c r="P5">
        <f t="shared" si="4"/>
        <v>6.2302829552215409</v>
      </c>
      <c r="Q5">
        <f t="shared" si="5"/>
        <v>7.0196921895354745</v>
      </c>
      <c r="R5">
        <f t="shared" si="6"/>
        <v>7.7861089218791015</v>
      </c>
      <c r="S5">
        <f t="shared" si="7"/>
        <v>8.5302028367758282</v>
      </c>
      <c r="T5">
        <f t="shared" si="8"/>
        <v>11.937935086776077</v>
      </c>
      <c r="U5">
        <f t="shared" si="9"/>
        <v>14.877474860455502</v>
      </c>
      <c r="V5">
        <f t="shared" si="10"/>
        <v>17.413147691278013</v>
      </c>
      <c r="W5">
        <f t="shared" si="11"/>
        <v>19.600441349469772</v>
      </c>
    </row>
    <row r="6" spans="3:25" x14ac:dyDescent="0.2">
      <c r="C6" t="str">
        <f>C23</f>
        <v>Equipment</v>
      </c>
      <c r="D6">
        <v>5</v>
      </c>
      <c r="E6" s="26">
        <v>0.03</v>
      </c>
      <c r="F6">
        <f>INDEX($H$1:$W$12,MATCH(E6,$H$1:$H$12,0),MATCH(D6,$H$1:$W$1,0))</f>
        <v>4.6167910616738048</v>
      </c>
      <c r="H6">
        <v>0.04</v>
      </c>
      <c r="I6">
        <v>1</v>
      </c>
      <c r="J6">
        <f t="shared" si="12"/>
        <v>0.96153846153846223</v>
      </c>
      <c r="K6">
        <f t="shared" si="0"/>
        <v>1.8860946745562155</v>
      </c>
      <c r="L6">
        <f t="shared" si="1"/>
        <v>2.7750910332271297</v>
      </c>
      <c r="M6">
        <f t="shared" si="2"/>
        <v>3.6298952242568578</v>
      </c>
      <c r="N6">
        <f t="shared" si="13"/>
        <v>4.5192373547662026</v>
      </c>
      <c r="O6">
        <f t="shared" si="3"/>
        <v>5.2421368567463569</v>
      </c>
      <c r="P6">
        <f t="shared" si="4"/>
        <v>6.0020546699484187</v>
      </c>
      <c r="Q6">
        <f t="shared" si="5"/>
        <v>6.7327448749504057</v>
      </c>
      <c r="R6">
        <f t="shared" si="6"/>
        <v>7.4353316105292375</v>
      </c>
      <c r="S6">
        <f t="shared" si="7"/>
        <v>8.1108957793550349</v>
      </c>
      <c r="T6">
        <f t="shared" si="8"/>
        <v>11.118387432168129</v>
      </c>
      <c r="U6">
        <f t="shared" si="9"/>
        <v>13.590326344967698</v>
      </c>
      <c r="V6">
        <f t="shared" si="10"/>
        <v>15.622079943650904</v>
      </c>
      <c r="W6">
        <f t="shared" si="11"/>
        <v>17.292033300664492</v>
      </c>
      <c r="Y6">
        <f>1/S8</f>
        <v>0.13586795822038372</v>
      </c>
    </row>
    <row r="7" spans="3:25" x14ac:dyDescent="0.2">
      <c r="E7" s="26"/>
      <c r="H7">
        <v>0.05</v>
      </c>
      <c r="I7">
        <v>1</v>
      </c>
      <c r="J7">
        <f t="shared" si="12"/>
        <v>0.95238095238095311</v>
      </c>
      <c r="K7">
        <f t="shared" si="0"/>
        <v>1.8594104308390027</v>
      </c>
      <c r="L7">
        <f t="shared" si="1"/>
        <v>2.7232480293704802</v>
      </c>
      <c r="M7">
        <f t="shared" si="2"/>
        <v>3.5459505041623602</v>
      </c>
      <c r="N7">
        <f t="shared" si="13"/>
        <v>4.4322314112491172</v>
      </c>
      <c r="O7">
        <f t="shared" si="3"/>
        <v>5.0756920672674468</v>
      </c>
      <c r="P7">
        <f t="shared" si="4"/>
        <v>5.7863733973975711</v>
      </c>
      <c r="Q7">
        <f t="shared" si="5"/>
        <v>6.4632127594262556</v>
      </c>
      <c r="R7">
        <f t="shared" si="6"/>
        <v>7.107821675644054</v>
      </c>
      <c r="S7">
        <f t="shared" si="7"/>
        <v>7.7217349291848123</v>
      </c>
      <c r="T7">
        <f t="shared" si="8"/>
        <v>10.379658038180596</v>
      </c>
      <c r="U7">
        <f t="shared" si="9"/>
        <v>12.462210342539986</v>
      </c>
      <c r="V7">
        <f t="shared" si="10"/>
        <v>14.093944566044758</v>
      </c>
      <c r="W7">
        <f t="shared" si="11"/>
        <v>15.372451026882837</v>
      </c>
    </row>
    <row r="8" spans="3:25" x14ac:dyDescent="0.2">
      <c r="H8">
        <v>0.06</v>
      </c>
      <c r="I8">
        <v>1</v>
      </c>
      <c r="J8">
        <f t="shared" si="12"/>
        <v>0.94339622641509513</v>
      </c>
      <c r="K8">
        <f t="shared" si="0"/>
        <v>1.8333926664293365</v>
      </c>
      <c r="L8">
        <f t="shared" si="1"/>
        <v>2.6730119494616398</v>
      </c>
      <c r="M8">
        <f t="shared" si="2"/>
        <v>3.4651056126996602</v>
      </c>
      <c r="N8">
        <f t="shared" si="13"/>
        <v>4.3540533468678637</v>
      </c>
      <c r="O8">
        <f t="shared" si="3"/>
        <v>4.9173243260053949</v>
      </c>
      <c r="P8">
        <f t="shared" si="4"/>
        <v>5.5823814396277331</v>
      </c>
      <c r="Q8">
        <f t="shared" si="5"/>
        <v>6.2097938109695585</v>
      </c>
      <c r="R8">
        <f t="shared" si="6"/>
        <v>6.8016922744995831</v>
      </c>
      <c r="S8">
        <f t="shared" si="7"/>
        <v>7.3600870514147028</v>
      </c>
      <c r="T8">
        <f t="shared" si="8"/>
        <v>9.7122489877409954</v>
      </c>
      <c r="U8">
        <f t="shared" si="9"/>
        <v>11.469921218565263</v>
      </c>
      <c r="V8">
        <f t="shared" si="10"/>
        <v>12.783356158268411</v>
      </c>
      <c r="W8">
        <f t="shared" si="11"/>
        <v>13.764831151489428</v>
      </c>
    </row>
    <row r="9" spans="3:25" x14ac:dyDescent="0.2">
      <c r="H9">
        <v>7.0000000000000007E-2</v>
      </c>
      <c r="I9">
        <v>1</v>
      </c>
      <c r="J9">
        <f t="shared" si="12"/>
        <v>0.93457943925233722</v>
      </c>
      <c r="K9">
        <f t="shared" si="0"/>
        <v>1.8080181675255482</v>
      </c>
      <c r="L9">
        <f t="shared" si="1"/>
        <v>2.6243160444164007</v>
      </c>
      <c r="M9">
        <f t="shared" si="2"/>
        <v>3.387211256463925</v>
      </c>
      <c r="N9">
        <f t="shared" si="13"/>
        <v>4.2833653835976939</v>
      </c>
      <c r="O9">
        <f t="shared" si="3"/>
        <v>4.7665396597641063</v>
      </c>
      <c r="P9">
        <f t="shared" si="4"/>
        <v>5.3892894016486981</v>
      </c>
      <c r="Q9">
        <f t="shared" si="5"/>
        <v>5.9712985062137367</v>
      </c>
      <c r="R9">
        <f t="shared" si="6"/>
        <v>6.5152322487978847</v>
      </c>
      <c r="S9">
        <f t="shared" si="7"/>
        <v>7.0235815409326028</v>
      </c>
      <c r="T9">
        <f t="shared" si="8"/>
        <v>9.1079140051091478</v>
      </c>
      <c r="U9">
        <f t="shared" si="9"/>
        <v>10.59401424551616</v>
      </c>
      <c r="V9">
        <f t="shared" si="10"/>
        <v>11.65358317825372</v>
      </c>
      <c r="W9">
        <f t="shared" si="11"/>
        <v>12.40904118350586</v>
      </c>
    </row>
    <row r="10" spans="3:25" x14ac:dyDescent="0.2">
      <c r="H10">
        <v>0.08</v>
      </c>
      <c r="I10">
        <v>1</v>
      </c>
      <c r="J10">
        <f t="shared" si="12"/>
        <v>0.92592592592592671</v>
      </c>
      <c r="K10">
        <f t="shared" si="0"/>
        <v>1.7832647462277103</v>
      </c>
      <c r="L10">
        <f t="shared" si="1"/>
        <v>2.5770969872478804</v>
      </c>
      <c r="M10">
        <f t="shared" si="2"/>
        <v>3.3121268400443342</v>
      </c>
      <c r="N10">
        <f t="shared" si="13"/>
        <v>4.2191055635819739</v>
      </c>
      <c r="O10">
        <f t="shared" si="3"/>
        <v>4.6228796639611929</v>
      </c>
      <c r="P10">
        <f t="shared" si="4"/>
        <v>5.2063700592233264</v>
      </c>
      <c r="Q10">
        <f t="shared" si="5"/>
        <v>5.7466389437253023</v>
      </c>
      <c r="R10">
        <f t="shared" si="6"/>
        <v>6.2468879108567625</v>
      </c>
      <c r="S10">
        <f t="shared" si="7"/>
        <v>6.7100813989414467</v>
      </c>
      <c r="T10">
        <f t="shared" si="8"/>
        <v>8.5594786879263758</v>
      </c>
      <c r="U10">
        <f t="shared" si="9"/>
        <v>9.8181474074492936</v>
      </c>
      <c r="V10">
        <f t="shared" si="10"/>
        <v>10.674776188588581</v>
      </c>
      <c r="W10">
        <f t="shared" si="11"/>
        <v>11.257783343127485</v>
      </c>
    </row>
    <row r="11" spans="3:25" x14ac:dyDescent="0.2">
      <c r="H11">
        <v>0.09</v>
      </c>
      <c r="I11">
        <v>1</v>
      </c>
      <c r="J11">
        <f t="shared" si="12"/>
        <v>0.91743119266055118</v>
      </c>
      <c r="K11">
        <f t="shared" si="0"/>
        <v>1.7591111859271118</v>
      </c>
      <c r="L11">
        <f t="shared" si="1"/>
        <v>2.5312946659881761</v>
      </c>
      <c r="M11">
        <f t="shared" si="2"/>
        <v>3.2397198770533731</v>
      </c>
      <c r="N11">
        <f t="shared" si="13"/>
        <v>4.1604164923938818</v>
      </c>
      <c r="O11">
        <f t="shared" si="3"/>
        <v>4.485918590230936</v>
      </c>
      <c r="P11">
        <f t="shared" si="4"/>
        <v>5.0329528350742532</v>
      </c>
      <c r="Q11">
        <f t="shared" si="5"/>
        <v>5.5348191147470214</v>
      </c>
      <c r="R11">
        <f t="shared" si="6"/>
        <v>5.9952468942633228</v>
      </c>
      <c r="S11">
        <f t="shared" si="7"/>
        <v>6.4176577011590119</v>
      </c>
      <c r="T11">
        <f t="shared" si="8"/>
        <v>8.0606884298542472</v>
      </c>
      <c r="U11">
        <f t="shared" si="9"/>
        <v>9.1285456690859235</v>
      </c>
      <c r="V11">
        <f t="shared" si="10"/>
        <v>9.8225796049484888</v>
      </c>
      <c r="W11">
        <f t="shared" si="11"/>
        <v>10.273654043021743</v>
      </c>
    </row>
    <row r="12" spans="3:25" x14ac:dyDescent="0.2">
      <c r="H12">
        <v>0.1</v>
      </c>
      <c r="I12">
        <v>1</v>
      </c>
      <c r="J12">
        <f t="shared" si="12"/>
        <v>0.90909090909090973</v>
      </c>
      <c r="K12">
        <f t="shared" si="0"/>
        <v>1.7355371900826457</v>
      </c>
      <c r="L12">
        <f t="shared" si="1"/>
        <v>2.4868519909842246</v>
      </c>
      <c r="M12">
        <f t="shared" si="2"/>
        <v>3.169865446349295</v>
      </c>
      <c r="N12">
        <f t="shared" si="13"/>
        <v>4.1065959260687785</v>
      </c>
      <c r="O12">
        <f t="shared" si="3"/>
        <v>4.355260699462228</v>
      </c>
      <c r="P12">
        <f t="shared" si="4"/>
        <v>4.8684188176929348</v>
      </c>
      <c r="Q12">
        <f t="shared" si="5"/>
        <v>5.3349261979026679</v>
      </c>
      <c r="R12">
        <f t="shared" si="6"/>
        <v>5.7590238162751533</v>
      </c>
      <c r="S12">
        <f t="shared" si="7"/>
        <v>6.1445671057046853</v>
      </c>
      <c r="T12">
        <f t="shared" si="8"/>
        <v>7.6060795063083662</v>
      </c>
      <c r="U12">
        <f t="shared" si="9"/>
        <v>8.5135637197585652</v>
      </c>
      <c r="V12">
        <f t="shared" si="10"/>
        <v>9.0770400182293596</v>
      </c>
      <c r="W12">
        <f t="shared" si="11"/>
        <v>9.42691446698832</v>
      </c>
    </row>
    <row r="18" spans="2:17" x14ac:dyDescent="0.2">
      <c r="B18" s="1" t="s">
        <v>1</v>
      </c>
      <c r="C18" s="1" t="s">
        <v>89</v>
      </c>
      <c r="D18" s="1" t="s">
        <v>92</v>
      </c>
      <c r="E18" s="1" t="s">
        <v>91</v>
      </c>
      <c r="F18" s="1" t="s">
        <v>93</v>
      </c>
      <c r="G18" s="1" t="s">
        <v>97</v>
      </c>
      <c r="H18" s="1" t="s">
        <v>98</v>
      </c>
      <c r="J18" s="1" t="s">
        <v>1</v>
      </c>
      <c r="K18" s="1" t="s">
        <v>89</v>
      </c>
      <c r="L18" s="1" t="s">
        <v>113</v>
      </c>
      <c r="N18" s="1" t="s">
        <v>1</v>
      </c>
      <c r="O18" s="1" t="s">
        <v>89</v>
      </c>
      <c r="P18" s="1" t="s">
        <v>114</v>
      </c>
      <c r="Q18" s="1" t="s">
        <v>96</v>
      </c>
    </row>
    <row r="19" spans="2:17" x14ac:dyDescent="0.2">
      <c r="B19" t="str">
        <f>Sheet1!R4</f>
        <v>District and Facility Introduction Visits</v>
      </c>
      <c r="C19" t="s">
        <v>86</v>
      </c>
      <c r="D19" s="24">
        <f>SUMIFS(Sheet1!$H:$H,Sheet1!$A:$A,'Sensitivity Analysis'!B19,Sheet1!$I:$I,'Sensitivity Analysis'!C19)</f>
        <v>2066.3265306122448</v>
      </c>
      <c r="E19">
        <f>INDEX($C$2:$F$7,MATCH(C19,$C$2:$C$7,0),4)</f>
        <v>0.97087378640776789</v>
      </c>
      <c r="F19" s="25">
        <f>D19/E19*(10/12)</f>
        <v>1773.5969387755085</v>
      </c>
      <c r="G19">
        <v>10</v>
      </c>
      <c r="H19" s="25">
        <f t="shared" ref="H19:H48" si="14">F19/G19</f>
        <v>177.35969387755085</v>
      </c>
      <c r="J19" t="str">
        <f>B19</f>
        <v>District and Facility Introduction Visits</v>
      </c>
      <c r="K19" t="str">
        <f>C19</f>
        <v>Travel</v>
      </c>
      <c r="L19" s="24">
        <f>H19</f>
        <v>177.35969387755085</v>
      </c>
      <c r="N19" t="str">
        <f>J19</f>
        <v>District and Facility Introduction Visits</v>
      </c>
      <c r="O19" t="str">
        <f>K19</f>
        <v>Travel</v>
      </c>
      <c r="P19">
        <v>0</v>
      </c>
    </row>
    <row r="20" spans="2:17" x14ac:dyDescent="0.2">
      <c r="B20" t="str">
        <f>Sheet1!R4</f>
        <v>District and Facility Introduction Visits</v>
      </c>
      <c r="C20" t="s">
        <v>85</v>
      </c>
      <c r="D20" s="24">
        <f>SUMIFS(Sheet1!$H:$H,Sheet1!$A:$A,'Sensitivity Analysis'!B20,Sheet1!$I:$I,'Sensitivity Analysis'!C20)</f>
        <v>1970.8189596861471</v>
      </c>
      <c r="E20">
        <f>INDEX($C$2:$F$7,MATCH(C20,$C$2:$C$7,0),4)</f>
        <v>4.6167910616738048</v>
      </c>
      <c r="F20" s="25">
        <f>D20/E20*(10/12)</f>
        <v>355.73390936092312</v>
      </c>
      <c r="G20">
        <v>10</v>
      </c>
      <c r="H20" s="25">
        <f t="shared" si="14"/>
        <v>35.573390936092309</v>
      </c>
      <c r="J20" t="str">
        <f t="shared" ref="J20:J48" si="15">B20</f>
        <v>District and Facility Introduction Visits</v>
      </c>
      <c r="K20" t="str">
        <f t="shared" ref="K20:K48" si="16">C20</f>
        <v>HR Time</v>
      </c>
      <c r="L20" s="24">
        <f>H20</f>
        <v>35.573390936092309</v>
      </c>
      <c r="N20" t="str">
        <f t="shared" ref="N20:N48" si="17">J20</f>
        <v>District and Facility Introduction Visits</v>
      </c>
      <c r="O20" t="str">
        <f t="shared" ref="O20:O48" si="18">K20</f>
        <v>HR Time</v>
      </c>
      <c r="P20">
        <v>0</v>
      </c>
    </row>
    <row r="21" spans="2:17" x14ac:dyDescent="0.2">
      <c r="B21" t="str">
        <f>Sheet1!R4</f>
        <v>District and Facility Introduction Visits</v>
      </c>
      <c r="C21" t="s">
        <v>87</v>
      </c>
      <c r="D21" s="24">
        <f>SUMIFS(Sheet1!$H:$H,Sheet1!$A:$A,'Sensitivity Analysis'!B21,Sheet1!$I:$I,'Sensitivity Analysis'!C21)</f>
        <v>200</v>
      </c>
      <c r="E21">
        <f>INDEX($C$2:$F$7,MATCH(C21,$C$2:$C$7,0),4)</f>
        <v>4.6167910616738048</v>
      </c>
      <c r="F21" s="25">
        <f>D21/E21</f>
        <v>43.320132388120363</v>
      </c>
      <c r="G21">
        <v>10</v>
      </c>
      <c r="H21" s="25">
        <f t="shared" si="14"/>
        <v>4.3320132388120367</v>
      </c>
      <c r="J21" t="str">
        <f t="shared" si="15"/>
        <v>District and Facility Introduction Visits</v>
      </c>
      <c r="K21" t="str">
        <f t="shared" si="16"/>
        <v>One Time Cost</v>
      </c>
      <c r="L21" s="24">
        <v>0</v>
      </c>
      <c r="N21" t="str">
        <f t="shared" si="17"/>
        <v>District and Facility Introduction Visits</v>
      </c>
      <c r="O21" t="str">
        <f t="shared" si="18"/>
        <v>One Time Cost</v>
      </c>
      <c r="P21" s="25">
        <f>D21</f>
        <v>200</v>
      </c>
    </row>
    <row r="22" spans="2:17" x14ac:dyDescent="0.2">
      <c r="B22" t="str">
        <f>Sheet1!R4</f>
        <v>District and Facility Introduction Visits</v>
      </c>
      <c r="C22" t="s">
        <v>83</v>
      </c>
      <c r="D22" s="24">
        <f>SUMIFS(Sheet1!$H:$H,Sheet1!$A:$A,'Sensitivity Analysis'!B22,Sheet1!$I:$I,'Sensitivity Analysis'!C22)</f>
        <v>0</v>
      </c>
      <c r="E22">
        <f>INDEX($C$2:$F$7,MATCH(C22,$C$2:$C$7,0),4)</f>
        <v>0.97087378640776789</v>
      </c>
      <c r="F22" s="25">
        <f>D22/E22*(10/12)</f>
        <v>0</v>
      </c>
      <c r="G22">
        <v>10</v>
      </c>
      <c r="H22" s="25">
        <f t="shared" si="14"/>
        <v>0</v>
      </c>
      <c r="J22" t="str">
        <f t="shared" si="15"/>
        <v>District and Facility Introduction Visits</v>
      </c>
      <c r="K22" t="str">
        <f t="shared" si="16"/>
        <v>Consumable</v>
      </c>
      <c r="L22" s="24">
        <v>0</v>
      </c>
      <c r="N22" t="str">
        <f t="shared" si="17"/>
        <v>District and Facility Introduction Visits</v>
      </c>
      <c r="O22" t="str">
        <f t="shared" si="18"/>
        <v>Consumable</v>
      </c>
      <c r="P22">
        <v>0</v>
      </c>
    </row>
    <row r="23" spans="2:17" x14ac:dyDescent="0.2">
      <c r="B23" t="str">
        <f>Sheet1!R4</f>
        <v>District and Facility Introduction Visits</v>
      </c>
      <c r="C23" t="s">
        <v>88</v>
      </c>
      <c r="D23" s="24">
        <f>SUMIFS(Sheet1!$H:$H,Sheet1!$A:$A,'Sensitivity Analysis'!B23,Sheet1!$I:$I,'Sensitivity Analysis'!C23)</f>
        <v>0</v>
      </c>
      <c r="E23">
        <f>INDEX($C$2:$F$7,MATCH(C23,$C$2:$C$7,0),4)</f>
        <v>4.6167910616738048</v>
      </c>
      <c r="F23" s="25">
        <f>D23/E23*(10/12)</f>
        <v>0</v>
      </c>
      <c r="G23">
        <v>10</v>
      </c>
      <c r="H23" s="25">
        <f t="shared" si="14"/>
        <v>0</v>
      </c>
      <c r="J23" t="str">
        <f t="shared" si="15"/>
        <v>District and Facility Introduction Visits</v>
      </c>
      <c r="K23" t="str">
        <f t="shared" si="16"/>
        <v>Equipment</v>
      </c>
      <c r="L23" s="24">
        <v>0</v>
      </c>
      <c r="N23" t="str">
        <f t="shared" si="17"/>
        <v>District and Facility Introduction Visits</v>
      </c>
      <c r="O23" t="str">
        <f t="shared" si="18"/>
        <v>Equipment</v>
      </c>
      <c r="P23">
        <v>0</v>
      </c>
    </row>
    <row r="24" spans="2:17" x14ac:dyDescent="0.2">
      <c r="B24" s="1" t="str">
        <f>Sheet1!R4</f>
        <v>District and Facility Introduction Visits</v>
      </c>
      <c r="C24" s="1" t="s">
        <v>77</v>
      </c>
      <c r="D24" s="28">
        <f>SUM(D19:D23)</f>
        <v>4237.1454902983915</v>
      </c>
      <c r="E24" s="1"/>
      <c r="F24" s="28">
        <f>SUM(F19:F23)</f>
        <v>2172.6509805245519</v>
      </c>
      <c r="G24">
        <v>10</v>
      </c>
      <c r="H24" s="25">
        <f t="shared" si="14"/>
        <v>217.26509805245519</v>
      </c>
      <c r="J24" t="str">
        <f t="shared" si="15"/>
        <v>District and Facility Introduction Visits</v>
      </c>
      <c r="K24" t="str">
        <f t="shared" si="16"/>
        <v>Total</v>
      </c>
      <c r="L24" s="24">
        <f>SUM(L19:L23)</f>
        <v>212.93308481364318</v>
      </c>
      <c r="N24" t="str">
        <f t="shared" si="17"/>
        <v>District and Facility Introduction Visits</v>
      </c>
      <c r="O24" t="str">
        <f t="shared" si="18"/>
        <v>Total</v>
      </c>
      <c r="P24">
        <f>SUM(P19:P23)</f>
        <v>200</v>
      </c>
    </row>
    <row r="25" spans="2:17" x14ac:dyDescent="0.2">
      <c r="B25" t="str">
        <f>Sheet1!R5</f>
        <v>Clearing Gene Xpert through customs</v>
      </c>
      <c r="C25" t="s">
        <v>86</v>
      </c>
      <c r="D25" s="24">
        <f>SUMIFS(Sheet1!$H:$H,Sheet1!$A:$A,'Sensitivity Analysis'!B25,Sheet1!$I:$I,'Sensitivity Analysis'!C25)</f>
        <v>0</v>
      </c>
      <c r="E25">
        <f>INDEX($C$2:$F$7,MATCH(C25,$C$2:$C$7,0),4)</f>
        <v>0.97087378640776789</v>
      </c>
      <c r="F25" s="25">
        <f>D25/E25*(10/12)</f>
        <v>0</v>
      </c>
      <c r="G25">
        <v>10</v>
      </c>
      <c r="H25" s="25">
        <f t="shared" si="14"/>
        <v>0</v>
      </c>
      <c r="J25" t="str">
        <f t="shared" si="15"/>
        <v>Clearing Gene Xpert through customs</v>
      </c>
      <c r="K25" t="str">
        <f t="shared" si="16"/>
        <v>Travel</v>
      </c>
      <c r="L25" s="24">
        <v>0</v>
      </c>
      <c r="N25" t="str">
        <f t="shared" si="17"/>
        <v>Clearing Gene Xpert through customs</v>
      </c>
      <c r="O25" t="str">
        <f t="shared" si="18"/>
        <v>Travel</v>
      </c>
      <c r="P25">
        <v>0</v>
      </c>
    </row>
    <row r="26" spans="2:17" x14ac:dyDescent="0.2">
      <c r="B26" t="str">
        <f>Sheet1!R5</f>
        <v>Clearing Gene Xpert through customs</v>
      </c>
      <c r="C26" t="s">
        <v>85</v>
      </c>
      <c r="D26" s="24">
        <f>SUMIFS(Sheet1!$H:$H,Sheet1!$A:$A,'Sensitivity Analysis'!B26,Sheet1!$I:$I,'Sensitivity Analysis'!C26)</f>
        <v>106.7920918367347</v>
      </c>
      <c r="E26">
        <f>INDEX($C$2:$F$7,MATCH(C26,$C$2:$C$7,0),4)</f>
        <v>4.6167910616738048</v>
      </c>
      <c r="F26" s="25">
        <f>D26/E26</f>
        <v>23.131237781858278</v>
      </c>
      <c r="G26">
        <v>10</v>
      </c>
      <c r="H26" s="25">
        <f t="shared" si="14"/>
        <v>2.3131237781858278</v>
      </c>
      <c r="J26" t="str">
        <f t="shared" si="15"/>
        <v>Clearing Gene Xpert through customs</v>
      </c>
      <c r="K26" t="str">
        <f t="shared" si="16"/>
        <v>HR Time</v>
      </c>
      <c r="L26" s="24">
        <v>0</v>
      </c>
      <c r="N26" t="str">
        <f t="shared" si="17"/>
        <v>Clearing Gene Xpert through customs</v>
      </c>
      <c r="O26" t="str">
        <f t="shared" si="18"/>
        <v>HR Time</v>
      </c>
      <c r="P26" s="25">
        <f>F26</f>
        <v>23.131237781858278</v>
      </c>
    </row>
    <row r="27" spans="2:17" x14ac:dyDescent="0.2">
      <c r="B27" t="str">
        <f>Sheet1!R5</f>
        <v>Clearing Gene Xpert through customs</v>
      </c>
      <c r="C27" t="s">
        <v>87</v>
      </c>
      <c r="D27" s="24">
        <f>SUMIFS(Sheet1!$H:$H,Sheet1!$A:$A,'Sensitivity Analysis'!B27,Sheet1!$I:$I,'Sensitivity Analysis'!C27)</f>
        <v>806.21286848072555</v>
      </c>
      <c r="E27">
        <f>INDEX($C$2:$F$7,MATCH(C27,$C$2:$C$7,0),4)</f>
        <v>4.6167910616738048</v>
      </c>
      <c r="F27" s="25">
        <f>D27/E27</f>
        <v>174.62624097795651</v>
      </c>
      <c r="G27">
        <v>10</v>
      </c>
      <c r="H27" s="25">
        <f t="shared" si="14"/>
        <v>17.462624097795651</v>
      </c>
      <c r="J27" t="str">
        <f t="shared" si="15"/>
        <v>Clearing Gene Xpert through customs</v>
      </c>
      <c r="K27" t="str">
        <f t="shared" si="16"/>
        <v>One Time Cost</v>
      </c>
      <c r="L27" s="24">
        <v>0</v>
      </c>
      <c r="N27" t="str">
        <f t="shared" si="17"/>
        <v>Clearing Gene Xpert through customs</v>
      </c>
      <c r="O27" t="str">
        <f t="shared" si="18"/>
        <v>One Time Cost</v>
      </c>
      <c r="P27" s="25">
        <f>F27</f>
        <v>174.62624097795651</v>
      </c>
    </row>
    <row r="28" spans="2:17" x14ac:dyDescent="0.2">
      <c r="B28" t="str">
        <f>Sheet1!R5</f>
        <v>Clearing Gene Xpert through customs</v>
      </c>
      <c r="C28" t="s">
        <v>83</v>
      </c>
      <c r="D28" s="24">
        <f>SUMIFS(Sheet1!$H:$H,Sheet1!$A:$A,'Sensitivity Analysis'!B28,Sheet1!$I:$I,'Sensitivity Analysis'!C28)</f>
        <v>0</v>
      </c>
      <c r="E28">
        <f>INDEX($C$2:$F$7,MATCH(C28,$C$2:$C$7,0),4)</f>
        <v>0.97087378640776789</v>
      </c>
      <c r="F28" s="25">
        <f>D28/E28*(10/12)</f>
        <v>0</v>
      </c>
      <c r="G28">
        <v>10</v>
      </c>
      <c r="H28" s="25">
        <f t="shared" si="14"/>
        <v>0</v>
      </c>
      <c r="J28" t="str">
        <f t="shared" si="15"/>
        <v>Clearing Gene Xpert through customs</v>
      </c>
      <c r="K28" t="str">
        <f t="shared" si="16"/>
        <v>Consumable</v>
      </c>
      <c r="L28" s="24">
        <v>0</v>
      </c>
      <c r="N28" t="str">
        <f t="shared" si="17"/>
        <v>Clearing Gene Xpert through customs</v>
      </c>
      <c r="O28" t="str">
        <f t="shared" si="18"/>
        <v>Consumable</v>
      </c>
      <c r="P28">
        <v>0</v>
      </c>
    </row>
    <row r="29" spans="2:17" x14ac:dyDescent="0.2">
      <c r="B29" t="str">
        <f>Sheet1!R5</f>
        <v>Clearing Gene Xpert through customs</v>
      </c>
      <c r="C29" t="s">
        <v>88</v>
      </c>
      <c r="D29" s="24">
        <f>SUMIFS(Sheet1!$H:$H,Sheet1!$A:$A,'Sensitivity Analysis'!B29,Sheet1!$I:$I,'Sensitivity Analysis'!C29)</f>
        <v>32410.32</v>
      </c>
      <c r="E29">
        <f>INDEX($C$2:$F$7,MATCH(C29,$C$2:$C$7,0),4)</f>
        <v>4.6167910616738048</v>
      </c>
      <c r="F29" s="25">
        <f>D29/E29*(10/12)</f>
        <v>5850.080638088938</v>
      </c>
      <c r="G29">
        <v>10</v>
      </c>
      <c r="H29" s="25">
        <f>F29/G29</f>
        <v>585.00806380889378</v>
      </c>
      <c r="J29" t="str">
        <f t="shared" si="15"/>
        <v>Clearing Gene Xpert through customs</v>
      </c>
      <c r="K29" t="str">
        <f t="shared" si="16"/>
        <v>Equipment</v>
      </c>
      <c r="L29" s="24">
        <f>H29</f>
        <v>585.00806380889378</v>
      </c>
      <c r="N29" t="str">
        <f t="shared" si="17"/>
        <v>Clearing Gene Xpert through customs</v>
      </c>
      <c r="O29" t="str">
        <f t="shared" si="18"/>
        <v>Equipment</v>
      </c>
      <c r="P29">
        <v>0</v>
      </c>
    </row>
    <row r="30" spans="2:17" x14ac:dyDescent="0.2">
      <c r="B30" s="1" t="str">
        <f>Sheet1!R5</f>
        <v>Clearing Gene Xpert through customs</v>
      </c>
      <c r="C30" s="1" t="s">
        <v>77</v>
      </c>
      <c r="D30" s="27">
        <f>SUM(D25:D29)</f>
        <v>33323.324960317463</v>
      </c>
      <c r="E30" s="1"/>
      <c r="F30" s="28">
        <f>SUM(F25:F29)</f>
        <v>6047.8381168487531</v>
      </c>
      <c r="G30">
        <v>10</v>
      </c>
      <c r="H30" s="25">
        <f t="shared" si="14"/>
        <v>604.78381168487533</v>
      </c>
      <c r="J30" t="str">
        <f t="shared" si="15"/>
        <v>Clearing Gene Xpert through customs</v>
      </c>
      <c r="K30" t="str">
        <f t="shared" si="16"/>
        <v>Total</v>
      </c>
      <c r="L30" s="24">
        <f>SUM(L25:L29)</f>
        <v>585.00806380889378</v>
      </c>
      <c r="N30" t="str">
        <f t="shared" si="17"/>
        <v>Clearing Gene Xpert through customs</v>
      </c>
      <c r="O30" t="str">
        <f t="shared" si="18"/>
        <v>Total</v>
      </c>
      <c r="P30">
        <f>SUM(P25:P29)</f>
        <v>197.7574787598148</v>
      </c>
    </row>
    <row r="31" spans="2:17" x14ac:dyDescent="0.2">
      <c r="B31" t="str">
        <f>Sheet1!R6</f>
        <v>Clearing Solar Panels through customs</v>
      </c>
      <c r="C31" t="s">
        <v>86</v>
      </c>
      <c r="D31" s="24">
        <f>SUMIFS(Sheet1!$H:$H,Sheet1!$A:$A,'Sensitivity Analysis'!B31,Sheet1!$I:$I,'Sensitivity Analysis'!C31)</f>
        <v>0</v>
      </c>
      <c r="E31">
        <f>INDEX($C$2:$F$7,MATCH(C31,$C$2:$C$7,0),4)</f>
        <v>0.97087378640776789</v>
      </c>
      <c r="F31" s="25">
        <f>D31/E31*(10/12)</f>
        <v>0</v>
      </c>
      <c r="G31">
        <v>10</v>
      </c>
      <c r="H31" s="25">
        <f t="shared" si="14"/>
        <v>0</v>
      </c>
      <c r="J31" t="str">
        <f t="shared" si="15"/>
        <v>Clearing Solar Panels through customs</v>
      </c>
      <c r="K31" t="str">
        <f t="shared" si="16"/>
        <v>Travel</v>
      </c>
      <c r="L31" s="24">
        <v>0</v>
      </c>
      <c r="N31" t="str">
        <f t="shared" si="17"/>
        <v>Clearing Solar Panels through customs</v>
      </c>
      <c r="O31" t="str">
        <f t="shared" si="18"/>
        <v>Travel</v>
      </c>
      <c r="P31">
        <v>0</v>
      </c>
    </row>
    <row r="32" spans="2:17" x14ac:dyDescent="0.2">
      <c r="B32" t="str">
        <f>Sheet1!R6</f>
        <v>Clearing Solar Panels through customs</v>
      </c>
      <c r="C32" t="s">
        <v>85</v>
      </c>
      <c r="D32" s="24">
        <f>SUMIFS(Sheet1!$H:$H,Sheet1!$A:$A,'Sensitivity Analysis'!B32,Sheet1!$I:$I,'Sensitivity Analysis'!C32)</f>
        <v>12.563775510204081</v>
      </c>
      <c r="E32">
        <f>INDEX($C$2:$F$7,MATCH(C32,$C$2:$C$7,0),4)</f>
        <v>4.6167910616738048</v>
      </c>
      <c r="F32" s="25">
        <f>D32/E32</f>
        <v>2.7213220919833265</v>
      </c>
      <c r="G32">
        <v>10</v>
      </c>
      <c r="H32" s="25">
        <f t="shared" si="14"/>
        <v>0.27213220919833264</v>
      </c>
      <c r="J32" t="str">
        <f t="shared" si="15"/>
        <v>Clearing Solar Panels through customs</v>
      </c>
      <c r="K32" t="str">
        <f t="shared" si="16"/>
        <v>HR Time</v>
      </c>
      <c r="L32" s="24">
        <v>0</v>
      </c>
      <c r="N32" t="str">
        <f t="shared" si="17"/>
        <v>Clearing Solar Panels through customs</v>
      </c>
      <c r="O32" t="str">
        <f t="shared" si="18"/>
        <v>HR Time</v>
      </c>
      <c r="P32" s="25">
        <f>F32</f>
        <v>2.7213220919833265</v>
      </c>
    </row>
    <row r="33" spans="2:16" x14ac:dyDescent="0.2">
      <c r="B33" t="str">
        <f>Sheet1!R6</f>
        <v>Clearing Solar Panels through customs</v>
      </c>
      <c r="C33" t="s">
        <v>87</v>
      </c>
      <c r="D33" s="24">
        <f>SUMIFS(Sheet1!$H:$H,Sheet1!$A:$A,'Sensitivity Analysis'!B33,Sheet1!$I:$I,'Sensitivity Analysis'!C33)</f>
        <v>908.77491347416151</v>
      </c>
      <c r="E33">
        <f>INDEX($C$2:$F$7,MATCH(C33,$C$2:$C$7,0),4)</f>
        <v>4.6167910616738048</v>
      </c>
      <c r="F33" s="25">
        <f>D33/E33</f>
        <v>196.84124781351653</v>
      </c>
      <c r="G33">
        <v>10</v>
      </c>
      <c r="H33" s="25">
        <f t="shared" si="14"/>
        <v>19.684124781351652</v>
      </c>
      <c r="J33" t="str">
        <f t="shared" si="15"/>
        <v>Clearing Solar Panels through customs</v>
      </c>
      <c r="K33" t="str">
        <f t="shared" si="16"/>
        <v>One Time Cost</v>
      </c>
      <c r="L33" s="24">
        <v>0</v>
      </c>
      <c r="N33" t="str">
        <f t="shared" si="17"/>
        <v>Clearing Solar Panels through customs</v>
      </c>
      <c r="O33" t="str">
        <f t="shared" si="18"/>
        <v>One Time Cost</v>
      </c>
      <c r="P33" s="25">
        <f>F33</f>
        <v>196.84124781351653</v>
      </c>
    </row>
    <row r="34" spans="2:16" x14ac:dyDescent="0.2">
      <c r="B34" t="str">
        <f>Sheet1!R6</f>
        <v>Clearing Solar Panels through customs</v>
      </c>
      <c r="C34" t="s">
        <v>83</v>
      </c>
      <c r="D34" s="24">
        <f>SUMIFS(Sheet1!$H:$H,Sheet1!$A:$A,'Sensitivity Analysis'!B34,Sheet1!$I:$I,'Sensitivity Analysis'!C34)</f>
        <v>0</v>
      </c>
      <c r="E34">
        <f>INDEX($C$2:$F$7,MATCH(C34,$C$2:$C$7,0),4)</f>
        <v>0.97087378640776789</v>
      </c>
      <c r="F34" s="25">
        <f>D34/E34*(10/12)</f>
        <v>0</v>
      </c>
      <c r="G34">
        <v>10</v>
      </c>
      <c r="H34" s="25">
        <f t="shared" si="14"/>
        <v>0</v>
      </c>
      <c r="J34" t="str">
        <f t="shared" si="15"/>
        <v>Clearing Solar Panels through customs</v>
      </c>
      <c r="K34" t="str">
        <f t="shared" si="16"/>
        <v>Consumable</v>
      </c>
      <c r="L34" s="24">
        <v>0</v>
      </c>
      <c r="N34" t="str">
        <f t="shared" si="17"/>
        <v>Clearing Solar Panels through customs</v>
      </c>
      <c r="O34" t="str">
        <f t="shared" si="18"/>
        <v>Consumable</v>
      </c>
      <c r="P34">
        <v>0</v>
      </c>
    </row>
    <row r="35" spans="2:16" x14ac:dyDescent="0.2">
      <c r="B35" t="str">
        <f>Sheet1!R6</f>
        <v>Clearing Solar Panels through customs</v>
      </c>
      <c r="C35" t="s">
        <v>88</v>
      </c>
      <c r="D35" s="24">
        <f>SUMIFS(Sheet1!$H:$H,Sheet1!$A:$A,'Sensitivity Analysis'!B35,Sheet1!$I:$I,'Sensitivity Analysis'!C35)</f>
        <v>6191.4439097744362</v>
      </c>
      <c r="E35">
        <f>INDEX($C$2:$F$7,MATCH(C35,$C$2:$C$7,0),4)</f>
        <v>4.6167910616738048</v>
      </c>
      <c r="F35" s="25">
        <f>D35/E35*(10/12)</f>
        <v>1117.5590410210423</v>
      </c>
      <c r="G35">
        <v>10</v>
      </c>
      <c r="H35" s="25">
        <f t="shared" si="14"/>
        <v>111.75590410210422</v>
      </c>
      <c r="J35" t="str">
        <f t="shared" si="15"/>
        <v>Clearing Solar Panels through customs</v>
      </c>
      <c r="K35" t="str">
        <f t="shared" si="16"/>
        <v>Equipment</v>
      </c>
      <c r="L35" s="24">
        <f>H35</f>
        <v>111.75590410210422</v>
      </c>
      <c r="N35" t="str">
        <f t="shared" si="17"/>
        <v>Clearing Solar Panels through customs</v>
      </c>
      <c r="O35" t="str">
        <f t="shared" si="18"/>
        <v>Equipment</v>
      </c>
      <c r="P35">
        <v>0</v>
      </c>
    </row>
    <row r="36" spans="2:16" x14ac:dyDescent="0.2">
      <c r="B36" s="1" t="str">
        <f>Sheet1!R6</f>
        <v>Clearing Solar Panels through customs</v>
      </c>
      <c r="C36" s="1" t="s">
        <v>77</v>
      </c>
      <c r="D36" s="27">
        <f>SUM(D31:D35)</f>
        <v>7112.7825987588021</v>
      </c>
      <c r="E36" s="1"/>
      <c r="F36" s="28">
        <f>SUM(F31:F35)</f>
        <v>1317.1216109265422</v>
      </c>
      <c r="G36">
        <v>10</v>
      </c>
      <c r="H36" s="25">
        <f t="shared" si="14"/>
        <v>131.71216109265421</v>
      </c>
      <c r="J36" t="str">
        <f t="shared" si="15"/>
        <v>Clearing Solar Panels through customs</v>
      </c>
      <c r="K36" t="str">
        <f t="shared" si="16"/>
        <v>Total</v>
      </c>
      <c r="L36" s="24">
        <f>SUM(L31:L35)</f>
        <v>111.75590410210422</v>
      </c>
      <c r="N36" t="str">
        <f t="shared" si="17"/>
        <v>Clearing Solar Panels through customs</v>
      </c>
      <c r="O36" t="str">
        <f t="shared" si="18"/>
        <v>Total</v>
      </c>
      <c r="P36">
        <f>SUM(P31:P35)</f>
        <v>199.56256990549986</v>
      </c>
    </row>
    <row r="37" spans="2:16" x14ac:dyDescent="0.2">
      <c r="B37" t="str">
        <f>Sheet1!R7</f>
        <v>Installation/Training Site Visits</v>
      </c>
      <c r="C37" t="s">
        <v>86</v>
      </c>
      <c r="D37" s="24">
        <f>SUMIFS(Sheet1!$H:$H,Sheet1!$A:$A,'Sensitivity Analysis'!B37,Sheet1!$I:$I,'Sensitivity Analysis'!C37)</f>
        <v>1272.7324264455783</v>
      </c>
      <c r="E37">
        <f>INDEX($C$2:$F$7,MATCH(C37,$C$2:$C$7,0),4)</f>
        <v>0.97087378640776789</v>
      </c>
      <c r="F37" s="25">
        <f>D37/E37*(10/12)</f>
        <v>1092.4286660324537</v>
      </c>
      <c r="G37">
        <v>10</v>
      </c>
      <c r="H37" s="25">
        <v>54.09</v>
      </c>
      <c r="J37" t="str">
        <f t="shared" si="15"/>
        <v>Installation/Training Site Visits</v>
      </c>
      <c r="K37" t="str">
        <f t="shared" si="16"/>
        <v>Travel</v>
      </c>
      <c r="L37" s="24">
        <f>H37</f>
        <v>54.09</v>
      </c>
      <c r="N37" t="str">
        <f t="shared" si="17"/>
        <v>Installation/Training Site Visits</v>
      </c>
      <c r="O37" t="str">
        <f t="shared" si="18"/>
        <v>Travel</v>
      </c>
      <c r="P37">
        <v>0</v>
      </c>
    </row>
    <row r="38" spans="2:16" x14ac:dyDescent="0.2">
      <c r="B38" t="str">
        <f>Sheet1!R7</f>
        <v>Installation/Training Site Visits</v>
      </c>
      <c r="C38" t="s">
        <v>85</v>
      </c>
      <c r="D38" s="24">
        <f>SUMIFS(Sheet1!$H:$H,Sheet1!$A:$A,'Sensitivity Analysis'!B38,Sheet1!$I:$I,'Sensitivity Analysis'!C38)</f>
        <v>2995.5982271696562</v>
      </c>
      <c r="E38">
        <f>INDEX($C$2:$F$7,MATCH(C38,$C$2:$C$7,0),4)</f>
        <v>4.6167910616738048</v>
      </c>
      <c r="F38" s="25">
        <f>D38/E38*(10/12)</f>
        <v>540.70713242753402</v>
      </c>
      <c r="G38">
        <v>10</v>
      </c>
      <c r="H38" s="25">
        <v>249.63</v>
      </c>
      <c r="J38" t="str">
        <f t="shared" si="15"/>
        <v>Installation/Training Site Visits</v>
      </c>
      <c r="K38" t="str">
        <f t="shared" si="16"/>
        <v>HR Time</v>
      </c>
      <c r="L38" s="24">
        <f>H38</f>
        <v>249.63</v>
      </c>
      <c r="N38" t="str">
        <f t="shared" si="17"/>
        <v>Installation/Training Site Visits</v>
      </c>
      <c r="O38" t="str">
        <f t="shared" si="18"/>
        <v>HR Time</v>
      </c>
      <c r="P38">
        <v>0</v>
      </c>
    </row>
    <row r="39" spans="2:16" x14ac:dyDescent="0.2">
      <c r="B39" t="str">
        <f>Sheet1!R7</f>
        <v>Installation/Training Site Visits</v>
      </c>
      <c r="C39" t="s">
        <v>87</v>
      </c>
      <c r="D39" s="24">
        <f>SUMIFS(Sheet1!$H:$H,Sheet1!$A:$A,'Sensitivity Analysis'!B39,Sheet1!$I:$I,'Sensitivity Analysis'!C39)</f>
        <v>0</v>
      </c>
      <c r="E39">
        <f>INDEX($C$2:$F$7,MATCH(C39,$C$2:$C$7,0),4)</f>
        <v>4.6167910616738048</v>
      </c>
      <c r="F39" s="25">
        <f>D39/E39*(10/12)</f>
        <v>0</v>
      </c>
      <c r="G39">
        <v>10</v>
      </c>
      <c r="H39" s="25">
        <f t="shared" si="14"/>
        <v>0</v>
      </c>
      <c r="J39" t="str">
        <f t="shared" si="15"/>
        <v>Installation/Training Site Visits</v>
      </c>
      <c r="K39" t="str">
        <f t="shared" si="16"/>
        <v>One Time Cost</v>
      </c>
      <c r="L39" s="24">
        <f>H39</f>
        <v>0</v>
      </c>
      <c r="N39" t="str">
        <f t="shared" si="17"/>
        <v>Installation/Training Site Visits</v>
      </c>
      <c r="O39" t="str">
        <f t="shared" si="18"/>
        <v>One Time Cost</v>
      </c>
      <c r="P39" s="25">
        <f>F39</f>
        <v>0</v>
      </c>
    </row>
    <row r="40" spans="2:16" x14ac:dyDescent="0.2">
      <c r="B40" t="str">
        <f>Sheet1!R7</f>
        <v>Installation/Training Site Visits</v>
      </c>
      <c r="C40" t="s">
        <v>83</v>
      </c>
      <c r="D40" s="24">
        <f>SUMIFS(Sheet1!$H:$H,Sheet1!$A:$A,'Sensitivity Analysis'!B40,Sheet1!$I:$I,'Sensitivity Analysis'!C40)</f>
        <v>1719.9546485260771</v>
      </c>
      <c r="E40">
        <f>INDEX($C$2:$F$7,MATCH(C40,$C$2:$C$7,0),4)</f>
        <v>0.97087378640776789</v>
      </c>
      <c r="F40" s="25">
        <f>D40/E40*(10/12)</f>
        <v>1476.2944066515481</v>
      </c>
      <c r="G40">
        <v>10</v>
      </c>
      <c r="H40" s="25">
        <f t="shared" si="14"/>
        <v>147.62944066515482</v>
      </c>
      <c r="J40" t="str">
        <f t="shared" si="15"/>
        <v>Installation/Training Site Visits</v>
      </c>
      <c r="K40" t="str">
        <f t="shared" si="16"/>
        <v>Consumable</v>
      </c>
      <c r="L40" s="24">
        <f>H40</f>
        <v>147.62944066515482</v>
      </c>
      <c r="N40" t="str">
        <f t="shared" si="17"/>
        <v>Installation/Training Site Visits</v>
      </c>
      <c r="O40" t="str">
        <f t="shared" si="18"/>
        <v>Consumable</v>
      </c>
      <c r="P40">
        <v>0</v>
      </c>
    </row>
    <row r="41" spans="2:16" x14ac:dyDescent="0.2">
      <c r="B41" t="str">
        <f>Sheet1!R7</f>
        <v>Installation/Training Site Visits</v>
      </c>
      <c r="C41" t="s">
        <v>88</v>
      </c>
      <c r="D41" s="24">
        <f>SUMIFS(Sheet1!$H:$H,Sheet1!$A:$A,'Sensitivity Analysis'!B41,Sheet1!$I:$I,'Sensitivity Analysis'!C41)</f>
        <v>10292.65873015873</v>
      </c>
      <c r="E41">
        <f>INDEX($C$2:$F$7,MATCH(C41,$C$2:$C$7,0),4)</f>
        <v>4.6167910616738048</v>
      </c>
      <c r="F41" s="25">
        <f>D41/E41*(10/12)</f>
        <v>1857.8305784009126</v>
      </c>
      <c r="G41">
        <v>10</v>
      </c>
      <c r="H41" s="25">
        <f t="shared" si="14"/>
        <v>185.78305784009126</v>
      </c>
      <c r="J41" t="str">
        <f t="shared" si="15"/>
        <v>Installation/Training Site Visits</v>
      </c>
      <c r="K41" t="str">
        <f t="shared" si="16"/>
        <v>Equipment</v>
      </c>
      <c r="L41" s="24">
        <f>H41</f>
        <v>185.78305784009126</v>
      </c>
      <c r="N41" t="str">
        <f t="shared" si="17"/>
        <v>Installation/Training Site Visits</v>
      </c>
      <c r="O41" t="str">
        <f t="shared" si="18"/>
        <v>Equipment</v>
      </c>
      <c r="P41">
        <v>0</v>
      </c>
    </row>
    <row r="42" spans="2:16" x14ac:dyDescent="0.2">
      <c r="B42" s="1" t="str">
        <f>Sheet1!R7</f>
        <v>Installation/Training Site Visits</v>
      </c>
      <c r="C42" s="1" t="s">
        <v>77</v>
      </c>
      <c r="D42" s="28">
        <f>SUM(D37:D41)</f>
        <v>16280.944032300042</v>
      </c>
      <c r="E42" s="1"/>
      <c r="F42" s="28">
        <f>SUM(F37:F41)</f>
        <v>4967.2607835124481</v>
      </c>
      <c r="G42">
        <v>10</v>
      </c>
      <c r="H42" s="25">
        <f t="shared" si="14"/>
        <v>496.72607835124484</v>
      </c>
      <c r="J42" t="str">
        <f t="shared" si="15"/>
        <v>Installation/Training Site Visits</v>
      </c>
      <c r="K42" t="str">
        <f t="shared" si="16"/>
        <v>Total</v>
      </c>
      <c r="L42" s="24">
        <f>SUM(L37:L41)</f>
        <v>637.13249850524608</v>
      </c>
      <c r="N42" t="str">
        <f t="shared" si="17"/>
        <v>Installation/Training Site Visits</v>
      </c>
      <c r="O42" t="str">
        <f t="shared" si="18"/>
        <v>Total</v>
      </c>
      <c r="P42">
        <v>0</v>
      </c>
    </row>
    <row r="43" spans="2:16" x14ac:dyDescent="0.2">
      <c r="B43" s="29" t="s">
        <v>77</v>
      </c>
      <c r="C43" t="str">
        <f>C37</f>
        <v>Travel</v>
      </c>
      <c r="D43" s="24">
        <f t="shared" ref="D43:D48" si="19">SUMIF($C$19:$C$42,C43,$D$19:$D$42)</f>
        <v>3339.0589570578231</v>
      </c>
      <c r="E43">
        <f>INDEX($C$2:$F$7,MATCH(C43,$C$2:$C$7,0),4)</f>
        <v>0.97087378640776789</v>
      </c>
      <c r="F43" s="25">
        <f>D43/E43*(10/12)</f>
        <v>2866.0256048079623</v>
      </c>
      <c r="G43">
        <v>10</v>
      </c>
      <c r="H43" s="25">
        <f t="shared" si="14"/>
        <v>286.60256048079623</v>
      </c>
      <c r="J43" t="str">
        <f t="shared" si="15"/>
        <v>Total</v>
      </c>
      <c r="K43" t="str">
        <f t="shared" si="16"/>
        <v>Travel</v>
      </c>
      <c r="L43" s="24">
        <f>SUM(L37,L31,L25,L19)</f>
        <v>231.44969387755086</v>
      </c>
      <c r="N43" t="str">
        <f t="shared" si="17"/>
        <v>Total</v>
      </c>
      <c r="O43" t="str">
        <f t="shared" si="18"/>
        <v>Travel</v>
      </c>
      <c r="P43">
        <f t="shared" ref="P43:P48" si="20">SUM(P37,P31,P25,P19)</f>
        <v>0</v>
      </c>
    </row>
    <row r="44" spans="2:16" x14ac:dyDescent="0.2">
      <c r="B44" t="s">
        <v>77</v>
      </c>
      <c r="C44" t="str">
        <f>C38</f>
        <v>HR Time</v>
      </c>
      <c r="D44" s="24">
        <f t="shared" si="19"/>
        <v>5085.7730542027421</v>
      </c>
      <c r="E44">
        <f>INDEX($C$2:$F$7,MATCH(C44,$C$2:$C$7,0),4)</f>
        <v>4.6167910616738048</v>
      </c>
      <c r="F44" s="25">
        <f>D44/E44*(10/12)</f>
        <v>917.98484168332516</v>
      </c>
      <c r="G44">
        <v>10</v>
      </c>
      <c r="H44" s="25">
        <f t="shared" si="14"/>
        <v>91.798484168332521</v>
      </c>
      <c r="J44" t="str">
        <f t="shared" si="15"/>
        <v>Total</v>
      </c>
      <c r="K44" t="str">
        <f t="shared" si="16"/>
        <v>HR Time</v>
      </c>
      <c r="L44" s="24">
        <f>SUM(L38,L32,L26,L20)</f>
        <v>285.20339093609232</v>
      </c>
      <c r="N44" t="str">
        <f t="shared" si="17"/>
        <v>Total</v>
      </c>
      <c r="O44" t="str">
        <f t="shared" si="18"/>
        <v>HR Time</v>
      </c>
      <c r="P44" s="25">
        <f t="shared" si="20"/>
        <v>25.852559873841606</v>
      </c>
    </row>
    <row r="45" spans="2:16" x14ac:dyDescent="0.2">
      <c r="B45" t="s">
        <v>77</v>
      </c>
      <c r="C45" t="str">
        <f>C39</f>
        <v>One Time Cost</v>
      </c>
      <c r="D45" s="24">
        <f t="shared" si="19"/>
        <v>1914.9877819548869</v>
      </c>
      <c r="E45">
        <f>INDEX($C$2:$F$7,MATCH(C45,$C$2:$C$7,0),4)</f>
        <v>4.6167910616738048</v>
      </c>
      <c r="F45" s="25">
        <f>D45/E45*(10/12)</f>
        <v>345.65635098299447</v>
      </c>
      <c r="G45">
        <v>10</v>
      </c>
      <c r="H45" s="25">
        <f t="shared" si="14"/>
        <v>34.565635098299445</v>
      </c>
      <c r="J45" t="str">
        <f t="shared" si="15"/>
        <v>Total</v>
      </c>
      <c r="K45" t="str">
        <f t="shared" si="16"/>
        <v>One Time Cost</v>
      </c>
      <c r="L45" s="24">
        <f>SUM(L39,L33,L27,L21)</f>
        <v>0</v>
      </c>
      <c r="N45" t="str">
        <f t="shared" si="17"/>
        <v>Total</v>
      </c>
      <c r="O45" t="str">
        <f t="shared" si="18"/>
        <v>One Time Cost</v>
      </c>
      <c r="P45" s="25">
        <f t="shared" si="20"/>
        <v>571.46748879147299</v>
      </c>
    </row>
    <row r="46" spans="2:16" x14ac:dyDescent="0.2">
      <c r="B46" t="s">
        <v>77</v>
      </c>
      <c r="C46" t="str">
        <f>C40</f>
        <v>Consumable</v>
      </c>
      <c r="D46" s="24">
        <f t="shared" si="19"/>
        <v>1719.9546485260771</v>
      </c>
      <c r="E46">
        <f>INDEX($C$2:$F$7,MATCH(C46,$C$2:$C$7,0),4)</f>
        <v>0.97087378640776789</v>
      </c>
      <c r="F46" s="25">
        <f>D46/E46*(10/12)</f>
        <v>1476.2944066515481</v>
      </c>
      <c r="G46">
        <v>10</v>
      </c>
      <c r="H46" s="25">
        <f t="shared" si="14"/>
        <v>147.62944066515482</v>
      </c>
      <c r="J46" t="str">
        <f t="shared" si="15"/>
        <v>Total</v>
      </c>
      <c r="K46" t="str">
        <f t="shared" si="16"/>
        <v>Consumable</v>
      </c>
      <c r="L46" s="24">
        <f>SUM(L40,L34,L28,L22)</f>
        <v>147.62944066515482</v>
      </c>
      <c r="N46" t="str">
        <f t="shared" si="17"/>
        <v>Total</v>
      </c>
      <c r="O46" t="str">
        <f t="shared" si="18"/>
        <v>Consumable</v>
      </c>
      <c r="P46" s="25">
        <f t="shared" si="20"/>
        <v>0</v>
      </c>
    </row>
    <row r="47" spans="2:16" x14ac:dyDescent="0.2">
      <c r="B47" t="s">
        <v>77</v>
      </c>
      <c r="C47" t="str">
        <f>C41</f>
        <v>Equipment</v>
      </c>
      <c r="D47" s="24">
        <f t="shared" si="19"/>
        <v>48894.422639933167</v>
      </c>
      <c r="E47">
        <f>INDEX($C$2:$F$7,MATCH(C47,$C$2:$C$7,0),4)</f>
        <v>4.6167910616738048</v>
      </c>
      <c r="F47" s="25">
        <f>D47/E47*(10/12)</f>
        <v>8825.470257510895</v>
      </c>
      <c r="G47">
        <v>10</v>
      </c>
      <c r="H47" s="25">
        <f t="shared" si="14"/>
        <v>882.54702575108945</v>
      </c>
      <c r="J47" t="str">
        <f t="shared" si="15"/>
        <v>Total</v>
      </c>
      <c r="K47" t="str">
        <f t="shared" si="16"/>
        <v>Equipment</v>
      </c>
      <c r="L47" s="24">
        <f>SUM(L41,L35,L29,L23)</f>
        <v>882.54702575108922</v>
      </c>
      <c r="N47" t="str">
        <f t="shared" si="17"/>
        <v>Total</v>
      </c>
      <c r="O47" t="str">
        <f t="shared" si="18"/>
        <v>Equipment</v>
      </c>
      <c r="P47" s="25">
        <f t="shared" si="20"/>
        <v>0</v>
      </c>
    </row>
    <row r="48" spans="2:16" x14ac:dyDescent="0.2">
      <c r="B48" s="1" t="s">
        <v>77</v>
      </c>
      <c r="C48" s="1" t="s">
        <v>77</v>
      </c>
      <c r="D48" s="27">
        <f t="shared" si="19"/>
        <v>60954.197081674691</v>
      </c>
      <c r="F48" s="28">
        <f>SUM(F43:F47)</f>
        <v>14431.431461636726</v>
      </c>
      <c r="G48">
        <v>10</v>
      </c>
      <c r="H48" s="25">
        <f t="shared" si="14"/>
        <v>1443.1431461636726</v>
      </c>
      <c r="J48" t="str">
        <f t="shared" si="15"/>
        <v>Total</v>
      </c>
      <c r="K48" t="str">
        <f t="shared" si="16"/>
        <v>Total</v>
      </c>
      <c r="L48" s="24">
        <f>SUM(L43:L47)</f>
        <v>1546.8295512298873</v>
      </c>
      <c r="N48" t="str">
        <f t="shared" si="17"/>
        <v>Total</v>
      </c>
      <c r="O48" t="str">
        <f t="shared" si="18"/>
        <v>Total</v>
      </c>
      <c r="P48" s="25">
        <f t="shared" si="20"/>
        <v>597.32004866531463</v>
      </c>
    </row>
    <row r="51" spans="2:8" x14ac:dyDescent="0.2">
      <c r="F51" s="25"/>
    </row>
    <row r="52" spans="2:8" x14ac:dyDescent="0.2">
      <c r="B52" t="s">
        <v>124</v>
      </c>
    </row>
    <row r="53" spans="2:8" x14ac:dyDescent="0.2">
      <c r="B53" t="s">
        <v>77</v>
      </c>
      <c r="C53" t="s">
        <v>86</v>
      </c>
      <c r="D53" s="24">
        <f>D43</f>
        <v>3339.0589570578231</v>
      </c>
      <c r="E53">
        <v>1</v>
      </c>
      <c r="F53" s="25">
        <f>D53/E53*(10/12)</f>
        <v>2782.5491308815194</v>
      </c>
      <c r="G53">
        <v>10</v>
      </c>
      <c r="H53" s="24">
        <f t="shared" ref="H53:H58" si="21">F53/G53</f>
        <v>278.25491308815197</v>
      </c>
    </row>
    <row r="54" spans="2:8" x14ac:dyDescent="0.2">
      <c r="B54" t="s">
        <v>77</v>
      </c>
      <c r="C54" t="s">
        <v>85</v>
      </c>
      <c r="D54" s="24">
        <f>D44</f>
        <v>5085.7730542027421</v>
      </c>
      <c r="E54">
        <v>1</v>
      </c>
      <c r="F54" s="25">
        <f>D54/E54*(10/12)</f>
        <v>4238.144211835619</v>
      </c>
      <c r="G54">
        <v>10</v>
      </c>
      <c r="H54" s="24">
        <f t="shared" si="21"/>
        <v>423.81442118356188</v>
      </c>
    </row>
    <row r="55" spans="2:8" x14ac:dyDescent="0.2">
      <c r="B55" t="s">
        <v>77</v>
      </c>
      <c r="C55" t="s">
        <v>87</v>
      </c>
      <c r="D55" s="24">
        <f>D45</f>
        <v>1914.9877819548869</v>
      </c>
      <c r="E55">
        <v>1</v>
      </c>
      <c r="F55" s="25">
        <f>D55/E55*(10/12)</f>
        <v>1595.8231516290725</v>
      </c>
      <c r="G55">
        <v>10</v>
      </c>
      <c r="H55" s="24">
        <f t="shared" si="21"/>
        <v>159.58231516290726</v>
      </c>
    </row>
    <row r="56" spans="2:8" x14ac:dyDescent="0.2">
      <c r="B56" t="s">
        <v>77</v>
      </c>
      <c r="C56" t="s">
        <v>83</v>
      </c>
      <c r="D56" s="24">
        <f>D46</f>
        <v>1719.9546485260771</v>
      </c>
      <c r="E56">
        <v>1</v>
      </c>
      <c r="F56" s="25">
        <f>D56/E56*(10/12)</f>
        <v>1433.2955404383977</v>
      </c>
      <c r="G56">
        <v>10</v>
      </c>
      <c r="H56" s="24">
        <f t="shared" si="21"/>
        <v>143.32955404383978</v>
      </c>
    </row>
    <row r="57" spans="2:8" x14ac:dyDescent="0.2">
      <c r="B57" t="s">
        <v>77</v>
      </c>
      <c r="C57" t="s">
        <v>88</v>
      </c>
      <c r="D57" s="24">
        <f>D47</f>
        <v>48894.422639933167</v>
      </c>
      <c r="E57">
        <f>INDEX($C$2:$F$7,MATCH(C57,$C$2:$C$7,0),4)</f>
        <v>4.6167910616738048</v>
      </c>
      <c r="F57" s="25">
        <f>D57/E57*(10/12)</f>
        <v>8825.470257510895</v>
      </c>
      <c r="G57">
        <v>10</v>
      </c>
      <c r="H57" s="24">
        <f t="shared" si="21"/>
        <v>882.54702575108945</v>
      </c>
    </row>
    <row r="58" spans="2:8" x14ac:dyDescent="0.2">
      <c r="B58" t="s">
        <v>77</v>
      </c>
      <c r="C58" t="s">
        <v>77</v>
      </c>
      <c r="D58" s="24">
        <f>SUM(D53:D57)</f>
        <v>60954.197081674698</v>
      </c>
      <c r="F58" s="24">
        <f>SUM(F53:F57)</f>
        <v>18875.282292295502</v>
      </c>
      <c r="G58">
        <v>10</v>
      </c>
      <c r="H58" s="24">
        <f t="shared" si="21"/>
        <v>1887.5282292295501</v>
      </c>
    </row>
    <row r="59" spans="2:8" x14ac:dyDescent="0.2">
      <c r="F59" t="s">
        <v>146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6"/>
  <sheetViews>
    <sheetView zoomScale="90" zoomScaleNormal="90" zoomScalePageLayoutView="90" workbookViewId="0">
      <selection activeCell="D3" sqref="D3:D8"/>
    </sheetView>
  </sheetViews>
  <sheetFormatPr baseColWidth="10" defaultColWidth="8.83203125" defaultRowHeight="15" x14ac:dyDescent="0.2"/>
  <cols>
    <col min="2" max="2" width="12.1640625" customWidth="1"/>
    <col min="3" max="3" width="12.5" bestFit="1" customWidth="1"/>
    <col min="4" max="4" width="8.83203125" customWidth="1"/>
    <col min="5" max="5" width="11" bestFit="1" customWidth="1"/>
    <col min="8" max="8" width="11.33203125" bestFit="1" customWidth="1"/>
    <col min="9" max="9" width="12.5" bestFit="1" customWidth="1"/>
    <col min="11" max="11" width="10.33203125" bestFit="1" customWidth="1"/>
    <col min="14" max="14" width="11.33203125" bestFit="1" customWidth="1"/>
    <col min="15" max="15" width="11.1640625" bestFit="1" customWidth="1"/>
    <col min="17" max="17" width="9.5" bestFit="1" customWidth="1"/>
    <col min="20" max="20" width="11.33203125" bestFit="1" customWidth="1"/>
    <col min="21" max="21" width="11.1640625" bestFit="1" customWidth="1"/>
    <col min="23" max="23" width="10.33203125" bestFit="1" customWidth="1"/>
    <col min="27" max="27" width="12.33203125" bestFit="1" customWidth="1"/>
    <col min="28" max="28" width="13.6640625" bestFit="1" customWidth="1"/>
    <col min="29" max="29" width="19.5" bestFit="1" customWidth="1"/>
    <col min="30" max="30" width="11.33203125" bestFit="1" customWidth="1"/>
    <col min="33" max="33" width="10.33203125" customWidth="1"/>
    <col min="34" max="36" width="13.5" bestFit="1" customWidth="1"/>
    <col min="37" max="39" width="12.33203125" bestFit="1" customWidth="1"/>
    <col min="40" max="42" width="13.5" bestFit="1" customWidth="1"/>
  </cols>
  <sheetData>
    <row r="1" spans="2:42" x14ac:dyDescent="0.2">
      <c r="B1" t="s">
        <v>2</v>
      </c>
      <c r="H1" s="140" t="s">
        <v>104</v>
      </c>
      <c r="I1" s="140"/>
      <c r="J1" s="140"/>
      <c r="K1" s="140"/>
      <c r="N1" s="141" t="s">
        <v>103</v>
      </c>
      <c r="O1" s="141"/>
      <c r="P1" s="141"/>
      <c r="Q1" s="141"/>
      <c r="R1" s="28"/>
      <c r="T1" s="142" t="s">
        <v>36</v>
      </c>
      <c r="U1" s="142"/>
      <c r="V1" s="142"/>
      <c r="W1" s="142"/>
      <c r="AA1" s="140" t="s">
        <v>77</v>
      </c>
      <c r="AB1" s="140"/>
      <c r="AC1" s="140"/>
      <c r="AD1" s="140"/>
    </row>
    <row r="2" spans="2:42" x14ac:dyDescent="0.2">
      <c r="B2" t="s">
        <v>101</v>
      </c>
      <c r="C2" t="s">
        <v>125</v>
      </c>
      <c r="D2" t="s">
        <v>96</v>
      </c>
      <c r="E2" t="s">
        <v>99</v>
      </c>
      <c r="H2" t="s">
        <v>101</v>
      </c>
      <c r="I2" t="s">
        <v>102</v>
      </c>
      <c r="J2" t="s">
        <v>96</v>
      </c>
      <c r="K2" t="s">
        <v>99</v>
      </c>
      <c r="N2" t="s">
        <v>101</v>
      </c>
      <c r="O2" t="s">
        <v>102</v>
      </c>
      <c r="P2" t="s">
        <v>96</v>
      </c>
      <c r="Q2" t="s">
        <v>99</v>
      </c>
      <c r="T2" t="s">
        <v>101</v>
      </c>
      <c r="U2" t="s">
        <v>102</v>
      </c>
      <c r="V2" t="s">
        <v>96</v>
      </c>
      <c r="W2" t="s">
        <v>99</v>
      </c>
      <c r="Y2" t="s">
        <v>127</v>
      </c>
      <c r="Z2" t="s">
        <v>128</v>
      </c>
      <c r="AA2" t="s">
        <v>101</v>
      </c>
      <c r="AB2" t="s">
        <v>96</v>
      </c>
      <c r="AC2" t="s">
        <v>126</v>
      </c>
      <c r="AD2" t="s">
        <v>99</v>
      </c>
      <c r="AG2" t="s">
        <v>96</v>
      </c>
      <c r="AH2" t="s">
        <v>105</v>
      </c>
      <c r="AI2" t="s">
        <v>100</v>
      </c>
      <c r="AJ2" t="s">
        <v>106</v>
      </c>
      <c r="AK2" t="s">
        <v>107</v>
      </c>
      <c r="AL2" t="s">
        <v>109</v>
      </c>
      <c r="AM2" t="s">
        <v>111</v>
      </c>
      <c r="AN2" t="s">
        <v>108</v>
      </c>
      <c r="AO2" t="s">
        <v>110</v>
      </c>
      <c r="AP2" t="s">
        <v>112</v>
      </c>
    </row>
    <row r="3" spans="2:42" x14ac:dyDescent="0.2">
      <c r="B3" t="s">
        <v>100</v>
      </c>
      <c r="C3" s="24">
        <v>4237.1454902983896</v>
      </c>
      <c r="D3">
        <v>5</v>
      </c>
      <c r="E3" s="24">
        <f>C3/D3</f>
        <v>847.42909805967793</v>
      </c>
      <c r="H3" t="s">
        <v>100</v>
      </c>
      <c r="I3" s="24">
        <v>4712.483193152797</v>
      </c>
      <c r="J3">
        <v>5</v>
      </c>
      <c r="K3" s="24">
        <f t="shared" ref="K3:K8" si="0">I3/J3</f>
        <v>942.49663863055935</v>
      </c>
      <c r="N3" t="s">
        <v>100</v>
      </c>
      <c r="O3" s="30">
        <v>1647.164795144653</v>
      </c>
      <c r="P3">
        <v>5</v>
      </c>
      <c r="Q3" s="25">
        <f>O3/P3</f>
        <v>329.43295902893061</v>
      </c>
      <c r="T3" t="s">
        <v>100</v>
      </c>
      <c r="U3" s="24">
        <v>6992.0058103380343</v>
      </c>
      <c r="V3">
        <v>5</v>
      </c>
      <c r="W3" s="24">
        <f>U3/V3</f>
        <v>1398.4011620676069</v>
      </c>
      <c r="Y3">
        <v>2034.3436493018301</v>
      </c>
      <c r="Z3">
        <v>1398.3286949163</v>
      </c>
      <c r="AA3" t="s">
        <v>100</v>
      </c>
      <c r="AB3">
        <v>5</v>
      </c>
      <c r="AC3" s="25">
        <f>Z3*AB3+Y3</f>
        <v>9025.9871238833312</v>
      </c>
      <c r="AD3" s="24">
        <f>AC3/AB3</f>
        <v>1805.1974247766661</v>
      </c>
      <c r="AG3">
        <v>5</v>
      </c>
      <c r="AH3" s="24">
        <f t="shared" ref="AH3:AH8" si="1">AD9</f>
        <v>1767.7265958713683</v>
      </c>
      <c r="AI3" s="24">
        <f t="shared" ref="AI3:AI8" si="2">AD3</f>
        <v>1805.1974247766661</v>
      </c>
      <c r="AJ3" s="24">
        <f t="shared" ref="AJ3:AJ8" si="3">AD15</f>
        <v>1865.1506337042276</v>
      </c>
      <c r="AK3" s="24">
        <f t="shared" ref="AK3:AK8" si="4">AD21</f>
        <v>2090.8803715928188</v>
      </c>
      <c r="AL3" s="24">
        <f t="shared" ref="AL3:AL8" si="5">AD27</f>
        <v>2124.8526977713632</v>
      </c>
      <c r="AM3" s="24">
        <f t="shared" ref="AM3:AM8" si="6">AD33</f>
        <v>2166.8976977068246</v>
      </c>
      <c r="AN3" s="24">
        <f t="shared" ref="AN3:AN8" si="7">AD39</f>
        <v>1660.0974911085548</v>
      </c>
      <c r="AO3" s="24">
        <f t="shared" ref="AO3:AO8" si="8">AD45</f>
        <v>1697.5502100715626</v>
      </c>
      <c r="AP3" s="24">
        <f t="shared" ref="AP3:AP8" si="9">AD51</f>
        <v>1759.3007553354328</v>
      </c>
    </row>
    <row r="4" spans="2:42" x14ac:dyDescent="0.2">
      <c r="B4" t="s">
        <v>100</v>
      </c>
      <c r="C4" s="24">
        <v>4237.1454902983915</v>
      </c>
      <c r="D4">
        <v>10</v>
      </c>
      <c r="E4" s="24">
        <f t="shared" ref="E4:E38" si="10">C4/D4</f>
        <v>423.71454902983913</v>
      </c>
      <c r="H4" t="s">
        <v>100</v>
      </c>
      <c r="I4" s="24">
        <v>4712.483193152797</v>
      </c>
      <c r="J4">
        <v>10</v>
      </c>
      <c r="K4" s="24">
        <f t="shared" si="0"/>
        <v>471.24831931527967</v>
      </c>
      <c r="N4" t="s">
        <v>100</v>
      </c>
      <c r="O4" s="30">
        <v>1647.164795144653</v>
      </c>
      <c r="P4">
        <v>10</v>
      </c>
      <c r="Q4" s="25">
        <f t="shared" ref="Q4:Q56" si="11">O4/P4</f>
        <v>164.71647951446531</v>
      </c>
      <c r="T4" t="s">
        <v>100</v>
      </c>
      <c r="U4" s="24">
        <v>6992.0058103380343</v>
      </c>
      <c r="V4">
        <v>10</v>
      </c>
      <c r="W4" s="24">
        <f t="shared" ref="W4:W56" si="12">U4/V4</f>
        <v>699.20058103380347</v>
      </c>
      <c r="Y4">
        <v>2034.3436493018257</v>
      </c>
      <c r="Z4">
        <v>1398.3286949163021</v>
      </c>
      <c r="AA4" t="s">
        <v>100</v>
      </c>
      <c r="AB4">
        <v>10</v>
      </c>
      <c r="AC4" s="25">
        <f t="shared" ref="AC4:AC56" si="13">Z4*AB4+Y4</f>
        <v>16017.630598464846</v>
      </c>
      <c r="AD4" s="24">
        <f t="shared" ref="AD4:AD56" si="14">AC4/AB4</f>
        <v>1601.7630598464846</v>
      </c>
      <c r="AG4">
        <v>10</v>
      </c>
      <c r="AH4" s="24">
        <f t="shared" si="1"/>
        <v>1564.2922309411858</v>
      </c>
      <c r="AI4" s="24">
        <f t="shared" si="2"/>
        <v>1601.7630598464846</v>
      </c>
      <c r="AJ4" s="24">
        <f t="shared" si="3"/>
        <v>1661.7162687740451</v>
      </c>
      <c r="AK4" s="24">
        <f t="shared" si="4"/>
        <v>1887.4460066626366</v>
      </c>
      <c r="AL4" s="24">
        <f t="shared" si="5"/>
        <v>1921.4183328411807</v>
      </c>
      <c r="AM4" s="24">
        <f t="shared" si="6"/>
        <v>1963.4633327766423</v>
      </c>
      <c r="AN4" s="24">
        <f t="shared" si="7"/>
        <v>1456.6631261783721</v>
      </c>
      <c r="AO4" s="24">
        <f t="shared" si="8"/>
        <v>1494.1158451413799</v>
      </c>
      <c r="AP4" s="24">
        <f t="shared" si="9"/>
        <v>1555.8663904052501</v>
      </c>
    </row>
    <row r="5" spans="2:42" x14ac:dyDescent="0.2">
      <c r="B5" t="s">
        <v>100</v>
      </c>
      <c r="C5" s="24">
        <v>4237.1454902983915</v>
      </c>
      <c r="D5">
        <v>12</v>
      </c>
      <c r="E5" s="24">
        <f t="shared" si="10"/>
        <v>353.09545752486594</v>
      </c>
      <c r="H5" t="s">
        <v>100</v>
      </c>
      <c r="I5" s="24">
        <v>4712.483193152797</v>
      </c>
      <c r="J5">
        <v>12</v>
      </c>
      <c r="K5" s="24">
        <f t="shared" si="0"/>
        <v>392.70693276273306</v>
      </c>
      <c r="N5" t="s">
        <v>100</v>
      </c>
      <c r="O5" s="30">
        <v>1647.164795144653</v>
      </c>
      <c r="P5">
        <v>12</v>
      </c>
      <c r="Q5" s="25">
        <f t="shared" si="11"/>
        <v>137.26373292872108</v>
      </c>
      <c r="T5" t="s">
        <v>100</v>
      </c>
      <c r="U5" s="24">
        <v>6992.0058103380343</v>
      </c>
      <c r="V5">
        <v>12</v>
      </c>
      <c r="W5" s="24">
        <f t="shared" si="12"/>
        <v>582.66715086150282</v>
      </c>
      <c r="Y5">
        <v>2034.3436493018257</v>
      </c>
      <c r="Z5">
        <v>1398.3286949163021</v>
      </c>
      <c r="AA5" t="s">
        <v>100</v>
      </c>
      <c r="AB5">
        <v>12</v>
      </c>
      <c r="AC5" s="25">
        <f t="shared" si="13"/>
        <v>18814.287988297452</v>
      </c>
      <c r="AD5" s="24">
        <f t="shared" si="14"/>
        <v>1567.8573323581211</v>
      </c>
      <c r="AG5">
        <v>12</v>
      </c>
      <c r="AH5" s="24">
        <f t="shared" si="1"/>
        <v>1530.3865034528224</v>
      </c>
      <c r="AI5" s="24">
        <f t="shared" si="2"/>
        <v>1567.8573323581211</v>
      </c>
      <c r="AJ5" s="24">
        <f t="shared" si="3"/>
        <v>1627.8105412856812</v>
      </c>
      <c r="AK5" s="24">
        <f t="shared" si="4"/>
        <v>1853.5402791742727</v>
      </c>
      <c r="AL5" s="24">
        <f t="shared" si="5"/>
        <v>1887.5126053528168</v>
      </c>
      <c r="AM5" s="24">
        <f t="shared" si="6"/>
        <v>1929.5576052882786</v>
      </c>
      <c r="AN5" s="24">
        <f t="shared" si="7"/>
        <v>1422.7573986900086</v>
      </c>
      <c r="AO5" s="24">
        <f t="shared" si="8"/>
        <v>1460.2101176530161</v>
      </c>
      <c r="AP5" s="24">
        <f t="shared" si="9"/>
        <v>1521.9606629168866</v>
      </c>
    </row>
    <row r="6" spans="2:42" x14ac:dyDescent="0.2">
      <c r="B6" t="s">
        <v>100</v>
      </c>
      <c r="C6" s="24">
        <v>4237.1454902983915</v>
      </c>
      <c r="D6">
        <v>15</v>
      </c>
      <c r="E6" s="24">
        <f t="shared" si="10"/>
        <v>282.47636601989274</v>
      </c>
      <c r="H6" t="s">
        <v>100</v>
      </c>
      <c r="I6" s="24">
        <v>4712.483193152797</v>
      </c>
      <c r="J6">
        <v>15</v>
      </c>
      <c r="K6" s="24">
        <f t="shared" si="0"/>
        <v>314.16554621018645</v>
      </c>
      <c r="N6" t="s">
        <v>100</v>
      </c>
      <c r="O6" s="30">
        <v>1647.164795144653</v>
      </c>
      <c r="P6">
        <v>15</v>
      </c>
      <c r="Q6" s="25">
        <f t="shared" si="11"/>
        <v>109.81098634297686</v>
      </c>
      <c r="T6" t="s">
        <v>100</v>
      </c>
      <c r="U6" s="24">
        <v>6992.0058103380343</v>
      </c>
      <c r="V6">
        <v>15</v>
      </c>
      <c r="W6" s="24">
        <f t="shared" si="12"/>
        <v>466.13372068920228</v>
      </c>
      <c r="Y6">
        <v>2034.3436493018257</v>
      </c>
      <c r="Z6">
        <v>1398.3286949163021</v>
      </c>
      <c r="AA6" t="s">
        <v>100</v>
      </c>
      <c r="AB6">
        <v>15</v>
      </c>
      <c r="AC6" s="25">
        <f t="shared" si="13"/>
        <v>23009.274073046359</v>
      </c>
      <c r="AD6" s="24">
        <f t="shared" si="14"/>
        <v>1533.9516048697574</v>
      </c>
      <c r="AG6">
        <v>15</v>
      </c>
      <c r="AH6" s="24">
        <f t="shared" si="1"/>
        <v>1496.4807759644584</v>
      </c>
      <c r="AI6" s="24">
        <f t="shared" si="2"/>
        <v>1533.9516048697574</v>
      </c>
      <c r="AJ6" s="24">
        <f t="shared" si="3"/>
        <v>1593.9048137973177</v>
      </c>
      <c r="AK6" s="24">
        <f t="shared" si="4"/>
        <v>1819.6345516859087</v>
      </c>
      <c r="AL6" s="24">
        <f t="shared" si="5"/>
        <v>1853.6068778644533</v>
      </c>
      <c r="AM6" s="24">
        <f t="shared" si="6"/>
        <v>1895.6518777999147</v>
      </c>
      <c r="AN6" s="24">
        <f t="shared" si="7"/>
        <v>1388.8516712016449</v>
      </c>
      <c r="AO6" s="24">
        <f t="shared" si="8"/>
        <v>1426.3043901646524</v>
      </c>
      <c r="AP6" s="24">
        <f t="shared" si="9"/>
        <v>1488.0549354285226</v>
      </c>
    </row>
    <row r="7" spans="2:42" x14ac:dyDescent="0.2">
      <c r="B7" t="s">
        <v>100</v>
      </c>
      <c r="C7" s="24">
        <v>4237.1454902983915</v>
      </c>
      <c r="D7">
        <v>20</v>
      </c>
      <c r="E7" s="24">
        <f t="shared" si="10"/>
        <v>211.85727451491957</v>
      </c>
      <c r="H7" t="s">
        <v>100</v>
      </c>
      <c r="I7" s="24">
        <v>4712.483193152797</v>
      </c>
      <c r="J7">
        <v>20</v>
      </c>
      <c r="K7" s="24">
        <f t="shared" si="0"/>
        <v>235.62415965763984</v>
      </c>
      <c r="N7" t="s">
        <v>100</v>
      </c>
      <c r="O7" s="30">
        <v>1647.164795144653</v>
      </c>
      <c r="P7">
        <v>20</v>
      </c>
      <c r="Q7" s="25">
        <f t="shared" si="11"/>
        <v>82.358239757232653</v>
      </c>
      <c r="T7" t="s">
        <v>100</v>
      </c>
      <c r="U7" s="24">
        <v>6992.0058103380343</v>
      </c>
      <c r="V7">
        <v>20</v>
      </c>
      <c r="W7" s="24">
        <f t="shared" si="12"/>
        <v>349.60029051690174</v>
      </c>
      <c r="Y7">
        <v>2034.3436493018257</v>
      </c>
      <c r="Z7">
        <v>1398.3286949163021</v>
      </c>
      <c r="AA7" t="s">
        <v>100</v>
      </c>
      <c r="AB7">
        <v>20</v>
      </c>
      <c r="AC7" s="25">
        <f t="shared" si="13"/>
        <v>30000.917547627869</v>
      </c>
      <c r="AD7" s="24">
        <f t="shared" si="14"/>
        <v>1500.0458773813934</v>
      </c>
      <c r="AG7">
        <v>20</v>
      </c>
      <c r="AH7" s="24">
        <f t="shared" si="1"/>
        <v>1462.5750484760947</v>
      </c>
      <c r="AI7" s="24">
        <f t="shared" si="2"/>
        <v>1500.0458773813934</v>
      </c>
      <c r="AJ7" s="24">
        <f t="shared" si="3"/>
        <v>1559.9990863089538</v>
      </c>
      <c r="AK7" s="24">
        <f t="shared" si="4"/>
        <v>1785.728824197545</v>
      </c>
      <c r="AL7" s="24">
        <f t="shared" si="5"/>
        <v>1819.7011503760891</v>
      </c>
      <c r="AM7" s="24">
        <f t="shared" si="6"/>
        <v>1861.7461503115508</v>
      </c>
      <c r="AN7" s="24">
        <f t="shared" si="7"/>
        <v>1354.9459437132809</v>
      </c>
      <c r="AO7" s="24">
        <f t="shared" si="8"/>
        <v>1392.3986626762887</v>
      </c>
      <c r="AP7" s="24">
        <f t="shared" si="9"/>
        <v>1454.1492079401589</v>
      </c>
    </row>
    <row r="8" spans="2:42" x14ac:dyDescent="0.2">
      <c r="B8" t="s">
        <v>100</v>
      </c>
      <c r="C8" s="24">
        <v>4237.1454902983915</v>
      </c>
      <c r="D8">
        <v>30</v>
      </c>
      <c r="E8" s="24">
        <f t="shared" si="10"/>
        <v>141.23818300994637</v>
      </c>
      <c r="H8" t="s">
        <v>100</v>
      </c>
      <c r="I8" s="24">
        <v>4712.483193152797</v>
      </c>
      <c r="J8">
        <v>30</v>
      </c>
      <c r="K8" s="24">
        <f t="shared" si="0"/>
        <v>157.08277310509322</v>
      </c>
      <c r="N8" t="s">
        <v>100</v>
      </c>
      <c r="O8" s="30">
        <v>1647.164795144653</v>
      </c>
      <c r="P8">
        <v>30</v>
      </c>
      <c r="Q8" s="25">
        <f t="shared" si="11"/>
        <v>54.90549317148843</v>
      </c>
      <c r="T8" t="s">
        <v>100</v>
      </c>
      <c r="U8" s="24">
        <v>6992.0058103380343</v>
      </c>
      <c r="V8">
        <v>30</v>
      </c>
      <c r="W8" s="24">
        <f t="shared" si="12"/>
        <v>233.06686034460114</v>
      </c>
      <c r="Y8">
        <v>2034.3436493018257</v>
      </c>
      <c r="Z8">
        <v>1398.3286949163021</v>
      </c>
      <c r="AA8" t="s">
        <v>100</v>
      </c>
      <c r="AB8">
        <v>30</v>
      </c>
      <c r="AC8" s="25">
        <f t="shared" si="13"/>
        <v>43984.204496790888</v>
      </c>
      <c r="AD8" s="24">
        <f t="shared" si="14"/>
        <v>1466.1401498930295</v>
      </c>
      <c r="AG8">
        <v>30</v>
      </c>
      <c r="AH8" s="24">
        <f t="shared" si="1"/>
        <v>1428.6693209877308</v>
      </c>
      <c r="AI8" s="24">
        <f t="shared" si="2"/>
        <v>1466.1401498930295</v>
      </c>
      <c r="AJ8" s="24">
        <f t="shared" si="3"/>
        <v>1526.0933588205901</v>
      </c>
      <c r="AK8" s="24">
        <f t="shared" si="4"/>
        <v>1751.8230967091811</v>
      </c>
      <c r="AL8" s="24">
        <f t="shared" si="5"/>
        <v>1785.7954228877254</v>
      </c>
      <c r="AM8" s="24">
        <f t="shared" si="6"/>
        <v>1827.8404228231871</v>
      </c>
      <c r="AN8" s="24">
        <f t="shared" si="7"/>
        <v>1321.040216224917</v>
      </c>
      <c r="AO8" s="24">
        <f t="shared" si="8"/>
        <v>1358.4929351879248</v>
      </c>
      <c r="AP8" s="24">
        <f t="shared" si="9"/>
        <v>1420.243480451795</v>
      </c>
    </row>
    <row r="9" spans="2:42" x14ac:dyDescent="0.2">
      <c r="B9" t="s">
        <v>105</v>
      </c>
      <c r="C9">
        <v>4237.1454902983915</v>
      </c>
      <c r="D9">
        <v>5</v>
      </c>
      <c r="E9" s="24">
        <f t="shared" si="10"/>
        <v>847.42909805967827</v>
      </c>
      <c r="H9" t="s">
        <v>105</v>
      </c>
      <c r="I9">
        <v>4334.9538476054131</v>
      </c>
      <c r="J9">
        <v>5</v>
      </c>
      <c r="K9" s="24">
        <f t="shared" ref="K9:K56" si="15">I9/J9</f>
        <v>866.9907695210826</v>
      </c>
      <c r="N9" t="s">
        <v>105</v>
      </c>
      <c r="O9">
        <v>1575.0441938284525</v>
      </c>
      <c r="P9">
        <v>5</v>
      </c>
      <c r="Q9" s="25">
        <f t="shared" si="11"/>
        <v>315.00883876569048</v>
      </c>
      <c r="T9" t="s">
        <v>105</v>
      </c>
      <c r="U9">
        <v>6872.1124950502062</v>
      </c>
      <c r="V9">
        <v>5</v>
      </c>
      <c r="W9" s="24">
        <f t="shared" si="12"/>
        <v>1374.4224990100413</v>
      </c>
      <c r="Y9">
        <v>2034.3436493018257</v>
      </c>
      <c r="Z9">
        <v>1360.8578660110034</v>
      </c>
      <c r="AA9" t="s">
        <v>105</v>
      </c>
      <c r="AB9">
        <v>5</v>
      </c>
      <c r="AC9" s="25">
        <f t="shared" si="13"/>
        <v>8838.632979356842</v>
      </c>
      <c r="AD9" s="24">
        <f t="shared" si="14"/>
        <v>1767.7265958713683</v>
      </c>
    </row>
    <row r="10" spans="2:42" x14ac:dyDescent="0.2">
      <c r="B10" t="s">
        <v>105</v>
      </c>
      <c r="C10">
        <v>4237.1454902983915</v>
      </c>
      <c r="D10">
        <v>10</v>
      </c>
      <c r="E10" s="24">
        <f t="shared" si="10"/>
        <v>423.71454902983913</v>
      </c>
      <c r="H10" t="s">
        <v>105</v>
      </c>
      <c r="I10">
        <v>4334.9538476054131</v>
      </c>
      <c r="J10">
        <v>10</v>
      </c>
      <c r="K10" s="24">
        <f t="shared" si="15"/>
        <v>433.4953847605413</v>
      </c>
      <c r="N10" t="s">
        <v>105</v>
      </c>
      <c r="O10">
        <v>1575.0441938284525</v>
      </c>
      <c r="P10">
        <v>10</v>
      </c>
      <c r="Q10" s="25">
        <f t="shared" si="11"/>
        <v>157.50441938284524</v>
      </c>
      <c r="T10" t="s">
        <v>105</v>
      </c>
      <c r="U10">
        <v>6872.1124950502062</v>
      </c>
      <c r="V10">
        <v>10</v>
      </c>
      <c r="W10" s="24">
        <f t="shared" si="12"/>
        <v>687.21124950502065</v>
      </c>
      <c r="Y10">
        <v>2034.3436493018257</v>
      </c>
      <c r="Z10">
        <v>1360.8578660110034</v>
      </c>
      <c r="AA10" t="s">
        <v>105</v>
      </c>
      <c r="AB10">
        <v>10</v>
      </c>
      <c r="AC10" s="25">
        <f t="shared" si="13"/>
        <v>15642.922309411859</v>
      </c>
      <c r="AD10" s="24">
        <f t="shared" si="14"/>
        <v>1564.2922309411858</v>
      </c>
    </row>
    <row r="11" spans="2:42" x14ac:dyDescent="0.2">
      <c r="B11" t="s">
        <v>105</v>
      </c>
      <c r="C11">
        <v>4237.1454902983915</v>
      </c>
      <c r="D11">
        <v>12</v>
      </c>
      <c r="E11" s="24">
        <f t="shared" si="10"/>
        <v>353.09545752486594</v>
      </c>
      <c r="H11" t="s">
        <v>105</v>
      </c>
      <c r="I11">
        <v>4334.9538476054131</v>
      </c>
      <c r="J11">
        <v>12</v>
      </c>
      <c r="K11" s="24">
        <f t="shared" si="15"/>
        <v>361.24615396711778</v>
      </c>
      <c r="N11" t="s">
        <v>105</v>
      </c>
      <c r="O11">
        <v>1575.0441938284525</v>
      </c>
      <c r="P11">
        <v>12</v>
      </c>
      <c r="Q11" s="25">
        <f t="shared" si="11"/>
        <v>131.25368281903772</v>
      </c>
      <c r="T11" t="s">
        <v>105</v>
      </c>
      <c r="U11">
        <v>6872.1124950502062</v>
      </c>
      <c r="V11">
        <v>12</v>
      </c>
      <c r="W11" s="24">
        <f t="shared" si="12"/>
        <v>572.67604125418381</v>
      </c>
      <c r="Y11">
        <v>2034.3436493018257</v>
      </c>
      <c r="Z11">
        <v>1360.8578660110034</v>
      </c>
      <c r="AA11" t="s">
        <v>105</v>
      </c>
      <c r="AB11">
        <v>12</v>
      </c>
      <c r="AC11" s="25">
        <f t="shared" si="13"/>
        <v>18364.638041433867</v>
      </c>
      <c r="AD11" s="24">
        <f t="shared" si="14"/>
        <v>1530.3865034528224</v>
      </c>
    </row>
    <row r="12" spans="2:42" x14ac:dyDescent="0.2">
      <c r="B12" t="s">
        <v>105</v>
      </c>
      <c r="C12">
        <v>4237.1454902983915</v>
      </c>
      <c r="D12">
        <v>15</v>
      </c>
      <c r="E12" s="24">
        <f t="shared" si="10"/>
        <v>282.47636601989274</v>
      </c>
      <c r="H12" t="s">
        <v>105</v>
      </c>
      <c r="I12">
        <v>4334.9538476054131</v>
      </c>
      <c r="J12">
        <v>15</v>
      </c>
      <c r="K12" s="24">
        <f t="shared" si="15"/>
        <v>288.9969231736942</v>
      </c>
      <c r="N12" t="s">
        <v>105</v>
      </c>
      <c r="O12">
        <v>1575.0441938284525</v>
      </c>
      <c r="P12">
        <v>15</v>
      </c>
      <c r="Q12" s="25">
        <f t="shared" si="11"/>
        <v>105.00294625523017</v>
      </c>
      <c r="T12" t="s">
        <v>105</v>
      </c>
      <c r="U12">
        <v>6872.1124950502062</v>
      </c>
      <c r="V12">
        <v>15</v>
      </c>
      <c r="W12" s="24">
        <f t="shared" si="12"/>
        <v>458.1408330033471</v>
      </c>
      <c r="Y12">
        <v>2034.3436493018257</v>
      </c>
      <c r="Z12">
        <v>1360.8578660110034</v>
      </c>
      <c r="AA12" t="s">
        <v>105</v>
      </c>
      <c r="AB12">
        <v>15</v>
      </c>
      <c r="AC12" s="25">
        <f t="shared" si="13"/>
        <v>22447.211639466877</v>
      </c>
      <c r="AD12" s="24">
        <f t="shared" si="14"/>
        <v>1496.4807759644584</v>
      </c>
    </row>
    <row r="13" spans="2:42" x14ac:dyDescent="0.2">
      <c r="B13" t="s">
        <v>105</v>
      </c>
      <c r="C13">
        <v>4237.1454902983915</v>
      </c>
      <c r="D13">
        <v>20</v>
      </c>
      <c r="E13" s="24">
        <f t="shared" si="10"/>
        <v>211.85727451491957</v>
      </c>
      <c r="H13" t="s">
        <v>105</v>
      </c>
      <c r="I13">
        <v>4334.9538476054131</v>
      </c>
      <c r="J13">
        <v>20</v>
      </c>
      <c r="K13" s="24">
        <f t="shared" si="15"/>
        <v>216.74769238027065</v>
      </c>
      <c r="N13" t="s">
        <v>105</v>
      </c>
      <c r="O13">
        <v>1575.0441938284525</v>
      </c>
      <c r="P13">
        <v>20</v>
      </c>
      <c r="Q13" s="25">
        <f t="shared" si="11"/>
        <v>78.752209691422621</v>
      </c>
      <c r="T13" t="s">
        <v>105</v>
      </c>
      <c r="U13">
        <v>6872.1124950502062</v>
      </c>
      <c r="V13">
        <v>20</v>
      </c>
      <c r="W13" s="24">
        <f t="shared" si="12"/>
        <v>343.60562475251032</v>
      </c>
      <c r="Y13">
        <v>2034.3436493018257</v>
      </c>
      <c r="Z13">
        <v>1360.8578660110034</v>
      </c>
      <c r="AA13" t="s">
        <v>105</v>
      </c>
      <c r="AB13">
        <v>20</v>
      </c>
      <c r="AC13" s="25">
        <f t="shared" si="13"/>
        <v>29251.500969521894</v>
      </c>
      <c r="AD13" s="24">
        <f t="shared" si="14"/>
        <v>1462.5750484760947</v>
      </c>
    </row>
    <row r="14" spans="2:42" x14ac:dyDescent="0.2">
      <c r="B14" t="s">
        <v>105</v>
      </c>
      <c r="C14">
        <v>4237.1454902983915</v>
      </c>
      <c r="D14">
        <v>30</v>
      </c>
      <c r="E14" s="24">
        <f t="shared" si="10"/>
        <v>141.23818300994637</v>
      </c>
      <c r="H14" t="s">
        <v>105</v>
      </c>
      <c r="I14">
        <v>4334.9538476054131</v>
      </c>
      <c r="J14">
        <v>30</v>
      </c>
      <c r="K14" s="24">
        <f t="shared" si="15"/>
        <v>144.4984615868471</v>
      </c>
      <c r="N14" t="s">
        <v>105</v>
      </c>
      <c r="O14">
        <v>1575.0441938284525</v>
      </c>
      <c r="P14">
        <v>30</v>
      </c>
      <c r="Q14" s="25">
        <f t="shared" si="11"/>
        <v>52.501473127615085</v>
      </c>
      <c r="T14" t="s">
        <v>105</v>
      </c>
      <c r="U14">
        <v>6872.1124950502062</v>
      </c>
      <c r="V14">
        <v>30</v>
      </c>
      <c r="W14" s="24">
        <f t="shared" si="12"/>
        <v>229.07041650167355</v>
      </c>
      <c r="Y14">
        <v>2034.3436493018257</v>
      </c>
      <c r="Z14">
        <v>1360.8578660110034</v>
      </c>
      <c r="AA14" t="s">
        <v>105</v>
      </c>
      <c r="AB14">
        <v>30</v>
      </c>
      <c r="AC14" s="25">
        <f t="shared" si="13"/>
        <v>42860.079629631924</v>
      </c>
      <c r="AD14" s="24">
        <f t="shared" si="14"/>
        <v>1428.6693209877308</v>
      </c>
    </row>
    <row r="15" spans="2:42" x14ac:dyDescent="0.2">
      <c r="B15" t="s">
        <v>106</v>
      </c>
      <c r="C15" s="30">
        <v>4237.1454902983915</v>
      </c>
      <c r="D15">
        <v>5</v>
      </c>
      <c r="E15" s="24">
        <f t="shared" si="10"/>
        <v>847.42909805967827</v>
      </c>
      <c r="H15" t="s">
        <v>106</v>
      </c>
      <c r="I15" s="30">
        <v>5316.5289639867269</v>
      </c>
      <c r="J15">
        <v>5</v>
      </c>
      <c r="K15" s="24">
        <f t="shared" si="15"/>
        <v>1063.3057927973455</v>
      </c>
      <c r="N15" t="s">
        <v>106</v>
      </c>
      <c r="O15">
        <v>1762.5575314414477</v>
      </c>
      <c r="P15">
        <v>5</v>
      </c>
      <c r="Q15" s="25">
        <f t="shared" si="11"/>
        <v>352.51150628828952</v>
      </c>
      <c r="T15" t="s">
        <v>106</v>
      </c>
      <c r="U15">
        <v>7183.8347394133816</v>
      </c>
      <c r="V15">
        <v>5</v>
      </c>
      <c r="W15" s="24">
        <f t="shared" si="12"/>
        <v>1436.7669478826763</v>
      </c>
      <c r="Y15">
        <v>2034.3436493018257</v>
      </c>
      <c r="Z15">
        <v>1458.2819038438624</v>
      </c>
      <c r="AA15" t="s">
        <v>106</v>
      </c>
      <c r="AB15">
        <v>5</v>
      </c>
      <c r="AC15" s="25">
        <f t="shared" si="13"/>
        <v>9325.7531685211379</v>
      </c>
      <c r="AD15" s="24">
        <f t="shared" si="14"/>
        <v>1865.1506337042276</v>
      </c>
    </row>
    <row r="16" spans="2:42" x14ac:dyDescent="0.2">
      <c r="B16" t="s">
        <v>106</v>
      </c>
      <c r="C16" s="30">
        <v>4237.1454902983915</v>
      </c>
      <c r="D16">
        <v>10</v>
      </c>
      <c r="E16" s="24">
        <f t="shared" si="10"/>
        <v>423.71454902983913</v>
      </c>
      <c r="H16" t="s">
        <v>106</v>
      </c>
      <c r="I16" s="30">
        <v>5316.5289639867269</v>
      </c>
      <c r="J16">
        <v>10</v>
      </c>
      <c r="K16" s="24">
        <f t="shared" si="15"/>
        <v>531.65289639867274</v>
      </c>
      <c r="N16" t="s">
        <v>106</v>
      </c>
      <c r="O16">
        <v>1762.5575314414477</v>
      </c>
      <c r="P16">
        <v>10</v>
      </c>
      <c r="Q16" s="25">
        <f t="shared" si="11"/>
        <v>176.25575314414476</v>
      </c>
      <c r="T16" t="s">
        <v>106</v>
      </c>
      <c r="U16">
        <v>7183.8347394133816</v>
      </c>
      <c r="V16">
        <v>10</v>
      </c>
      <c r="W16" s="24">
        <f t="shared" si="12"/>
        <v>718.38347394133814</v>
      </c>
      <c r="Y16">
        <v>2034.3436493018257</v>
      </c>
      <c r="Z16">
        <v>1458.2819038438624</v>
      </c>
      <c r="AA16" t="s">
        <v>106</v>
      </c>
      <c r="AB16">
        <v>10</v>
      </c>
      <c r="AC16" s="25">
        <f t="shared" si="13"/>
        <v>16617.162687740452</v>
      </c>
      <c r="AD16" s="24">
        <f t="shared" si="14"/>
        <v>1661.7162687740451</v>
      </c>
    </row>
    <row r="17" spans="2:42" x14ac:dyDescent="0.2">
      <c r="B17" t="s">
        <v>106</v>
      </c>
      <c r="C17" s="30">
        <v>4237.1454902983915</v>
      </c>
      <c r="D17">
        <v>12</v>
      </c>
      <c r="E17" s="24">
        <f t="shared" si="10"/>
        <v>353.09545752486594</v>
      </c>
      <c r="H17" t="s">
        <v>106</v>
      </c>
      <c r="I17" s="30">
        <v>5316.5289639867269</v>
      </c>
      <c r="J17">
        <v>12</v>
      </c>
      <c r="K17" s="24">
        <f t="shared" si="15"/>
        <v>443.04408033222722</v>
      </c>
      <c r="N17" t="s">
        <v>106</v>
      </c>
      <c r="O17">
        <v>1762.5575314414477</v>
      </c>
      <c r="P17">
        <v>12</v>
      </c>
      <c r="Q17" s="25">
        <f t="shared" si="11"/>
        <v>146.8797942867873</v>
      </c>
      <c r="T17" t="s">
        <v>106</v>
      </c>
      <c r="U17">
        <v>7183.8347394133816</v>
      </c>
      <c r="V17">
        <v>12</v>
      </c>
      <c r="W17" s="24">
        <f t="shared" si="12"/>
        <v>598.65289495111517</v>
      </c>
      <c r="Y17">
        <v>2034.3436493018257</v>
      </c>
      <c r="Z17">
        <v>1458.2819038438624</v>
      </c>
      <c r="AA17" t="s">
        <v>106</v>
      </c>
      <c r="AB17">
        <v>12</v>
      </c>
      <c r="AC17" s="25">
        <f t="shared" si="13"/>
        <v>19533.726495428175</v>
      </c>
      <c r="AD17" s="24">
        <f t="shared" si="14"/>
        <v>1627.8105412856812</v>
      </c>
    </row>
    <row r="18" spans="2:42" x14ac:dyDescent="0.2">
      <c r="B18" t="s">
        <v>106</v>
      </c>
      <c r="C18" s="30">
        <v>4237.1454902983915</v>
      </c>
      <c r="D18">
        <v>15</v>
      </c>
      <c r="E18" s="24">
        <f t="shared" si="10"/>
        <v>282.47636601989274</v>
      </c>
      <c r="H18" t="s">
        <v>106</v>
      </c>
      <c r="I18" s="30">
        <v>5316.5289639867269</v>
      </c>
      <c r="J18">
        <v>15</v>
      </c>
      <c r="K18" s="24">
        <f t="shared" si="15"/>
        <v>354.43526426578177</v>
      </c>
      <c r="N18" t="s">
        <v>106</v>
      </c>
      <c r="O18">
        <v>1762.5575314414477</v>
      </c>
      <c r="P18">
        <v>15</v>
      </c>
      <c r="Q18" s="25">
        <f t="shared" si="11"/>
        <v>117.50383542942986</v>
      </c>
      <c r="T18" t="s">
        <v>106</v>
      </c>
      <c r="U18">
        <v>7183.8347394133816</v>
      </c>
      <c r="V18">
        <v>15</v>
      </c>
      <c r="W18" s="24">
        <f t="shared" si="12"/>
        <v>478.92231596089209</v>
      </c>
      <c r="Y18">
        <v>2034.3436493018257</v>
      </c>
      <c r="Z18">
        <v>1458.2819038438624</v>
      </c>
      <c r="AA18" t="s">
        <v>106</v>
      </c>
      <c r="AB18">
        <v>15</v>
      </c>
      <c r="AC18" s="25">
        <f t="shared" si="13"/>
        <v>23908.572206959765</v>
      </c>
      <c r="AD18" s="24">
        <f t="shared" si="14"/>
        <v>1593.9048137973177</v>
      </c>
      <c r="AG18" t="s">
        <v>129</v>
      </c>
    </row>
    <row r="19" spans="2:42" x14ac:dyDescent="0.2">
      <c r="B19" t="s">
        <v>106</v>
      </c>
      <c r="C19" s="30">
        <v>4237.1454902983915</v>
      </c>
      <c r="D19">
        <v>20</v>
      </c>
      <c r="E19" s="24">
        <f t="shared" si="10"/>
        <v>211.85727451491957</v>
      </c>
      <c r="H19" t="s">
        <v>106</v>
      </c>
      <c r="I19" s="30">
        <v>5316.5289639867269</v>
      </c>
      <c r="J19">
        <v>20</v>
      </c>
      <c r="K19" s="24">
        <f t="shared" si="15"/>
        <v>265.82644819933637</v>
      </c>
      <c r="N19" t="s">
        <v>106</v>
      </c>
      <c r="O19">
        <v>1762.5575314414477</v>
      </c>
      <c r="P19">
        <v>20</v>
      </c>
      <c r="Q19" s="25">
        <f t="shared" si="11"/>
        <v>88.127876572072381</v>
      </c>
      <c r="T19" t="s">
        <v>106</v>
      </c>
      <c r="U19">
        <v>7183.8347394133816</v>
      </c>
      <c r="V19">
        <v>20</v>
      </c>
      <c r="W19" s="24">
        <f t="shared" si="12"/>
        <v>359.19173697066907</v>
      </c>
      <c r="Y19">
        <v>2034.3436493018257</v>
      </c>
      <c r="Z19">
        <v>1458.2819038438624</v>
      </c>
      <c r="AA19" t="s">
        <v>106</v>
      </c>
      <c r="AB19">
        <v>20</v>
      </c>
      <c r="AC19" s="25">
        <f t="shared" si="13"/>
        <v>31199.981726179078</v>
      </c>
      <c r="AD19" s="24">
        <f t="shared" si="14"/>
        <v>1559.9990863089538</v>
      </c>
      <c r="AG19" t="s">
        <v>96</v>
      </c>
      <c r="AH19" t="str">
        <f t="shared" ref="AH19:AP19" si="16">AH2</f>
        <v>ELY 10 DR 1%</v>
      </c>
      <c r="AI19" t="str">
        <f t="shared" si="16"/>
        <v>ELY 10 DR 3%</v>
      </c>
      <c r="AJ19" t="str">
        <f t="shared" si="16"/>
        <v>ELY 10 DR 6%</v>
      </c>
      <c r="AK19" t="str">
        <f t="shared" si="16"/>
        <v>ELY 5 DR 1%</v>
      </c>
      <c r="AL19" t="str">
        <f t="shared" si="16"/>
        <v>ELY 5 DR 3%</v>
      </c>
      <c r="AM19" t="str">
        <f t="shared" si="16"/>
        <v>ELY 5 DR 6%</v>
      </c>
      <c r="AN19" t="str">
        <f t="shared" si="16"/>
        <v>ELY 15 DR 1%</v>
      </c>
      <c r="AO19" t="str">
        <f t="shared" si="16"/>
        <v>ELY 15 DR 3%</v>
      </c>
      <c r="AP19" t="str">
        <f t="shared" si="16"/>
        <v>ELY 15 DR 6%</v>
      </c>
    </row>
    <row r="20" spans="2:42" x14ac:dyDescent="0.2">
      <c r="B20" t="s">
        <v>106</v>
      </c>
      <c r="C20" s="30">
        <v>4237.1454902983915</v>
      </c>
      <c r="D20">
        <v>30</v>
      </c>
      <c r="E20" s="24">
        <f t="shared" si="10"/>
        <v>141.23818300994637</v>
      </c>
      <c r="H20" t="s">
        <v>106</v>
      </c>
      <c r="I20" s="30">
        <v>5316.5289639867269</v>
      </c>
      <c r="J20">
        <v>30</v>
      </c>
      <c r="K20" s="24">
        <f t="shared" si="15"/>
        <v>177.21763213289088</v>
      </c>
      <c r="N20" t="s">
        <v>106</v>
      </c>
      <c r="O20">
        <v>1762.5575314414477</v>
      </c>
      <c r="P20">
        <v>30</v>
      </c>
      <c r="Q20" s="25">
        <f t="shared" si="11"/>
        <v>58.751917714714928</v>
      </c>
      <c r="T20" t="s">
        <v>106</v>
      </c>
      <c r="U20">
        <v>7183.8347394133816</v>
      </c>
      <c r="V20">
        <v>30</v>
      </c>
      <c r="W20" s="24">
        <f t="shared" si="12"/>
        <v>239.46115798044605</v>
      </c>
      <c r="Y20">
        <v>2034.3436493018257</v>
      </c>
      <c r="Z20">
        <v>1458.2819038438624</v>
      </c>
      <c r="AA20" t="s">
        <v>106</v>
      </c>
      <c r="AB20">
        <v>30</v>
      </c>
      <c r="AC20" s="25">
        <f t="shared" si="13"/>
        <v>45782.800764617699</v>
      </c>
      <c r="AD20" s="24">
        <f t="shared" si="14"/>
        <v>1526.0933588205901</v>
      </c>
      <c r="AG20" s="31">
        <f>'Service Volume'!C16</f>
        <v>25.612190388371403</v>
      </c>
      <c r="AH20" s="25">
        <f t="shared" ref="AH20:AH25" si="17">$AH$4/AG20</f>
        <v>61.076081632261136</v>
      </c>
      <c r="AI20" s="25">
        <f>$AI$4/AG20</f>
        <v>62.539089221112711</v>
      </c>
      <c r="AJ20" s="25">
        <f>$AJ$4/AG20</f>
        <v>64.879896782608157</v>
      </c>
      <c r="AK20" s="25">
        <f>$AK$4/AG20</f>
        <v>73.693267855746768</v>
      </c>
      <c r="AL20" s="25">
        <f>$AL$4/AG20</f>
        <v>75.019680226707763</v>
      </c>
      <c r="AM20" s="25">
        <f>$AM$4/AG20</f>
        <v>76.661281327508235</v>
      </c>
      <c r="AN20" s="25">
        <f>$AN$4/AG20</f>
        <v>56.873820789639872</v>
      </c>
      <c r="AO20" s="25">
        <f>$AO$4/AG20</f>
        <v>58.336121295574436</v>
      </c>
      <c r="AP20" s="25">
        <f>$AP$4/AG20</f>
        <v>60.74710389126475</v>
      </c>
    </row>
    <row r="21" spans="2:42" x14ac:dyDescent="0.2">
      <c r="B21" t="s">
        <v>107</v>
      </c>
      <c r="C21" s="30">
        <v>4237.1454902983915</v>
      </c>
      <c r="D21">
        <v>5</v>
      </c>
      <c r="E21" s="24">
        <f t="shared" si="10"/>
        <v>847.42909805967827</v>
      </c>
      <c r="H21" t="s">
        <v>107</v>
      </c>
      <c r="I21">
        <v>7590.820798604017</v>
      </c>
      <c r="J21">
        <v>5</v>
      </c>
      <c r="K21" s="24">
        <f t="shared" si="15"/>
        <v>1518.1641597208034</v>
      </c>
      <c r="N21" t="s">
        <v>107</v>
      </c>
      <c r="O21">
        <v>2197.0225514872527</v>
      </c>
      <c r="P21">
        <v>5</v>
      </c>
      <c r="Q21" s="24">
        <f t="shared" si="11"/>
        <v>439.40451029745054</v>
      </c>
      <c r="T21" t="s">
        <v>107</v>
      </c>
      <c r="U21">
        <v>7906.089555364053</v>
      </c>
      <c r="V21">
        <v>5</v>
      </c>
      <c r="W21" s="24">
        <f t="shared" si="12"/>
        <v>1581.2179110728107</v>
      </c>
      <c r="Y21">
        <v>2034.3436493018257</v>
      </c>
      <c r="Z21">
        <v>1684.0116417324537</v>
      </c>
      <c r="AA21" t="s">
        <v>107</v>
      </c>
      <c r="AB21">
        <v>5</v>
      </c>
      <c r="AC21" s="25">
        <f t="shared" si="13"/>
        <v>10454.401857964094</v>
      </c>
      <c r="AD21" s="24">
        <f t="shared" si="14"/>
        <v>2090.8803715928188</v>
      </c>
      <c r="AG21">
        <v>102</v>
      </c>
      <c r="AH21" s="25">
        <f t="shared" si="17"/>
        <v>15.336198342560646</v>
      </c>
      <c r="AI21" s="25">
        <f t="shared" ref="AI21:AI30" si="18">$AI$4/AG21</f>
        <v>15.703559410259652</v>
      </c>
      <c r="AJ21" s="25">
        <f t="shared" ref="AJ21:AJ30" si="19">$AJ$4/AG21</f>
        <v>16.291335968372991</v>
      </c>
      <c r="AK21" s="25">
        <f t="shared" ref="AK21:AK30" si="20">$AK$4/AG21</f>
        <v>18.504372614339573</v>
      </c>
      <c r="AL21" s="25">
        <f t="shared" ref="AL21:AL30" si="21">$AL$4/AG21</f>
        <v>18.83743463569785</v>
      </c>
      <c r="AM21" s="25">
        <f t="shared" ref="AM21:AM30" si="22">$AM$4/AG21</f>
        <v>19.249640517418062</v>
      </c>
      <c r="AN21" s="25">
        <f t="shared" ref="AN21:AN30" si="23">$AN$4/AG21</f>
        <v>14.281011040964431</v>
      </c>
      <c r="AO21" s="25">
        <f t="shared" ref="AO21:AO30" si="24">$AO$4/AG21</f>
        <v>14.648194560209607</v>
      </c>
      <c r="AP21" s="25">
        <f t="shared" ref="AP21:AP30" si="25">$AP$4/AG21</f>
        <v>15.253592062796569</v>
      </c>
    </row>
    <row r="22" spans="2:42" x14ac:dyDescent="0.2">
      <c r="B22" t="s">
        <v>107</v>
      </c>
      <c r="C22" s="30">
        <v>4237.1454902983915</v>
      </c>
      <c r="D22">
        <v>10</v>
      </c>
      <c r="E22" s="24">
        <f t="shared" si="10"/>
        <v>423.71454902983913</v>
      </c>
      <c r="H22" t="s">
        <v>107</v>
      </c>
      <c r="I22">
        <v>7590.820798604017</v>
      </c>
      <c r="J22">
        <v>10</v>
      </c>
      <c r="K22" s="24">
        <f t="shared" si="15"/>
        <v>759.08207986040168</v>
      </c>
      <c r="N22" t="s">
        <v>107</v>
      </c>
      <c r="O22">
        <v>2197.0225514872527</v>
      </c>
      <c r="P22">
        <v>10</v>
      </c>
      <c r="Q22" s="24">
        <f t="shared" si="11"/>
        <v>219.70225514872527</v>
      </c>
      <c r="T22" t="s">
        <v>107</v>
      </c>
      <c r="U22">
        <v>7906.089555364053</v>
      </c>
      <c r="V22">
        <v>10</v>
      </c>
      <c r="W22" s="24">
        <f t="shared" si="12"/>
        <v>790.60895553640535</v>
      </c>
      <c r="Y22">
        <v>2034.3436493018257</v>
      </c>
      <c r="Z22">
        <v>1684.0116417324537</v>
      </c>
      <c r="AA22" t="s">
        <v>107</v>
      </c>
      <c r="AB22">
        <v>10</v>
      </c>
      <c r="AC22" s="25">
        <f t="shared" si="13"/>
        <v>18874.460066626365</v>
      </c>
      <c r="AD22" s="24">
        <f t="shared" si="14"/>
        <v>1887.4460066626366</v>
      </c>
      <c r="AG22">
        <v>163</v>
      </c>
      <c r="AH22" s="25">
        <f t="shared" si="17"/>
        <v>9.5968848523999135</v>
      </c>
      <c r="AI22" s="25">
        <f t="shared" si="18"/>
        <v>9.8267672383219917</v>
      </c>
      <c r="AJ22" s="25">
        <f t="shared" si="19"/>
        <v>10.194578336037086</v>
      </c>
      <c r="AK22" s="25">
        <f t="shared" si="20"/>
        <v>11.579423353758507</v>
      </c>
      <c r="AL22" s="25">
        <f t="shared" si="21"/>
        <v>11.78784253276798</v>
      </c>
      <c r="AM22" s="25">
        <f t="shared" si="22"/>
        <v>12.045787317648113</v>
      </c>
      <c r="AN22" s="25">
        <f t="shared" si="23"/>
        <v>8.9365835961863311</v>
      </c>
      <c r="AO22" s="25">
        <f t="shared" si="24"/>
        <v>9.166354878167974</v>
      </c>
      <c r="AP22" s="25">
        <f t="shared" si="25"/>
        <v>9.5451925791733139</v>
      </c>
    </row>
    <row r="23" spans="2:42" x14ac:dyDescent="0.2">
      <c r="B23" t="s">
        <v>107</v>
      </c>
      <c r="C23" s="30">
        <v>4237.1454902983915</v>
      </c>
      <c r="D23">
        <v>12</v>
      </c>
      <c r="E23" s="24">
        <f t="shared" si="10"/>
        <v>353.09545752486594</v>
      </c>
      <c r="H23" t="s">
        <v>107</v>
      </c>
      <c r="I23">
        <v>7590.820798604017</v>
      </c>
      <c r="J23">
        <v>12</v>
      </c>
      <c r="K23" s="24">
        <f t="shared" si="15"/>
        <v>632.56839988366812</v>
      </c>
      <c r="N23" t="s">
        <v>107</v>
      </c>
      <c r="O23">
        <v>2197.0225514872527</v>
      </c>
      <c r="P23">
        <v>12</v>
      </c>
      <c r="Q23" s="24">
        <f t="shared" si="11"/>
        <v>183.08521262393774</v>
      </c>
      <c r="T23" t="s">
        <v>107</v>
      </c>
      <c r="U23">
        <v>7906.089555364053</v>
      </c>
      <c r="V23">
        <v>12</v>
      </c>
      <c r="W23" s="24">
        <f t="shared" si="12"/>
        <v>658.84079628033771</v>
      </c>
      <c r="Y23">
        <v>2034.3436493018257</v>
      </c>
      <c r="Z23">
        <v>1684.0116417324537</v>
      </c>
      <c r="AA23" t="s">
        <v>107</v>
      </c>
      <c r="AB23">
        <v>12</v>
      </c>
      <c r="AC23" s="25">
        <f t="shared" si="13"/>
        <v>22242.483350091272</v>
      </c>
      <c r="AD23" s="24">
        <f t="shared" si="14"/>
        <v>1853.5402791742727</v>
      </c>
      <c r="AG23">
        <v>169</v>
      </c>
      <c r="AH23" s="25">
        <f t="shared" si="17"/>
        <v>9.2561670469892654</v>
      </c>
      <c r="AI23" s="25">
        <f t="shared" si="18"/>
        <v>9.4778879280857069</v>
      </c>
      <c r="AJ23" s="25">
        <f t="shared" si="19"/>
        <v>9.832640643633404</v>
      </c>
      <c r="AK23" s="25">
        <f t="shared" si="20"/>
        <v>11.168319566051103</v>
      </c>
      <c r="AL23" s="25">
        <f t="shared" si="21"/>
        <v>11.369339247580951</v>
      </c>
      <c r="AM23" s="25">
        <f t="shared" si="22"/>
        <v>11.618126229447588</v>
      </c>
      <c r="AN23" s="25">
        <f t="shared" si="23"/>
        <v>8.6193084389252785</v>
      </c>
      <c r="AO23" s="25">
        <f t="shared" si="24"/>
        <v>8.8409221605998809</v>
      </c>
      <c r="AP23" s="25">
        <f t="shared" si="25"/>
        <v>9.2063100023979292</v>
      </c>
    </row>
    <row r="24" spans="2:42" x14ac:dyDescent="0.2">
      <c r="B24" t="s">
        <v>107</v>
      </c>
      <c r="C24" s="30">
        <v>4237.1454902983915</v>
      </c>
      <c r="D24">
        <v>15</v>
      </c>
      <c r="E24" s="24">
        <f t="shared" si="10"/>
        <v>282.47636601989274</v>
      </c>
      <c r="H24" t="s">
        <v>107</v>
      </c>
      <c r="I24">
        <v>7590.820798604017</v>
      </c>
      <c r="J24">
        <v>15</v>
      </c>
      <c r="K24" s="24">
        <f t="shared" si="15"/>
        <v>506.05471990693445</v>
      </c>
      <c r="N24" t="s">
        <v>107</v>
      </c>
      <c r="O24">
        <v>2197.0225514872527</v>
      </c>
      <c r="P24">
        <v>15</v>
      </c>
      <c r="Q24" s="24">
        <f t="shared" si="11"/>
        <v>146.46817009915017</v>
      </c>
      <c r="T24" t="s">
        <v>107</v>
      </c>
      <c r="U24">
        <v>7906.089555364053</v>
      </c>
      <c r="V24">
        <v>15</v>
      </c>
      <c r="W24" s="24">
        <f t="shared" si="12"/>
        <v>527.07263702427019</v>
      </c>
      <c r="Y24">
        <v>2034.3436493018257</v>
      </c>
      <c r="Z24">
        <v>1684.0116417324537</v>
      </c>
      <c r="AA24" t="s">
        <v>107</v>
      </c>
      <c r="AB24">
        <v>15</v>
      </c>
      <c r="AC24" s="25">
        <f t="shared" si="13"/>
        <v>27294.518275288632</v>
      </c>
      <c r="AD24" s="24">
        <f t="shared" si="14"/>
        <v>1819.6345516859087</v>
      </c>
      <c r="AG24">
        <f>'Service Volume'!C13</f>
        <v>271</v>
      </c>
      <c r="AH24" s="25">
        <f t="shared" si="17"/>
        <v>5.7722960551335269</v>
      </c>
      <c r="AI24" s="25">
        <f t="shared" si="18"/>
        <v>5.9105647964814931</v>
      </c>
      <c r="AJ24" s="25">
        <f t="shared" si="19"/>
        <v>6.1317943497197236</v>
      </c>
      <c r="AK24" s="25">
        <f t="shared" si="20"/>
        <v>6.9647454120392496</v>
      </c>
      <c r="AL24" s="25">
        <f t="shared" si="21"/>
        <v>7.0901045492294488</v>
      </c>
      <c r="AM24" s="25">
        <f t="shared" si="22"/>
        <v>7.2452521504673149</v>
      </c>
      <c r="AN24" s="25">
        <f t="shared" si="23"/>
        <v>5.3751406870050626</v>
      </c>
      <c r="AO24" s="25">
        <f t="shared" si="24"/>
        <v>5.5133426019977119</v>
      </c>
      <c r="AP24" s="25">
        <f t="shared" si="25"/>
        <v>5.7412043926392995</v>
      </c>
    </row>
    <row r="25" spans="2:42" x14ac:dyDescent="0.2">
      <c r="B25" t="s">
        <v>107</v>
      </c>
      <c r="C25" s="30">
        <v>4237.1454902983915</v>
      </c>
      <c r="D25">
        <v>20</v>
      </c>
      <c r="E25" s="24">
        <f t="shared" si="10"/>
        <v>211.85727451491957</v>
      </c>
      <c r="H25" t="s">
        <v>107</v>
      </c>
      <c r="I25">
        <v>7590.820798604017</v>
      </c>
      <c r="J25">
        <v>20</v>
      </c>
      <c r="K25" s="24">
        <f t="shared" si="15"/>
        <v>379.54103993020084</v>
      </c>
      <c r="N25" t="s">
        <v>107</v>
      </c>
      <c r="O25">
        <v>2197.0225514872527</v>
      </c>
      <c r="P25">
        <v>20</v>
      </c>
      <c r="Q25" s="24">
        <f t="shared" si="11"/>
        <v>109.85112757436264</v>
      </c>
      <c r="T25" t="s">
        <v>107</v>
      </c>
      <c r="U25">
        <v>7906.089555364053</v>
      </c>
      <c r="V25">
        <v>20</v>
      </c>
      <c r="W25" s="24">
        <f t="shared" si="12"/>
        <v>395.30447776820267</v>
      </c>
      <c r="Y25">
        <v>2034.3436493018257</v>
      </c>
      <c r="Z25">
        <v>1684.0116417324537</v>
      </c>
      <c r="AA25" t="s">
        <v>107</v>
      </c>
      <c r="AB25">
        <v>20</v>
      </c>
      <c r="AC25" s="25">
        <f t="shared" si="13"/>
        <v>35714.576483950899</v>
      </c>
      <c r="AD25" s="24">
        <f t="shared" si="14"/>
        <v>1785.728824197545</v>
      </c>
      <c r="AG25">
        <v>283</v>
      </c>
      <c r="AH25" s="25">
        <f t="shared" si="17"/>
        <v>5.5275343849511867</v>
      </c>
      <c r="AI25" s="25">
        <f t="shared" si="18"/>
        <v>5.6599401408002992</v>
      </c>
      <c r="AJ25" s="25">
        <f t="shared" si="19"/>
        <v>5.8717889355973325</v>
      </c>
      <c r="AK25" s="25">
        <f t="shared" si="20"/>
        <v>6.6694205182425321</v>
      </c>
      <c r="AL25" s="25">
        <f t="shared" si="21"/>
        <v>6.7894640736437477</v>
      </c>
      <c r="AM25" s="25">
        <f t="shared" si="22"/>
        <v>6.9380329780093373</v>
      </c>
      <c r="AN25" s="25">
        <f t="shared" si="23"/>
        <v>5.1472195271320569</v>
      </c>
      <c r="AO25" s="25">
        <f t="shared" si="24"/>
        <v>5.279561290252226</v>
      </c>
      <c r="AP25" s="25">
        <f t="shared" si="25"/>
        <v>5.4977610968383397</v>
      </c>
    </row>
    <row r="26" spans="2:42" x14ac:dyDescent="0.2">
      <c r="B26" t="s">
        <v>107</v>
      </c>
      <c r="C26" s="30">
        <v>4237.1454902983915</v>
      </c>
      <c r="D26">
        <v>30</v>
      </c>
      <c r="E26" s="24">
        <f t="shared" si="10"/>
        <v>141.23818300994637</v>
      </c>
      <c r="H26" t="s">
        <v>107</v>
      </c>
      <c r="I26">
        <v>7590.820798604017</v>
      </c>
      <c r="J26">
        <v>30</v>
      </c>
      <c r="K26" s="24">
        <f t="shared" si="15"/>
        <v>253.02735995346723</v>
      </c>
      <c r="N26" t="s">
        <v>107</v>
      </c>
      <c r="O26">
        <v>2197.0225514872527</v>
      </c>
      <c r="P26">
        <v>30</v>
      </c>
      <c r="Q26" s="24">
        <f t="shared" si="11"/>
        <v>73.234085049575086</v>
      </c>
      <c r="T26" t="s">
        <v>107</v>
      </c>
      <c r="U26">
        <v>7906.089555364053</v>
      </c>
      <c r="V26">
        <v>30</v>
      </c>
      <c r="W26" s="24">
        <f t="shared" si="12"/>
        <v>263.5363185121351</v>
      </c>
      <c r="Y26">
        <v>2034.3436493018257</v>
      </c>
      <c r="Z26">
        <v>1684.0116417324537</v>
      </c>
      <c r="AA26" t="s">
        <v>107</v>
      </c>
      <c r="AB26">
        <v>30</v>
      </c>
      <c r="AC26" s="25">
        <f t="shared" si="13"/>
        <v>52554.692901275434</v>
      </c>
      <c r="AD26" s="24">
        <f t="shared" si="14"/>
        <v>1751.8230967091811</v>
      </c>
      <c r="AG26">
        <v>312</v>
      </c>
      <c r="AH26" s="25">
        <f t="shared" ref="AH26:AH31" si="26">$AH$4/AG26</f>
        <v>5.0137571504525189</v>
      </c>
      <c r="AI26" s="25">
        <f t="shared" si="18"/>
        <v>5.1338559610464252</v>
      </c>
      <c r="AJ26" s="25">
        <f t="shared" si="19"/>
        <v>5.3260136819680932</v>
      </c>
      <c r="AK26" s="25">
        <f t="shared" si="20"/>
        <v>6.0495064316110145</v>
      </c>
      <c r="AL26" s="25">
        <f t="shared" si="21"/>
        <v>6.1583920924396818</v>
      </c>
      <c r="AM26" s="25">
        <f t="shared" si="22"/>
        <v>6.2931517076174437</v>
      </c>
      <c r="AN26" s="25">
        <f t="shared" si="23"/>
        <v>4.6687920710845257</v>
      </c>
      <c r="AO26" s="25">
        <f t="shared" si="24"/>
        <v>4.7888328369916024</v>
      </c>
      <c r="AP26" s="25">
        <f t="shared" si="25"/>
        <v>4.9867512512988785</v>
      </c>
    </row>
    <row r="27" spans="2:42" x14ac:dyDescent="0.2">
      <c r="B27" t="s">
        <v>109</v>
      </c>
      <c r="C27" s="30">
        <v>4237.1454902983915</v>
      </c>
      <c r="D27">
        <v>5</v>
      </c>
      <c r="E27" s="24">
        <f t="shared" si="10"/>
        <v>847.42909805967827</v>
      </c>
      <c r="H27" t="s">
        <v>109</v>
      </c>
      <c r="I27">
        <v>7933.1017260241861</v>
      </c>
      <c r="J27">
        <v>5</v>
      </c>
      <c r="K27" s="24">
        <f t="shared" si="15"/>
        <v>1586.6203452048371</v>
      </c>
      <c r="N27" t="s">
        <v>109</v>
      </c>
      <c r="O27">
        <v>2262.4095382096161</v>
      </c>
      <c r="P27">
        <v>5</v>
      </c>
      <c r="Q27" s="24">
        <f t="shared" si="11"/>
        <v>452.48190764192321</v>
      </c>
      <c r="T27" t="s">
        <v>109</v>
      </c>
      <c r="U27">
        <v>8014.7889071686022</v>
      </c>
      <c r="V27">
        <v>5</v>
      </c>
      <c r="W27" s="24">
        <f t="shared" si="12"/>
        <v>1602.9577814337204</v>
      </c>
      <c r="Y27">
        <v>2034.3436493018257</v>
      </c>
      <c r="Z27">
        <v>1717.983967910998</v>
      </c>
      <c r="AA27" t="s">
        <v>109</v>
      </c>
      <c r="AB27">
        <v>5</v>
      </c>
      <c r="AC27" s="25">
        <f t="shared" si="13"/>
        <v>10624.263488856815</v>
      </c>
      <c r="AD27" s="24">
        <f t="shared" si="14"/>
        <v>2124.8526977713632</v>
      </c>
      <c r="AG27">
        <v>364</v>
      </c>
      <c r="AH27" s="25">
        <f t="shared" si="26"/>
        <v>4.2975061289593022</v>
      </c>
      <c r="AI27" s="25">
        <f t="shared" si="18"/>
        <v>4.4004479666112211</v>
      </c>
      <c r="AJ27" s="25">
        <f t="shared" si="19"/>
        <v>4.5651545845440804</v>
      </c>
      <c r="AK27" s="25">
        <f t="shared" si="20"/>
        <v>5.1852912270951554</v>
      </c>
      <c r="AL27" s="25">
        <f t="shared" si="21"/>
        <v>5.2786217935197275</v>
      </c>
      <c r="AM27" s="25">
        <f t="shared" si="22"/>
        <v>5.394130035100666</v>
      </c>
      <c r="AN27" s="25">
        <f t="shared" si="23"/>
        <v>4.0018217752153076</v>
      </c>
      <c r="AO27" s="25">
        <f t="shared" si="24"/>
        <v>4.1047138602785163</v>
      </c>
      <c r="AP27" s="25">
        <f t="shared" si="25"/>
        <v>4.2743582153990385</v>
      </c>
    </row>
    <row r="28" spans="2:42" x14ac:dyDescent="0.2">
      <c r="B28" t="s">
        <v>109</v>
      </c>
      <c r="C28" s="30">
        <v>4237.1454902983915</v>
      </c>
      <c r="D28">
        <v>10</v>
      </c>
      <c r="E28" s="24">
        <f t="shared" si="10"/>
        <v>423.71454902983913</v>
      </c>
      <c r="H28" t="s">
        <v>109</v>
      </c>
      <c r="I28">
        <v>7933.1017260241861</v>
      </c>
      <c r="J28">
        <v>10</v>
      </c>
      <c r="K28" s="24">
        <f t="shared" si="15"/>
        <v>793.31017260241856</v>
      </c>
      <c r="N28" t="s">
        <v>109</v>
      </c>
      <c r="O28">
        <v>2262.4095382096161</v>
      </c>
      <c r="P28">
        <v>10</v>
      </c>
      <c r="Q28" s="24">
        <f t="shared" si="11"/>
        <v>226.24095382096161</v>
      </c>
      <c r="T28" t="s">
        <v>109</v>
      </c>
      <c r="U28">
        <v>8014.7889071686022</v>
      </c>
      <c r="V28">
        <v>10</v>
      </c>
      <c r="W28" s="24">
        <f t="shared" si="12"/>
        <v>801.47889071686018</v>
      </c>
      <c r="Y28">
        <v>2034.3436493018257</v>
      </c>
      <c r="Z28">
        <v>1717.983967910998</v>
      </c>
      <c r="AA28" t="s">
        <v>109</v>
      </c>
      <c r="AB28">
        <v>10</v>
      </c>
      <c r="AC28" s="25">
        <f t="shared" si="13"/>
        <v>19214.183328411807</v>
      </c>
      <c r="AD28" s="24">
        <f t="shared" si="14"/>
        <v>1921.4183328411807</v>
      </c>
      <c r="AG28">
        <v>371</v>
      </c>
      <c r="AH28" s="25">
        <f t="shared" si="26"/>
        <v>4.2164211076581832</v>
      </c>
      <c r="AI28" s="25">
        <f t="shared" si="18"/>
        <v>4.3174206464864815</v>
      </c>
      <c r="AJ28" s="25">
        <f t="shared" si="19"/>
        <v>4.4790195923828708</v>
      </c>
      <c r="AK28" s="25">
        <f t="shared" si="20"/>
        <v>5.0874555435650581</v>
      </c>
      <c r="AL28" s="25">
        <f t="shared" si="21"/>
        <v>5.1790251559061478</v>
      </c>
      <c r="AM28" s="25">
        <f t="shared" si="22"/>
        <v>5.2923539967025404</v>
      </c>
      <c r="AN28" s="25">
        <f t="shared" si="23"/>
        <v>3.9263157039848302</v>
      </c>
      <c r="AO28" s="25">
        <f t="shared" si="24"/>
        <v>4.0272664289525064</v>
      </c>
      <c r="AP28" s="25">
        <f t="shared" si="25"/>
        <v>4.1937099471839625</v>
      </c>
    </row>
    <row r="29" spans="2:42" x14ac:dyDescent="0.2">
      <c r="B29" t="s">
        <v>109</v>
      </c>
      <c r="C29" s="30">
        <v>4237.1454902983915</v>
      </c>
      <c r="D29">
        <v>12</v>
      </c>
      <c r="E29" s="24">
        <f t="shared" si="10"/>
        <v>353.09545752486594</v>
      </c>
      <c r="H29" t="s">
        <v>109</v>
      </c>
      <c r="I29">
        <v>7933.1017260241861</v>
      </c>
      <c r="J29">
        <v>12</v>
      </c>
      <c r="K29" s="24">
        <f t="shared" si="15"/>
        <v>661.09181050201551</v>
      </c>
      <c r="N29" t="s">
        <v>109</v>
      </c>
      <c r="O29">
        <v>2262.4095382096161</v>
      </c>
      <c r="P29">
        <v>12</v>
      </c>
      <c r="Q29" s="24">
        <f t="shared" si="11"/>
        <v>188.53412818413469</v>
      </c>
      <c r="T29" t="s">
        <v>109</v>
      </c>
      <c r="U29">
        <v>8014.7889071686022</v>
      </c>
      <c r="V29">
        <v>12</v>
      </c>
      <c r="W29" s="24">
        <f t="shared" si="12"/>
        <v>667.89907559738356</v>
      </c>
      <c r="Y29">
        <v>2034.3436493018257</v>
      </c>
      <c r="Z29">
        <v>1717.983967910998</v>
      </c>
      <c r="AA29" t="s">
        <v>109</v>
      </c>
      <c r="AB29">
        <v>12</v>
      </c>
      <c r="AC29" s="25">
        <f t="shared" si="13"/>
        <v>22650.151264233802</v>
      </c>
      <c r="AD29" s="24">
        <f t="shared" si="14"/>
        <v>1887.5126053528168</v>
      </c>
      <c r="AG29">
        <v>384</v>
      </c>
      <c r="AH29" s="25">
        <f t="shared" si="26"/>
        <v>4.0736776847426714</v>
      </c>
      <c r="AI29" s="25">
        <f t="shared" si="18"/>
        <v>4.1712579683502202</v>
      </c>
      <c r="AJ29" s="25">
        <f t="shared" si="19"/>
        <v>4.3273861165990759</v>
      </c>
      <c r="AK29" s="25">
        <f t="shared" si="20"/>
        <v>4.9152239756839498</v>
      </c>
      <c r="AL29" s="25">
        <f t="shared" si="21"/>
        <v>5.0036935751072411</v>
      </c>
      <c r="AM29" s="25">
        <f t="shared" si="22"/>
        <v>5.1131857624391728</v>
      </c>
      <c r="AN29" s="25">
        <f t="shared" si="23"/>
        <v>3.7933935577561773</v>
      </c>
      <c r="AO29" s="25">
        <f t="shared" si="24"/>
        <v>3.8909266800556765</v>
      </c>
      <c r="AP29" s="25">
        <f t="shared" si="25"/>
        <v>4.0517353916803387</v>
      </c>
    </row>
    <row r="30" spans="2:42" x14ac:dyDescent="0.2">
      <c r="B30" t="s">
        <v>109</v>
      </c>
      <c r="C30" s="30">
        <v>4237.1454902983915</v>
      </c>
      <c r="D30">
        <v>15</v>
      </c>
      <c r="E30" s="24">
        <f t="shared" si="10"/>
        <v>282.47636601989274</v>
      </c>
      <c r="H30" t="s">
        <v>109</v>
      </c>
      <c r="I30">
        <v>7933.1017260241861</v>
      </c>
      <c r="J30">
        <v>15</v>
      </c>
      <c r="K30" s="24">
        <f t="shared" si="15"/>
        <v>528.87344840161245</v>
      </c>
      <c r="N30" t="s">
        <v>109</v>
      </c>
      <c r="O30">
        <v>2262.4095382096161</v>
      </c>
      <c r="P30">
        <v>15</v>
      </c>
      <c r="Q30" s="24">
        <f t="shared" si="11"/>
        <v>150.82730254730774</v>
      </c>
      <c r="T30" t="s">
        <v>109</v>
      </c>
      <c r="U30">
        <v>8014.7889071686022</v>
      </c>
      <c r="V30">
        <v>15</v>
      </c>
      <c r="W30" s="24">
        <f t="shared" si="12"/>
        <v>534.31926047790682</v>
      </c>
      <c r="Y30">
        <v>2034.3436493018257</v>
      </c>
      <c r="Z30">
        <v>1717.983967910998</v>
      </c>
      <c r="AA30" t="s">
        <v>109</v>
      </c>
      <c r="AB30">
        <v>15</v>
      </c>
      <c r="AC30" s="25">
        <f t="shared" si="13"/>
        <v>27804.103167966798</v>
      </c>
      <c r="AD30" s="24">
        <f t="shared" si="14"/>
        <v>1853.6068778644533</v>
      </c>
      <c r="AG30">
        <v>393</v>
      </c>
      <c r="AH30" s="25">
        <f t="shared" si="26"/>
        <v>3.9803873560844423</v>
      </c>
      <c r="AI30" s="25">
        <f t="shared" si="18"/>
        <v>4.0757329767086121</v>
      </c>
      <c r="AJ30" s="25">
        <f t="shared" si="19"/>
        <v>4.2282856711807764</v>
      </c>
      <c r="AK30" s="25">
        <f t="shared" si="20"/>
        <v>4.8026615945614166</v>
      </c>
      <c r="AL30" s="25">
        <f t="shared" si="21"/>
        <v>4.8891051726238697</v>
      </c>
      <c r="AM30" s="25">
        <f t="shared" si="22"/>
        <v>4.9960899052840775</v>
      </c>
      <c r="AN30" s="25">
        <f t="shared" si="23"/>
        <v>3.7065219495632875</v>
      </c>
      <c r="AO30" s="25">
        <f t="shared" si="24"/>
        <v>3.8018214889093636</v>
      </c>
      <c r="AP30" s="25">
        <f t="shared" si="25"/>
        <v>3.9589475582830791</v>
      </c>
    </row>
    <row r="31" spans="2:42" x14ac:dyDescent="0.2">
      <c r="B31" t="s">
        <v>109</v>
      </c>
      <c r="C31" s="30">
        <v>4237.1454902983915</v>
      </c>
      <c r="D31">
        <v>20</v>
      </c>
      <c r="E31" s="24">
        <f t="shared" si="10"/>
        <v>211.85727451491957</v>
      </c>
      <c r="H31" t="s">
        <v>109</v>
      </c>
      <c r="I31">
        <v>7933.1017260241861</v>
      </c>
      <c r="J31">
        <v>20</v>
      </c>
      <c r="K31" s="24">
        <f t="shared" si="15"/>
        <v>396.65508630120928</v>
      </c>
      <c r="N31" t="s">
        <v>109</v>
      </c>
      <c r="O31">
        <v>2262.4095382096161</v>
      </c>
      <c r="P31">
        <v>20</v>
      </c>
      <c r="Q31" s="24">
        <f t="shared" si="11"/>
        <v>113.1204769104808</v>
      </c>
      <c r="T31" t="s">
        <v>109</v>
      </c>
      <c r="U31">
        <v>8014.7889071686022</v>
      </c>
      <c r="V31">
        <v>20</v>
      </c>
      <c r="W31" s="24">
        <f t="shared" si="12"/>
        <v>400.73944535843009</v>
      </c>
      <c r="Y31">
        <v>2034.3436493018257</v>
      </c>
      <c r="Z31">
        <v>1717.983967910998</v>
      </c>
      <c r="AA31" t="s">
        <v>109</v>
      </c>
      <c r="AB31">
        <v>20</v>
      </c>
      <c r="AC31" s="25">
        <f t="shared" si="13"/>
        <v>36394.023007521784</v>
      </c>
      <c r="AD31" s="24">
        <f t="shared" si="14"/>
        <v>1819.7011503760891</v>
      </c>
      <c r="AG31" s="31">
        <f>'Service Volume'!C15</f>
        <v>516.38780961162865</v>
      </c>
      <c r="AH31" s="25">
        <f t="shared" si="26"/>
        <v>3.0292973649352377</v>
      </c>
      <c r="AI31" s="25">
        <f>$AI$4/AG31</f>
        <v>3.1018607140458223</v>
      </c>
      <c r="AJ31" s="25">
        <f>$AJ$4/AG31</f>
        <v>3.2179618454273915</v>
      </c>
      <c r="AK31" s="25">
        <f>$AK$4/AG31</f>
        <v>3.6550940427547474</v>
      </c>
      <c r="AL31" s="25">
        <f>$AL$4/AG31</f>
        <v>3.7208824396653841</v>
      </c>
      <c r="AM31" s="25">
        <f>$AM$4/AG31</f>
        <v>3.8023038039053403</v>
      </c>
      <c r="AN31" s="25">
        <f>$AN$4/AG31</f>
        <v>2.8208704757649437</v>
      </c>
      <c r="AO31" s="25">
        <f>$AO$4/AG31</f>
        <v>2.8933987544459909</v>
      </c>
      <c r="AP31" s="25">
        <f>$AP$4/AG31</f>
        <v>3.0129804798750097</v>
      </c>
    </row>
    <row r="32" spans="2:42" x14ac:dyDescent="0.2">
      <c r="B32" t="s">
        <v>109</v>
      </c>
      <c r="C32" s="30">
        <v>4237.1454902983915</v>
      </c>
      <c r="D32">
        <v>30</v>
      </c>
      <c r="E32" s="24">
        <f t="shared" si="10"/>
        <v>141.23818300994637</v>
      </c>
      <c r="H32" t="s">
        <v>109</v>
      </c>
      <c r="I32">
        <v>7933.1017260241861</v>
      </c>
      <c r="J32">
        <v>30</v>
      </c>
      <c r="K32" s="24">
        <f t="shared" si="15"/>
        <v>264.43672420080622</v>
      </c>
      <c r="N32" t="s">
        <v>109</v>
      </c>
      <c r="O32">
        <v>2262.4095382096161</v>
      </c>
      <c r="P32">
        <v>30</v>
      </c>
      <c r="Q32" s="24">
        <f t="shared" si="11"/>
        <v>75.413651273653869</v>
      </c>
      <c r="T32" t="s">
        <v>109</v>
      </c>
      <c r="U32">
        <v>8014.7889071686022</v>
      </c>
      <c r="V32">
        <v>30</v>
      </c>
      <c r="W32" s="24">
        <f t="shared" si="12"/>
        <v>267.15963023895341</v>
      </c>
      <c r="Y32">
        <v>2034.3436493018257</v>
      </c>
      <c r="Z32">
        <v>1717.983967910998</v>
      </c>
      <c r="AA32" t="s">
        <v>109</v>
      </c>
      <c r="AB32">
        <v>30</v>
      </c>
      <c r="AC32" s="25">
        <f t="shared" si="13"/>
        <v>53573.862686631765</v>
      </c>
      <c r="AD32" s="24">
        <f t="shared" si="14"/>
        <v>1785.7954228877254</v>
      </c>
      <c r="AH32" s="25"/>
    </row>
    <row r="33" spans="2:34" x14ac:dyDescent="0.2">
      <c r="B33" t="s">
        <v>111</v>
      </c>
      <c r="C33" s="30">
        <v>4237.1454902983915</v>
      </c>
      <c r="D33">
        <v>5</v>
      </c>
      <c r="E33" s="24">
        <f t="shared" si="10"/>
        <v>847.42909805967827</v>
      </c>
      <c r="H33" t="s">
        <v>111</v>
      </c>
      <c r="I33">
        <v>8356.7171562910626</v>
      </c>
      <c r="J33">
        <v>5</v>
      </c>
      <c r="K33" s="24">
        <f t="shared" si="15"/>
        <v>1671.3434312582126</v>
      </c>
      <c r="N33" t="s">
        <v>111</v>
      </c>
      <c r="O33">
        <v>2343.3341071682789</v>
      </c>
      <c r="P33">
        <v>5</v>
      </c>
      <c r="Q33" s="24">
        <f t="shared" si="11"/>
        <v>468.6668214336558</v>
      </c>
      <c r="T33" t="s">
        <v>111</v>
      </c>
      <c r="U33">
        <v>8149.3179416417679</v>
      </c>
      <c r="V33">
        <v>5</v>
      </c>
      <c r="W33" s="24">
        <f t="shared" si="12"/>
        <v>1629.8635883283537</v>
      </c>
      <c r="Y33">
        <v>2034.3436493018257</v>
      </c>
      <c r="Z33">
        <v>1760.0289678464596</v>
      </c>
      <c r="AA33" t="s">
        <v>111</v>
      </c>
      <c r="AB33">
        <v>5</v>
      </c>
      <c r="AC33" s="25">
        <f t="shared" si="13"/>
        <v>10834.488488534123</v>
      </c>
      <c r="AD33" s="24">
        <f t="shared" si="14"/>
        <v>2166.8976977068246</v>
      </c>
    </row>
    <row r="34" spans="2:34" x14ac:dyDescent="0.2">
      <c r="B34" t="s">
        <v>111</v>
      </c>
      <c r="C34" s="30">
        <v>4237.1454902983915</v>
      </c>
      <c r="D34">
        <v>10</v>
      </c>
      <c r="E34" s="24">
        <f t="shared" si="10"/>
        <v>423.71454902983913</v>
      </c>
      <c r="H34" t="s">
        <v>111</v>
      </c>
      <c r="I34">
        <v>8356.7171562910626</v>
      </c>
      <c r="J34">
        <v>10</v>
      </c>
      <c r="K34" s="24">
        <f t="shared" si="15"/>
        <v>835.6717156291063</v>
      </c>
      <c r="N34" t="s">
        <v>111</v>
      </c>
      <c r="O34">
        <v>2343.3341071682789</v>
      </c>
      <c r="P34">
        <v>10</v>
      </c>
      <c r="Q34" s="24">
        <f t="shared" si="11"/>
        <v>234.3334107168279</v>
      </c>
      <c r="T34" t="s">
        <v>111</v>
      </c>
      <c r="U34">
        <v>8149.3179416417679</v>
      </c>
      <c r="V34">
        <v>10</v>
      </c>
      <c r="W34" s="24">
        <f t="shared" si="12"/>
        <v>814.93179416417684</v>
      </c>
      <c r="Y34">
        <v>2034.3436493018257</v>
      </c>
      <c r="Z34">
        <v>1760.0289678464596</v>
      </c>
      <c r="AA34" t="s">
        <v>111</v>
      </c>
      <c r="AB34">
        <v>10</v>
      </c>
      <c r="AC34" s="25">
        <f t="shared" si="13"/>
        <v>19634.633327766423</v>
      </c>
      <c r="AD34" s="24">
        <f t="shared" si="14"/>
        <v>1963.4633327766423</v>
      </c>
    </row>
    <row r="35" spans="2:34" x14ac:dyDescent="0.2">
      <c r="B35" t="s">
        <v>111</v>
      </c>
      <c r="C35" s="30">
        <v>4237.1454902983915</v>
      </c>
      <c r="D35">
        <v>12</v>
      </c>
      <c r="E35" s="24">
        <f t="shared" si="10"/>
        <v>353.09545752486594</v>
      </c>
      <c r="H35" t="s">
        <v>111</v>
      </c>
      <c r="I35">
        <v>8356.7171562910626</v>
      </c>
      <c r="J35">
        <v>12</v>
      </c>
      <c r="K35" s="24">
        <f t="shared" si="15"/>
        <v>696.39309635758855</v>
      </c>
      <c r="N35" t="s">
        <v>111</v>
      </c>
      <c r="O35">
        <v>2343.3341071682789</v>
      </c>
      <c r="P35">
        <v>12</v>
      </c>
      <c r="Q35" s="24">
        <f t="shared" si="11"/>
        <v>195.27784226402323</v>
      </c>
      <c r="T35" t="s">
        <v>111</v>
      </c>
      <c r="U35">
        <v>8149.3179416417679</v>
      </c>
      <c r="V35">
        <v>12</v>
      </c>
      <c r="W35" s="24">
        <f t="shared" si="12"/>
        <v>679.10982847014736</v>
      </c>
      <c r="Y35">
        <v>2034.3436493018257</v>
      </c>
      <c r="Z35">
        <v>1760.0289678464596</v>
      </c>
      <c r="AA35" t="s">
        <v>111</v>
      </c>
      <c r="AB35">
        <v>12</v>
      </c>
      <c r="AC35" s="25">
        <f t="shared" si="13"/>
        <v>23154.691263459343</v>
      </c>
      <c r="AD35" s="24">
        <f t="shared" si="14"/>
        <v>1929.5576052882786</v>
      </c>
      <c r="AG35" t="s">
        <v>130</v>
      </c>
      <c r="AH35" s="25">
        <f>MAX(AH31:AP31)-MIN(AH31:AP31)</f>
        <v>0.98143332814039663</v>
      </c>
    </row>
    <row r="36" spans="2:34" x14ac:dyDescent="0.2">
      <c r="B36" t="s">
        <v>111</v>
      </c>
      <c r="C36" s="30">
        <v>4237.1454902983915</v>
      </c>
      <c r="D36">
        <v>15</v>
      </c>
      <c r="E36" s="24">
        <f t="shared" si="10"/>
        <v>282.47636601989274</v>
      </c>
      <c r="H36" t="s">
        <v>111</v>
      </c>
      <c r="I36">
        <v>8356.7171562910626</v>
      </c>
      <c r="J36">
        <v>15</v>
      </c>
      <c r="K36" s="24">
        <f t="shared" si="15"/>
        <v>557.11447708607079</v>
      </c>
      <c r="N36" t="s">
        <v>111</v>
      </c>
      <c r="O36">
        <v>2343.3341071682789</v>
      </c>
      <c r="P36">
        <v>15</v>
      </c>
      <c r="Q36" s="24">
        <f t="shared" si="11"/>
        <v>156.2222738112186</v>
      </c>
      <c r="T36" t="s">
        <v>111</v>
      </c>
      <c r="U36">
        <v>8149.3179416417679</v>
      </c>
      <c r="V36">
        <v>15</v>
      </c>
      <c r="W36" s="24">
        <f t="shared" si="12"/>
        <v>543.28786277611789</v>
      </c>
      <c r="Y36">
        <v>2034.3436493018257</v>
      </c>
      <c r="Z36">
        <v>1760.0289678464596</v>
      </c>
      <c r="AA36" t="s">
        <v>111</v>
      </c>
      <c r="AB36">
        <v>15</v>
      </c>
      <c r="AC36" s="25">
        <f t="shared" si="13"/>
        <v>28434.77816699872</v>
      </c>
      <c r="AD36" s="24">
        <f t="shared" si="14"/>
        <v>1895.6518777999147</v>
      </c>
      <c r="AG36" t="s">
        <v>131</v>
      </c>
      <c r="AH36" s="25">
        <f>MAX(AH24:AP24)-MIN(AH24:AP24)</f>
        <v>1.8701114634622522</v>
      </c>
    </row>
    <row r="37" spans="2:34" x14ac:dyDescent="0.2">
      <c r="B37" t="s">
        <v>111</v>
      </c>
      <c r="C37" s="30">
        <v>4237.1454902983915</v>
      </c>
      <c r="D37">
        <v>20</v>
      </c>
      <c r="E37" s="24">
        <f t="shared" si="10"/>
        <v>211.85727451491957</v>
      </c>
      <c r="H37" t="s">
        <v>111</v>
      </c>
      <c r="I37">
        <v>8356.7171562910626</v>
      </c>
      <c r="J37">
        <v>20</v>
      </c>
      <c r="K37" s="24">
        <f t="shared" si="15"/>
        <v>417.83585781455315</v>
      </c>
      <c r="N37" t="s">
        <v>111</v>
      </c>
      <c r="O37">
        <v>2343.3341071682789</v>
      </c>
      <c r="P37">
        <v>20</v>
      </c>
      <c r="Q37" s="24">
        <f t="shared" si="11"/>
        <v>117.16670535841395</v>
      </c>
      <c r="T37" t="s">
        <v>111</v>
      </c>
      <c r="U37">
        <v>8149.3179416417679</v>
      </c>
      <c r="V37">
        <v>20</v>
      </c>
      <c r="W37" s="24">
        <f t="shared" si="12"/>
        <v>407.46589708208842</v>
      </c>
      <c r="Y37">
        <v>2034.3436493018257</v>
      </c>
      <c r="Z37">
        <v>1760.0289678464596</v>
      </c>
      <c r="AA37" t="s">
        <v>111</v>
      </c>
      <c r="AB37">
        <v>20</v>
      </c>
      <c r="AC37" s="25">
        <f t="shared" si="13"/>
        <v>37234.923006231016</v>
      </c>
      <c r="AD37" s="24">
        <f t="shared" si="14"/>
        <v>1861.7461503115508</v>
      </c>
      <c r="AG37" t="s">
        <v>132</v>
      </c>
      <c r="AH37" s="25">
        <f>MAX(AH20:AP20)-MIN(AH20:AP20)</f>
        <v>19.787460537868363</v>
      </c>
    </row>
    <row r="38" spans="2:34" x14ac:dyDescent="0.2">
      <c r="B38" t="s">
        <v>111</v>
      </c>
      <c r="C38" s="30">
        <v>4237.1454902983915</v>
      </c>
      <c r="D38">
        <v>30</v>
      </c>
      <c r="E38" s="24">
        <f t="shared" si="10"/>
        <v>141.23818300994637</v>
      </c>
      <c r="H38" t="s">
        <v>111</v>
      </c>
      <c r="I38">
        <v>8356.7171562910626</v>
      </c>
      <c r="J38">
        <v>30</v>
      </c>
      <c r="K38" s="24">
        <f t="shared" si="15"/>
        <v>278.5572385430354</v>
      </c>
      <c r="N38" t="s">
        <v>111</v>
      </c>
      <c r="O38">
        <v>2343.3341071682789</v>
      </c>
      <c r="P38">
        <v>30</v>
      </c>
      <c r="Q38" s="24">
        <f t="shared" si="11"/>
        <v>78.1111369056093</v>
      </c>
      <c r="T38" t="s">
        <v>111</v>
      </c>
      <c r="U38">
        <v>8149.3179416417679</v>
      </c>
      <c r="V38">
        <v>30</v>
      </c>
      <c r="W38" s="24">
        <f t="shared" si="12"/>
        <v>271.64393138805895</v>
      </c>
      <c r="Y38">
        <v>2034.3436493018257</v>
      </c>
      <c r="Z38">
        <v>1760.0289678464596</v>
      </c>
      <c r="AA38" t="s">
        <v>111</v>
      </c>
      <c r="AB38">
        <v>30</v>
      </c>
      <c r="AC38" s="25">
        <f t="shared" si="13"/>
        <v>54835.212684695609</v>
      </c>
      <c r="AD38" s="24">
        <f t="shared" si="14"/>
        <v>1827.8404228231871</v>
      </c>
    </row>
    <row r="39" spans="2:34" x14ac:dyDescent="0.2">
      <c r="B39" t="s">
        <v>105</v>
      </c>
      <c r="C39" s="30">
        <v>4237.1454902983915</v>
      </c>
      <c r="D39">
        <v>5</v>
      </c>
      <c r="E39" s="24">
        <f t="shared" ref="E39:E56" si="27">C39/D39</f>
        <v>847.42909805967827</v>
      </c>
      <c r="H39" t="s">
        <v>105</v>
      </c>
      <c r="I39">
        <v>4334.9538476054131</v>
      </c>
      <c r="J39">
        <v>5</v>
      </c>
      <c r="K39" s="24">
        <f t="shared" si="15"/>
        <v>866.9907695210826</v>
      </c>
      <c r="N39" t="s">
        <v>105</v>
      </c>
      <c r="O39">
        <v>1575.0441938284525</v>
      </c>
      <c r="P39">
        <v>5</v>
      </c>
      <c r="Q39" s="24">
        <f t="shared" si="11"/>
        <v>315.00883876569048</v>
      </c>
      <c r="T39" t="s">
        <v>105</v>
      </c>
      <c r="U39">
        <v>6872.1124950502062</v>
      </c>
      <c r="V39">
        <v>5</v>
      </c>
      <c r="W39" s="24">
        <f t="shared" si="12"/>
        <v>1374.4224990100413</v>
      </c>
      <c r="Y39">
        <v>2034.3436493018257</v>
      </c>
      <c r="Z39">
        <v>1253.2287612481896</v>
      </c>
      <c r="AA39" t="s">
        <v>108</v>
      </c>
      <c r="AB39">
        <v>5</v>
      </c>
      <c r="AC39" s="25">
        <f t="shared" si="13"/>
        <v>8300.4874555427741</v>
      </c>
      <c r="AD39" s="24">
        <f t="shared" si="14"/>
        <v>1660.0974911085548</v>
      </c>
    </row>
    <row r="40" spans="2:34" x14ac:dyDescent="0.2">
      <c r="B40" t="s">
        <v>105</v>
      </c>
      <c r="C40" s="30">
        <v>4237.1454902983915</v>
      </c>
      <c r="D40">
        <v>10</v>
      </c>
      <c r="E40" s="24">
        <f t="shared" si="27"/>
        <v>423.71454902983913</v>
      </c>
      <c r="H40" t="s">
        <v>105</v>
      </c>
      <c r="I40">
        <v>4334.9538476054131</v>
      </c>
      <c r="J40">
        <v>10</v>
      </c>
      <c r="K40" s="24">
        <f t="shared" si="15"/>
        <v>433.4953847605413</v>
      </c>
      <c r="N40" t="s">
        <v>105</v>
      </c>
      <c r="O40">
        <v>1575.0441938284525</v>
      </c>
      <c r="P40">
        <v>10</v>
      </c>
      <c r="Q40" s="24">
        <f t="shared" si="11"/>
        <v>157.50441938284524</v>
      </c>
      <c r="T40" t="s">
        <v>105</v>
      </c>
      <c r="U40">
        <v>6872.1124950502062</v>
      </c>
      <c r="V40">
        <v>10</v>
      </c>
      <c r="W40" s="24">
        <f t="shared" si="12"/>
        <v>687.21124950502065</v>
      </c>
      <c r="Y40">
        <v>2034.3436493018257</v>
      </c>
      <c r="Z40">
        <v>1253.2287612481896</v>
      </c>
      <c r="AA40" t="s">
        <v>108</v>
      </c>
      <c r="AB40">
        <v>10</v>
      </c>
      <c r="AC40" s="25">
        <f t="shared" si="13"/>
        <v>14566.631261783721</v>
      </c>
      <c r="AD40" s="24">
        <f t="shared" si="14"/>
        <v>1456.6631261783721</v>
      </c>
    </row>
    <row r="41" spans="2:34" x14ac:dyDescent="0.2">
      <c r="B41" t="s">
        <v>105</v>
      </c>
      <c r="C41" s="30">
        <v>4237.1454902983915</v>
      </c>
      <c r="D41">
        <v>12</v>
      </c>
      <c r="E41" s="24">
        <f t="shared" si="27"/>
        <v>353.09545752486594</v>
      </c>
      <c r="H41" t="s">
        <v>105</v>
      </c>
      <c r="I41">
        <v>4334.9538476054131</v>
      </c>
      <c r="J41">
        <v>12</v>
      </c>
      <c r="K41" s="24">
        <f t="shared" si="15"/>
        <v>361.24615396711778</v>
      </c>
      <c r="N41" t="s">
        <v>105</v>
      </c>
      <c r="O41">
        <v>1575.0441938284525</v>
      </c>
      <c r="P41">
        <v>12</v>
      </c>
      <c r="Q41" s="24">
        <f t="shared" si="11"/>
        <v>131.25368281903772</v>
      </c>
      <c r="T41" t="s">
        <v>105</v>
      </c>
      <c r="U41">
        <v>6872.1124950502062</v>
      </c>
      <c r="V41">
        <v>12</v>
      </c>
      <c r="W41" s="24">
        <f t="shared" si="12"/>
        <v>572.67604125418381</v>
      </c>
      <c r="Y41">
        <v>2034.3436493018257</v>
      </c>
      <c r="Z41">
        <v>1253.2287612481896</v>
      </c>
      <c r="AA41" t="s">
        <v>108</v>
      </c>
      <c r="AB41">
        <v>12</v>
      </c>
      <c r="AC41" s="25">
        <f t="shared" si="13"/>
        <v>17073.088784280102</v>
      </c>
      <c r="AD41" s="24">
        <f t="shared" si="14"/>
        <v>1422.7573986900086</v>
      </c>
    </row>
    <row r="42" spans="2:34" x14ac:dyDescent="0.2">
      <c r="B42" t="s">
        <v>105</v>
      </c>
      <c r="C42" s="30">
        <v>4237.1454902983915</v>
      </c>
      <c r="D42">
        <v>15</v>
      </c>
      <c r="E42" s="24">
        <f t="shared" si="27"/>
        <v>282.47636601989274</v>
      </c>
      <c r="H42" t="s">
        <v>105</v>
      </c>
      <c r="I42">
        <v>4334.9538476054131</v>
      </c>
      <c r="J42">
        <v>15</v>
      </c>
      <c r="K42" s="24">
        <f t="shared" si="15"/>
        <v>288.9969231736942</v>
      </c>
      <c r="N42" t="s">
        <v>105</v>
      </c>
      <c r="O42">
        <v>1575.0441938284525</v>
      </c>
      <c r="P42">
        <v>15</v>
      </c>
      <c r="Q42" s="24">
        <f t="shared" si="11"/>
        <v>105.00294625523017</v>
      </c>
      <c r="T42" t="s">
        <v>105</v>
      </c>
      <c r="U42">
        <v>6872.1124950502062</v>
      </c>
      <c r="V42">
        <v>15</v>
      </c>
      <c r="W42" s="24">
        <f t="shared" si="12"/>
        <v>458.1408330033471</v>
      </c>
      <c r="Y42">
        <v>2034.3436493018257</v>
      </c>
      <c r="Z42">
        <v>1253.2287612481896</v>
      </c>
      <c r="AA42" t="s">
        <v>108</v>
      </c>
      <c r="AB42">
        <v>15</v>
      </c>
      <c r="AC42" s="25">
        <f t="shared" si="13"/>
        <v>20832.775068024672</v>
      </c>
      <c r="AD42" s="24">
        <f t="shared" si="14"/>
        <v>1388.8516712016449</v>
      </c>
    </row>
    <row r="43" spans="2:34" x14ac:dyDescent="0.2">
      <c r="B43" t="s">
        <v>105</v>
      </c>
      <c r="C43" s="30">
        <v>4237.1454902983915</v>
      </c>
      <c r="D43">
        <v>20</v>
      </c>
      <c r="E43" s="24">
        <f t="shared" si="27"/>
        <v>211.85727451491957</v>
      </c>
      <c r="H43" t="s">
        <v>105</v>
      </c>
      <c r="I43">
        <v>4334.9538476054131</v>
      </c>
      <c r="J43">
        <v>20</v>
      </c>
      <c r="K43" s="24">
        <f t="shared" si="15"/>
        <v>216.74769238027065</v>
      </c>
      <c r="N43" t="s">
        <v>105</v>
      </c>
      <c r="O43">
        <v>1575.0441938284525</v>
      </c>
      <c r="P43">
        <v>20</v>
      </c>
      <c r="Q43" s="24">
        <f t="shared" si="11"/>
        <v>78.752209691422621</v>
      </c>
      <c r="T43" t="s">
        <v>105</v>
      </c>
      <c r="U43">
        <v>6872.1124950502062</v>
      </c>
      <c r="V43">
        <v>20</v>
      </c>
      <c r="W43" s="24">
        <f t="shared" si="12"/>
        <v>343.60562475251032</v>
      </c>
      <c r="Y43">
        <v>2034.3436493018257</v>
      </c>
      <c r="Z43">
        <v>1253.2287612481896</v>
      </c>
      <c r="AA43" t="s">
        <v>108</v>
      </c>
      <c r="AB43">
        <v>20</v>
      </c>
      <c r="AC43" s="25">
        <f t="shared" si="13"/>
        <v>27098.918874265619</v>
      </c>
      <c r="AD43" s="24">
        <f t="shared" si="14"/>
        <v>1354.9459437132809</v>
      </c>
    </row>
    <row r="44" spans="2:34" x14ac:dyDescent="0.2">
      <c r="B44" t="s">
        <v>105</v>
      </c>
      <c r="C44" s="30">
        <v>4237.1454902983915</v>
      </c>
      <c r="D44">
        <v>30</v>
      </c>
      <c r="E44" s="24">
        <f t="shared" si="27"/>
        <v>141.23818300994637</v>
      </c>
      <c r="H44" t="s">
        <v>105</v>
      </c>
      <c r="I44">
        <v>4334.9538476054131</v>
      </c>
      <c r="J44">
        <v>30</v>
      </c>
      <c r="K44" s="24">
        <f t="shared" si="15"/>
        <v>144.4984615868471</v>
      </c>
      <c r="N44" t="s">
        <v>105</v>
      </c>
      <c r="O44">
        <v>1575.0441938284525</v>
      </c>
      <c r="P44">
        <v>30</v>
      </c>
      <c r="Q44" s="24">
        <f t="shared" si="11"/>
        <v>52.501473127615085</v>
      </c>
      <c r="T44" t="s">
        <v>105</v>
      </c>
      <c r="U44">
        <v>6872.1124950502062</v>
      </c>
      <c r="V44">
        <v>30</v>
      </c>
      <c r="W44" s="24">
        <f t="shared" si="12"/>
        <v>229.07041650167355</v>
      </c>
      <c r="Y44">
        <v>2034.3436493018257</v>
      </c>
      <c r="Z44">
        <v>1253.2287612481896</v>
      </c>
      <c r="AA44" t="s">
        <v>108</v>
      </c>
      <c r="AB44">
        <v>30</v>
      </c>
      <c r="AC44" s="25">
        <f t="shared" si="13"/>
        <v>39631.206486747513</v>
      </c>
      <c r="AD44" s="24">
        <f t="shared" si="14"/>
        <v>1321.040216224917</v>
      </c>
    </row>
    <row r="45" spans="2:34" x14ac:dyDescent="0.2">
      <c r="B45" t="s">
        <v>100</v>
      </c>
      <c r="C45" s="30">
        <v>4237.1454902983915</v>
      </c>
      <c r="D45">
        <v>5</v>
      </c>
      <c r="E45" s="24">
        <f t="shared" si="27"/>
        <v>847.42909805967827</v>
      </c>
      <c r="H45" t="s">
        <v>100</v>
      </c>
      <c r="I45">
        <v>4712.483193152797</v>
      </c>
      <c r="J45">
        <v>5</v>
      </c>
      <c r="K45" s="24">
        <f t="shared" si="15"/>
        <v>942.49663863055935</v>
      </c>
      <c r="N45" t="s">
        <v>100</v>
      </c>
      <c r="O45">
        <v>1647.164795144653</v>
      </c>
      <c r="P45">
        <v>5</v>
      </c>
      <c r="Q45" s="24">
        <f t="shared" si="11"/>
        <v>329.43295902893061</v>
      </c>
      <c r="T45" t="s">
        <v>100</v>
      </c>
      <c r="U45">
        <v>6992.0058103380343</v>
      </c>
      <c r="V45">
        <v>5</v>
      </c>
      <c r="W45" s="24">
        <f t="shared" si="12"/>
        <v>1398.4011620676069</v>
      </c>
      <c r="Y45">
        <v>2034.3436493018257</v>
      </c>
      <c r="Z45">
        <v>1290.6814802111974</v>
      </c>
      <c r="AA45" t="s">
        <v>110</v>
      </c>
      <c r="AB45">
        <v>5</v>
      </c>
      <c r="AC45" s="25">
        <f t="shared" si="13"/>
        <v>8487.7510503578123</v>
      </c>
      <c r="AD45" s="24">
        <f t="shared" si="14"/>
        <v>1697.5502100715626</v>
      </c>
    </row>
    <row r="46" spans="2:34" x14ac:dyDescent="0.2">
      <c r="B46" t="s">
        <v>100</v>
      </c>
      <c r="C46" s="30">
        <v>4237.1454902983915</v>
      </c>
      <c r="D46">
        <v>10</v>
      </c>
      <c r="E46" s="24">
        <f t="shared" si="27"/>
        <v>423.71454902983913</v>
      </c>
      <c r="H46" t="s">
        <v>100</v>
      </c>
      <c r="I46">
        <v>4712.483193152797</v>
      </c>
      <c r="J46">
        <v>10</v>
      </c>
      <c r="K46" s="24">
        <f t="shared" si="15"/>
        <v>471.24831931527967</v>
      </c>
      <c r="N46" t="s">
        <v>100</v>
      </c>
      <c r="O46">
        <v>1647.164795144653</v>
      </c>
      <c r="P46">
        <v>10</v>
      </c>
      <c r="Q46" s="24">
        <f t="shared" si="11"/>
        <v>164.71647951446531</v>
      </c>
      <c r="T46" t="s">
        <v>100</v>
      </c>
      <c r="U46">
        <v>6992.0058103380343</v>
      </c>
      <c r="V46">
        <v>10</v>
      </c>
      <c r="W46" s="24">
        <f t="shared" si="12"/>
        <v>699.20058103380347</v>
      </c>
      <c r="Y46">
        <v>2034.3436493018257</v>
      </c>
      <c r="Z46">
        <v>1290.6814802111974</v>
      </c>
      <c r="AA46" t="s">
        <v>110</v>
      </c>
      <c r="AB46">
        <v>10</v>
      </c>
      <c r="AC46" s="25">
        <f t="shared" si="13"/>
        <v>14941.158451413799</v>
      </c>
      <c r="AD46" s="24">
        <f t="shared" si="14"/>
        <v>1494.1158451413799</v>
      </c>
    </row>
    <row r="47" spans="2:34" x14ac:dyDescent="0.2">
      <c r="B47" t="s">
        <v>100</v>
      </c>
      <c r="C47" s="30">
        <v>4237.1454902983915</v>
      </c>
      <c r="D47">
        <v>12</v>
      </c>
      <c r="E47" s="24">
        <f t="shared" si="27"/>
        <v>353.09545752486594</v>
      </c>
      <c r="H47" t="s">
        <v>100</v>
      </c>
      <c r="I47">
        <v>4712.483193152797</v>
      </c>
      <c r="J47">
        <v>12</v>
      </c>
      <c r="K47" s="24">
        <f t="shared" si="15"/>
        <v>392.70693276273306</v>
      </c>
      <c r="N47" t="s">
        <v>100</v>
      </c>
      <c r="O47">
        <v>1647.164795144653</v>
      </c>
      <c r="P47">
        <v>12</v>
      </c>
      <c r="Q47" s="24">
        <f t="shared" si="11"/>
        <v>137.26373292872108</v>
      </c>
      <c r="T47" t="s">
        <v>100</v>
      </c>
      <c r="U47">
        <v>6992.0058103380343</v>
      </c>
      <c r="V47">
        <v>12</v>
      </c>
      <c r="W47" s="24">
        <f t="shared" si="12"/>
        <v>582.66715086150282</v>
      </c>
      <c r="Y47">
        <v>2034.3436493018257</v>
      </c>
      <c r="Z47">
        <v>1290.6814802111974</v>
      </c>
      <c r="AA47" t="s">
        <v>110</v>
      </c>
      <c r="AB47">
        <v>12</v>
      </c>
      <c r="AC47" s="25">
        <f t="shared" si="13"/>
        <v>17522.521411836195</v>
      </c>
      <c r="AD47" s="24">
        <f t="shared" si="14"/>
        <v>1460.2101176530161</v>
      </c>
    </row>
    <row r="48" spans="2:34" x14ac:dyDescent="0.2">
      <c r="B48" t="s">
        <v>100</v>
      </c>
      <c r="C48" s="30">
        <v>4237.1454902983915</v>
      </c>
      <c r="D48">
        <v>15</v>
      </c>
      <c r="E48" s="24">
        <f t="shared" si="27"/>
        <v>282.47636601989274</v>
      </c>
      <c r="H48" t="s">
        <v>100</v>
      </c>
      <c r="I48">
        <v>4712.483193152797</v>
      </c>
      <c r="J48">
        <v>15</v>
      </c>
      <c r="K48" s="24">
        <f t="shared" si="15"/>
        <v>314.16554621018645</v>
      </c>
      <c r="N48" t="s">
        <v>100</v>
      </c>
      <c r="O48">
        <v>1647.164795144653</v>
      </c>
      <c r="P48">
        <v>15</v>
      </c>
      <c r="Q48" s="24">
        <f t="shared" si="11"/>
        <v>109.81098634297686</v>
      </c>
      <c r="T48" t="s">
        <v>100</v>
      </c>
      <c r="U48">
        <v>6992.0058103380343</v>
      </c>
      <c r="V48">
        <v>15</v>
      </c>
      <c r="W48" s="24">
        <f t="shared" si="12"/>
        <v>466.13372068920228</v>
      </c>
      <c r="Y48">
        <v>2034.3436493018257</v>
      </c>
      <c r="Z48">
        <v>1290.6814802111974</v>
      </c>
      <c r="AA48" t="s">
        <v>110</v>
      </c>
      <c r="AB48">
        <v>15</v>
      </c>
      <c r="AC48" s="25">
        <f t="shared" si="13"/>
        <v>21394.565852469786</v>
      </c>
      <c r="AD48" s="24">
        <f t="shared" si="14"/>
        <v>1426.3043901646524</v>
      </c>
    </row>
    <row r="49" spans="2:30" x14ac:dyDescent="0.2">
      <c r="B49" t="s">
        <v>100</v>
      </c>
      <c r="C49" s="30">
        <v>4237.1454902983915</v>
      </c>
      <c r="D49">
        <v>20</v>
      </c>
      <c r="E49" s="24">
        <f t="shared" si="27"/>
        <v>211.85727451491957</v>
      </c>
      <c r="H49" t="s">
        <v>100</v>
      </c>
      <c r="I49">
        <v>4712.483193152797</v>
      </c>
      <c r="J49">
        <v>20</v>
      </c>
      <c r="K49" s="24">
        <f t="shared" si="15"/>
        <v>235.62415965763984</v>
      </c>
      <c r="N49" t="s">
        <v>100</v>
      </c>
      <c r="O49">
        <v>1647.164795144653</v>
      </c>
      <c r="P49">
        <v>20</v>
      </c>
      <c r="Q49" s="24">
        <f t="shared" si="11"/>
        <v>82.358239757232653</v>
      </c>
      <c r="T49" t="s">
        <v>100</v>
      </c>
      <c r="U49">
        <v>6992.0058103380343</v>
      </c>
      <c r="V49">
        <v>20</v>
      </c>
      <c r="W49" s="24">
        <f t="shared" si="12"/>
        <v>349.60029051690174</v>
      </c>
      <c r="Y49">
        <v>2034.3436493018257</v>
      </c>
      <c r="Z49">
        <v>1290.6814802111974</v>
      </c>
      <c r="AA49" t="s">
        <v>110</v>
      </c>
      <c r="AB49">
        <v>20</v>
      </c>
      <c r="AC49" s="25">
        <f t="shared" si="13"/>
        <v>27847.973253525775</v>
      </c>
      <c r="AD49" s="24">
        <f t="shared" si="14"/>
        <v>1392.3986626762887</v>
      </c>
    </row>
    <row r="50" spans="2:30" x14ac:dyDescent="0.2">
      <c r="B50" t="s">
        <v>100</v>
      </c>
      <c r="C50" s="30">
        <v>4237.1454902983915</v>
      </c>
      <c r="D50">
        <v>30</v>
      </c>
      <c r="E50" s="24">
        <f t="shared" si="27"/>
        <v>141.23818300994637</v>
      </c>
      <c r="H50" t="s">
        <v>100</v>
      </c>
      <c r="I50">
        <v>4712.483193152797</v>
      </c>
      <c r="J50">
        <v>30</v>
      </c>
      <c r="K50" s="24">
        <f t="shared" si="15"/>
        <v>157.08277310509322</v>
      </c>
      <c r="N50" t="s">
        <v>100</v>
      </c>
      <c r="O50">
        <v>1647.164795144653</v>
      </c>
      <c r="P50">
        <v>30</v>
      </c>
      <c r="Q50" s="24">
        <f t="shared" si="11"/>
        <v>54.90549317148843</v>
      </c>
      <c r="T50" t="s">
        <v>100</v>
      </c>
      <c r="U50">
        <v>6992.0058103380343</v>
      </c>
      <c r="V50">
        <v>30</v>
      </c>
      <c r="W50" s="24">
        <f t="shared" si="12"/>
        <v>233.06686034460114</v>
      </c>
      <c r="Y50">
        <v>2034.3436493018257</v>
      </c>
      <c r="Z50">
        <v>1290.6814802111974</v>
      </c>
      <c r="AA50" t="s">
        <v>110</v>
      </c>
      <c r="AB50">
        <v>30</v>
      </c>
      <c r="AC50" s="25">
        <f t="shared" si="13"/>
        <v>40754.788055637742</v>
      </c>
      <c r="AD50" s="24">
        <f t="shared" si="14"/>
        <v>1358.4929351879248</v>
      </c>
    </row>
    <row r="51" spans="2:30" x14ac:dyDescent="0.2">
      <c r="B51" t="s">
        <v>106</v>
      </c>
      <c r="C51" s="30">
        <v>4237.1454902983915</v>
      </c>
      <c r="D51">
        <v>5</v>
      </c>
      <c r="E51" s="24">
        <f t="shared" si="27"/>
        <v>847.42909805967827</v>
      </c>
      <c r="H51" t="s">
        <v>106</v>
      </c>
      <c r="I51">
        <v>5316.5289639867269</v>
      </c>
      <c r="J51">
        <v>5</v>
      </c>
      <c r="K51" s="24">
        <f t="shared" si="15"/>
        <v>1063.3057927973455</v>
      </c>
      <c r="N51" t="s">
        <v>106</v>
      </c>
      <c r="O51">
        <v>1762.5575314414477</v>
      </c>
      <c r="P51">
        <v>5</v>
      </c>
      <c r="Q51" s="24">
        <f t="shared" si="11"/>
        <v>352.51150628828952</v>
      </c>
      <c r="T51" t="s">
        <v>106</v>
      </c>
      <c r="U51">
        <v>7183.8347394133816</v>
      </c>
      <c r="V51">
        <v>5</v>
      </c>
      <c r="W51" s="24">
        <f t="shared" si="12"/>
        <v>1436.7669478826763</v>
      </c>
      <c r="Y51">
        <v>2034.3436493018257</v>
      </c>
      <c r="Z51">
        <v>1352.4320254750676</v>
      </c>
      <c r="AA51" t="s">
        <v>112</v>
      </c>
      <c r="AB51">
        <v>5</v>
      </c>
      <c r="AC51" s="25">
        <f t="shared" si="13"/>
        <v>8796.5037766771638</v>
      </c>
      <c r="AD51" s="24">
        <f t="shared" si="14"/>
        <v>1759.3007553354328</v>
      </c>
    </row>
    <row r="52" spans="2:30" x14ac:dyDescent="0.2">
      <c r="B52" t="s">
        <v>106</v>
      </c>
      <c r="C52" s="30">
        <v>4237.1454902983915</v>
      </c>
      <c r="D52">
        <v>10</v>
      </c>
      <c r="E52" s="24">
        <f t="shared" si="27"/>
        <v>423.71454902983913</v>
      </c>
      <c r="H52" t="s">
        <v>106</v>
      </c>
      <c r="I52">
        <v>5316.5289639867269</v>
      </c>
      <c r="J52">
        <v>10</v>
      </c>
      <c r="K52" s="24">
        <f t="shared" si="15"/>
        <v>531.65289639867274</v>
      </c>
      <c r="N52" t="s">
        <v>106</v>
      </c>
      <c r="O52">
        <v>1762.5575314414477</v>
      </c>
      <c r="P52">
        <v>10</v>
      </c>
      <c r="Q52" s="24">
        <f t="shared" si="11"/>
        <v>176.25575314414476</v>
      </c>
      <c r="T52" t="s">
        <v>106</v>
      </c>
      <c r="U52">
        <v>7183.8347394133816</v>
      </c>
      <c r="V52">
        <v>10</v>
      </c>
      <c r="W52" s="24">
        <f t="shared" si="12"/>
        <v>718.38347394133814</v>
      </c>
      <c r="Y52">
        <v>2034.3436493018257</v>
      </c>
      <c r="Z52">
        <v>1352.4320254750676</v>
      </c>
      <c r="AA52" t="s">
        <v>112</v>
      </c>
      <c r="AB52">
        <v>10</v>
      </c>
      <c r="AC52" s="25">
        <f t="shared" si="13"/>
        <v>15558.663904052501</v>
      </c>
      <c r="AD52" s="24">
        <f t="shared" si="14"/>
        <v>1555.8663904052501</v>
      </c>
    </row>
    <row r="53" spans="2:30" x14ac:dyDescent="0.2">
      <c r="B53" t="s">
        <v>106</v>
      </c>
      <c r="C53" s="30">
        <v>4237.1454902983915</v>
      </c>
      <c r="D53">
        <v>12</v>
      </c>
      <c r="E53" s="24">
        <f t="shared" si="27"/>
        <v>353.09545752486594</v>
      </c>
      <c r="H53" t="s">
        <v>106</v>
      </c>
      <c r="I53">
        <v>5316.5289639867269</v>
      </c>
      <c r="J53">
        <v>12</v>
      </c>
      <c r="K53" s="24">
        <f t="shared" si="15"/>
        <v>443.04408033222722</v>
      </c>
      <c r="N53" t="s">
        <v>106</v>
      </c>
      <c r="O53">
        <v>1762.5575314414477</v>
      </c>
      <c r="P53">
        <v>12</v>
      </c>
      <c r="Q53" s="24">
        <f t="shared" si="11"/>
        <v>146.8797942867873</v>
      </c>
      <c r="T53" t="s">
        <v>106</v>
      </c>
      <c r="U53">
        <v>7183.8347394133816</v>
      </c>
      <c r="V53">
        <v>12</v>
      </c>
      <c r="W53" s="24">
        <f t="shared" si="12"/>
        <v>598.65289495111517</v>
      </c>
      <c r="Y53">
        <v>2034.3436493018257</v>
      </c>
      <c r="Z53">
        <v>1352.4320254750676</v>
      </c>
      <c r="AA53" t="s">
        <v>112</v>
      </c>
      <c r="AB53">
        <v>12</v>
      </c>
      <c r="AC53" s="25">
        <f t="shared" si="13"/>
        <v>18263.527955002639</v>
      </c>
      <c r="AD53" s="24">
        <f t="shared" si="14"/>
        <v>1521.9606629168866</v>
      </c>
    </row>
    <row r="54" spans="2:30" x14ac:dyDescent="0.2">
      <c r="B54" t="s">
        <v>106</v>
      </c>
      <c r="C54" s="30">
        <v>4237.1454902983915</v>
      </c>
      <c r="D54">
        <v>15</v>
      </c>
      <c r="E54" s="24">
        <f t="shared" si="27"/>
        <v>282.47636601989274</v>
      </c>
      <c r="H54" t="s">
        <v>106</v>
      </c>
      <c r="I54">
        <v>5316.5289639867269</v>
      </c>
      <c r="J54">
        <v>15</v>
      </c>
      <c r="K54" s="24">
        <f t="shared" si="15"/>
        <v>354.43526426578177</v>
      </c>
      <c r="N54" t="s">
        <v>106</v>
      </c>
      <c r="O54">
        <v>1762.5575314414477</v>
      </c>
      <c r="P54">
        <v>15</v>
      </c>
      <c r="Q54" s="24">
        <f t="shared" si="11"/>
        <v>117.50383542942986</v>
      </c>
      <c r="T54" t="s">
        <v>106</v>
      </c>
      <c r="U54">
        <v>7183.8347394133816</v>
      </c>
      <c r="V54">
        <v>15</v>
      </c>
      <c r="W54" s="24">
        <f t="shared" si="12"/>
        <v>478.92231596089209</v>
      </c>
      <c r="Y54">
        <v>2034.3436493018257</v>
      </c>
      <c r="Z54">
        <v>1352.4320254750676</v>
      </c>
      <c r="AA54" t="s">
        <v>112</v>
      </c>
      <c r="AB54">
        <v>15</v>
      </c>
      <c r="AC54" s="25">
        <f t="shared" si="13"/>
        <v>22320.824031427841</v>
      </c>
      <c r="AD54" s="24">
        <f t="shared" si="14"/>
        <v>1488.0549354285226</v>
      </c>
    </row>
    <row r="55" spans="2:30" x14ac:dyDescent="0.2">
      <c r="B55" t="s">
        <v>106</v>
      </c>
      <c r="C55" s="30">
        <v>4237.1454902983915</v>
      </c>
      <c r="D55">
        <v>20</v>
      </c>
      <c r="E55" s="24">
        <f t="shared" si="27"/>
        <v>211.85727451491957</v>
      </c>
      <c r="H55" t="s">
        <v>106</v>
      </c>
      <c r="I55">
        <v>5316.5289639867269</v>
      </c>
      <c r="J55">
        <v>20</v>
      </c>
      <c r="K55" s="24">
        <f t="shared" si="15"/>
        <v>265.82644819933637</v>
      </c>
      <c r="N55" t="s">
        <v>106</v>
      </c>
      <c r="O55">
        <v>1762.5575314414477</v>
      </c>
      <c r="P55">
        <v>20</v>
      </c>
      <c r="Q55" s="24">
        <f t="shared" si="11"/>
        <v>88.127876572072381</v>
      </c>
      <c r="T55" t="s">
        <v>106</v>
      </c>
      <c r="U55">
        <v>7183.8347394133816</v>
      </c>
      <c r="V55">
        <v>20</v>
      </c>
      <c r="W55" s="24">
        <f t="shared" si="12"/>
        <v>359.19173697066907</v>
      </c>
      <c r="Y55">
        <v>2034.3436493018257</v>
      </c>
      <c r="Z55">
        <v>1352.4320254750676</v>
      </c>
      <c r="AA55" t="s">
        <v>112</v>
      </c>
      <c r="AB55">
        <v>20</v>
      </c>
      <c r="AC55" s="25">
        <f t="shared" si="13"/>
        <v>29082.984158803178</v>
      </c>
      <c r="AD55" s="24">
        <f t="shared" si="14"/>
        <v>1454.1492079401589</v>
      </c>
    </row>
    <row r="56" spans="2:30" x14ac:dyDescent="0.2">
      <c r="B56" t="s">
        <v>106</v>
      </c>
      <c r="C56" s="30">
        <v>4237.1454902983915</v>
      </c>
      <c r="D56">
        <v>30</v>
      </c>
      <c r="E56" s="24">
        <f t="shared" si="27"/>
        <v>141.23818300994637</v>
      </c>
      <c r="H56" t="s">
        <v>106</v>
      </c>
      <c r="I56">
        <v>5316.5289639867269</v>
      </c>
      <c r="J56">
        <v>30</v>
      </c>
      <c r="K56" s="24">
        <f t="shared" si="15"/>
        <v>177.21763213289088</v>
      </c>
      <c r="N56" t="s">
        <v>106</v>
      </c>
      <c r="O56">
        <v>1762.5575314414477</v>
      </c>
      <c r="P56">
        <v>30</v>
      </c>
      <c r="Q56" s="24">
        <f t="shared" si="11"/>
        <v>58.751917714714928</v>
      </c>
      <c r="T56" t="s">
        <v>106</v>
      </c>
      <c r="U56">
        <v>7183.8347394133816</v>
      </c>
      <c r="V56">
        <v>30</v>
      </c>
      <c r="W56" s="24">
        <f t="shared" si="12"/>
        <v>239.46115798044605</v>
      </c>
      <c r="Y56">
        <v>2034.3436493018257</v>
      </c>
      <c r="Z56">
        <v>1352.4320254750676</v>
      </c>
      <c r="AA56" t="s">
        <v>112</v>
      </c>
      <c r="AB56">
        <v>30</v>
      </c>
      <c r="AC56" s="25">
        <f t="shared" si="13"/>
        <v>42607.304413553851</v>
      </c>
      <c r="AD56" s="24">
        <f t="shared" si="14"/>
        <v>1420.243480451795</v>
      </c>
    </row>
  </sheetData>
  <mergeCells count="4">
    <mergeCell ref="H1:K1"/>
    <mergeCell ref="N1:Q1"/>
    <mergeCell ref="T1:W1"/>
    <mergeCell ref="AA1:A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20" bestFit="1" customWidth="1"/>
    <col min="2" max="2" width="12.1640625" bestFit="1" customWidth="1"/>
    <col min="3" max="3" width="10.83203125" bestFit="1" customWidth="1"/>
  </cols>
  <sheetData>
    <row r="1" spans="1:3" x14ac:dyDescent="0.2">
      <c r="A1" t="s">
        <v>117</v>
      </c>
      <c r="B1" t="s">
        <v>118</v>
      </c>
      <c r="C1" t="s">
        <v>119</v>
      </c>
    </row>
    <row r="2" spans="1:3" x14ac:dyDescent="0.2">
      <c r="A2" t="s">
        <v>262</v>
      </c>
      <c r="B2" t="s">
        <v>116</v>
      </c>
      <c r="C2">
        <v>312</v>
      </c>
    </row>
    <row r="3" spans="1:3" x14ac:dyDescent="0.2">
      <c r="A3" t="s">
        <v>133</v>
      </c>
      <c r="B3" t="s">
        <v>116</v>
      </c>
      <c r="C3">
        <v>384</v>
      </c>
    </row>
    <row r="4" spans="1:3" x14ac:dyDescent="0.2">
      <c r="A4" t="s">
        <v>263</v>
      </c>
      <c r="B4" t="s">
        <v>116</v>
      </c>
      <c r="C4">
        <v>169</v>
      </c>
    </row>
    <row r="5" spans="1:3" x14ac:dyDescent="0.2">
      <c r="A5" t="s">
        <v>135</v>
      </c>
      <c r="B5" t="s">
        <v>116</v>
      </c>
      <c r="C5">
        <v>364</v>
      </c>
    </row>
    <row r="6" spans="1:3" x14ac:dyDescent="0.2">
      <c r="A6" t="s">
        <v>136</v>
      </c>
      <c r="B6" t="s">
        <v>116</v>
      </c>
      <c r="C6">
        <v>283</v>
      </c>
    </row>
    <row r="7" spans="1:3" x14ac:dyDescent="0.2">
      <c r="A7" t="s">
        <v>264</v>
      </c>
      <c r="B7" t="s">
        <v>116</v>
      </c>
      <c r="C7">
        <v>163</v>
      </c>
    </row>
    <row r="8" spans="1:3" x14ac:dyDescent="0.2">
      <c r="A8" t="s">
        <v>137</v>
      </c>
      <c r="B8" t="s">
        <v>116</v>
      </c>
      <c r="C8">
        <v>371</v>
      </c>
    </row>
    <row r="9" spans="1:3" x14ac:dyDescent="0.2">
      <c r="A9" t="s">
        <v>138</v>
      </c>
      <c r="B9" t="s">
        <v>116</v>
      </c>
      <c r="C9">
        <v>169</v>
      </c>
    </row>
    <row r="10" spans="1:3" x14ac:dyDescent="0.2">
      <c r="A10" t="s">
        <v>139</v>
      </c>
      <c r="B10" t="s">
        <v>116</v>
      </c>
      <c r="C10">
        <v>102</v>
      </c>
    </row>
    <row r="11" spans="1:3" x14ac:dyDescent="0.2">
      <c r="A11" t="s">
        <v>265</v>
      </c>
      <c r="B11" t="s">
        <v>116</v>
      </c>
      <c r="C11">
        <v>393</v>
      </c>
    </row>
    <row r="12" spans="1:3" x14ac:dyDescent="0.2">
      <c r="A12" t="s">
        <v>77</v>
      </c>
      <c r="B12" t="s">
        <v>116</v>
      </c>
      <c r="C12">
        <f>SUM(C2:C11)</f>
        <v>2710</v>
      </c>
    </row>
    <row r="13" spans="1:3" x14ac:dyDescent="0.2">
      <c r="A13" t="s">
        <v>120</v>
      </c>
      <c r="B13" t="s">
        <v>116</v>
      </c>
      <c r="C13">
        <f>AVERAGE(C2:C11)</f>
        <v>271</v>
      </c>
    </row>
    <row r="14" spans="1:3" x14ac:dyDescent="0.2">
      <c r="A14" t="s">
        <v>121</v>
      </c>
      <c r="B14" t="s">
        <v>116</v>
      </c>
      <c r="C14">
        <f>STDEV(C2:C11)</f>
        <v>110.13123484683575</v>
      </c>
    </row>
    <row r="15" spans="1:3" x14ac:dyDescent="0.2">
      <c r="A15" t="s">
        <v>122</v>
      </c>
      <c r="B15" t="s">
        <v>116</v>
      </c>
      <c r="C15">
        <f>C13+(C14*2.22814)</f>
        <v>516.38780961162865</v>
      </c>
    </row>
    <row r="16" spans="1:3" x14ac:dyDescent="0.2">
      <c r="A16" t="s">
        <v>123</v>
      </c>
      <c r="B16" t="s">
        <v>116</v>
      </c>
      <c r="C16">
        <f>C13-(C14*2.22814)</f>
        <v>25.612190388371403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Maintenance</vt:lpstr>
      <vt:lpstr>Sensitivity Analysis</vt:lpstr>
      <vt:lpstr>Sheet2</vt:lpstr>
      <vt:lpstr>Service Volume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ATucker</dc:creator>
  <cp:lastModifiedBy>Ryan Thompson</cp:lastModifiedBy>
  <dcterms:created xsi:type="dcterms:W3CDTF">2018-11-16T13:55:06Z</dcterms:created>
  <dcterms:modified xsi:type="dcterms:W3CDTF">2022-11-07T17:26:29Z</dcterms:modified>
</cp:coreProperties>
</file>