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TylerBuccigrossi\Desktop\"/>
    </mc:Choice>
  </mc:AlternateContent>
  <xr:revisionPtr revIDLastSave="0" documentId="13_ncr:1_{C2873DB2-5A81-4EDF-9DEC-BFCC4185F819}" xr6:coauthVersionLast="47" xr6:coauthVersionMax="47" xr10:uidLastSave="{00000000-0000-0000-0000-000000000000}"/>
  <bookViews>
    <workbookView xWindow="30570" yWindow="1305" windowWidth="26625" windowHeight="13755" xr2:uid="{00000000-000D-0000-FFFF-FFFF00000000}"/>
  </bookViews>
  <sheets>
    <sheet name="Takeaways Pipeline" sheetId="1" r:id="rId1"/>
    <sheet name="Conference Call Tracker" sheetId="2" r:id="rId2"/>
    <sheet name="Shared Values" sheetId="3" state="hidden" r:id="rId3"/>
    <sheet name="Published Replays" sheetId="4" state="hidden" r:id="rId4"/>
    <sheet name="Calls without notes" sheetId="5" state="hidden" r:id="rId5"/>
  </sheets>
  <definedNames>
    <definedName name="_xlnm._FilterDatabase" localSheetId="4" hidden="1">'Calls without notes'!$A$1:$D$348</definedName>
    <definedName name="_xlnm._FilterDatabase" localSheetId="3" hidden="1">'Published Replays'!$A$1:$E$411</definedName>
    <definedName name="_xlnm._FilterDatabase" localSheetId="2" hidden="1">'Shared Values'!$A$1:$B$279</definedName>
    <definedName name="_xlnm._FilterDatabase" localSheetId="0" hidden="1">'Takeaways Pipeline'!$A$1:$D$275</definedName>
    <definedName name="Z_2F0FEB54_CCB0_4A5E_A762_77F91D362100_.wvu.FilterData" localSheetId="0" hidden="1">'Takeaways Pipeline'!$A$1:$D$275</definedName>
  </definedNames>
  <calcPr calcId="191029"/>
  <customWorkbookViews>
    <customWorkbookView name="Grouping by Stage" guid="{2F0FEB54-CCB0-4A5E-A762-77F91D362100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24" i="4" l="1"/>
  <c r="B324" i="4" s="1"/>
  <c r="A323" i="4"/>
  <c r="B323" i="4" s="1"/>
  <c r="A322" i="4"/>
  <c r="B322" i="4" s="1"/>
  <c r="A321" i="4"/>
  <c r="B321" i="4" s="1"/>
  <c r="A320" i="4"/>
  <c r="B320" i="4" s="1"/>
  <c r="A319" i="4"/>
  <c r="B319" i="4" s="1"/>
  <c r="A318" i="4"/>
  <c r="B318" i="4" s="1"/>
  <c r="A317" i="4"/>
  <c r="B317" i="4" s="1"/>
  <c r="A316" i="4"/>
  <c r="B316" i="4" s="1"/>
  <c r="A315" i="4"/>
  <c r="B315" i="4" s="1"/>
  <c r="A314" i="4"/>
  <c r="B314" i="4" s="1"/>
  <c r="A313" i="4"/>
  <c r="B313" i="4" s="1"/>
  <c r="A312" i="4"/>
  <c r="B312" i="4" s="1"/>
  <c r="A311" i="4"/>
  <c r="B311" i="4" s="1"/>
  <c r="A310" i="4"/>
  <c r="B310" i="4" s="1"/>
  <c r="A309" i="4"/>
  <c r="B309" i="4" s="1"/>
  <c r="A308" i="4"/>
  <c r="B308" i="4" s="1"/>
  <c r="A307" i="4"/>
  <c r="B307" i="4" s="1"/>
  <c r="A306" i="4"/>
  <c r="B306" i="4" s="1"/>
  <c r="A305" i="4"/>
  <c r="B305" i="4" s="1"/>
  <c r="A304" i="4"/>
  <c r="B304" i="4" s="1"/>
  <c r="A303" i="4"/>
  <c r="B303" i="4" s="1"/>
  <c r="B302" i="4"/>
  <c r="A302" i="4"/>
  <c r="A301" i="4"/>
  <c r="B301" i="4" s="1"/>
  <c r="A300" i="4"/>
  <c r="B300" i="4" s="1"/>
  <c r="A299" i="4"/>
  <c r="B299" i="4" s="1"/>
  <c r="A298" i="4"/>
  <c r="B298" i="4" s="1"/>
  <c r="A297" i="4"/>
  <c r="B297" i="4" s="1"/>
  <c r="B296" i="4"/>
  <c r="A296" i="4"/>
  <c r="A295" i="4"/>
  <c r="B295" i="4" s="1"/>
  <c r="A294" i="4"/>
  <c r="B294" i="4" s="1"/>
  <c r="A293" i="4"/>
  <c r="B293" i="4" s="1"/>
  <c r="A292" i="4"/>
  <c r="B292" i="4" s="1"/>
  <c r="A291" i="4"/>
  <c r="B291" i="4" s="1"/>
  <c r="A290" i="4"/>
  <c r="B290" i="4" s="1"/>
  <c r="A289" i="4"/>
  <c r="B289" i="4" s="1"/>
  <c r="A288" i="4"/>
  <c r="B288" i="4" s="1"/>
  <c r="A287" i="4"/>
  <c r="B287" i="4" s="1"/>
  <c r="A286" i="4"/>
  <c r="B286" i="4" s="1"/>
  <c r="A285" i="4"/>
  <c r="B285" i="4" s="1"/>
  <c r="A284" i="4"/>
  <c r="B284" i="4" s="1"/>
  <c r="A283" i="4"/>
  <c r="B283" i="4" s="1"/>
  <c r="A282" i="4"/>
  <c r="B282" i="4" s="1"/>
  <c r="A281" i="4"/>
  <c r="B281" i="4" s="1"/>
  <c r="A280" i="4"/>
  <c r="B280" i="4" s="1"/>
  <c r="A279" i="4"/>
  <c r="B279" i="4" s="1"/>
  <c r="B278" i="4"/>
  <c r="A278" i="4"/>
  <c r="A277" i="4"/>
  <c r="B277" i="4" s="1"/>
  <c r="A276" i="4"/>
  <c r="B276" i="4" s="1"/>
  <c r="A275" i="4"/>
  <c r="B275" i="4" s="1"/>
  <c r="A274" i="4"/>
  <c r="B274" i="4" s="1"/>
  <c r="A273" i="4"/>
  <c r="B273" i="4" s="1"/>
  <c r="A272" i="4"/>
  <c r="B272" i="4" s="1"/>
  <c r="A271" i="4"/>
  <c r="B271" i="4" s="1"/>
  <c r="A270" i="4"/>
  <c r="B270" i="4" s="1"/>
  <c r="A269" i="4"/>
  <c r="B269" i="4" s="1"/>
  <c r="A268" i="4"/>
  <c r="B268" i="4" s="1"/>
  <c r="A267" i="4"/>
  <c r="B267" i="4" s="1"/>
  <c r="A266" i="4"/>
  <c r="B266" i="4" s="1"/>
  <c r="A265" i="4"/>
  <c r="B265" i="4" s="1"/>
  <c r="A264" i="4"/>
  <c r="B264" i="4" s="1"/>
  <c r="A263" i="4"/>
  <c r="B263" i="4" s="1"/>
  <c r="A262" i="4"/>
  <c r="B262" i="4" s="1"/>
  <c r="A261" i="4"/>
  <c r="B261" i="4" s="1"/>
  <c r="A260" i="4"/>
  <c r="B260" i="4" s="1"/>
  <c r="A259" i="4"/>
  <c r="B259" i="4" s="1"/>
  <c r="A258" i="4"/>
  <c r="B258" i="4" s="1"/>
  <c r="A257" i="4"/>
  <c r="B257" i="4" s="1"/>
  <c r="A256" i="4"/>
  <c r="B256" i="4" s="1"/>
  <c r="A255" i="4"/>
  <c r="B255" i="4" s="1"/>
  <c r="A254" i="4"/>
  <c r="B254" i="4" s="1"/>
  <c r="A253" i="4"/>
  <c r="B253" i="4" s="1"/>
  <c r="A252" i="4"/>
  <c r="B252" i="4" s="1"/>
  <c r="A251" i="4"/>
  <c r="B251" i="4" s="1"/>
  <c r="A250" i="4"/>
  <c r="B250" i="4" s="1"/>
  <c r="A249" i="4"/>
  <c r="B249" i="4" s="1"/>
  <c r="B248" i="4"/>
  <c r="A248" i="4"/>
  <c r="A247" i="4"/>
  <c r="B247" i="4" s="1"/>
  <c r="A246" i="4"/>
  <c r="B246" i="4" s="1"/>
  <c r="A245" i="4"/>
  <c r="B245" i="4" s="1"/>
  <c r="A244" i="4"/>
  <c r="B244" i="4" s="1"/>
  <c r="A243" i="4"/>
  <c r="B243" i="4" s="1"/>
  <c r="B242" i="4"/>
  <c r="A242" i="4"/>
  <c r="A241" i="4"/>
  <c r="B241" i="4" s="1"/>
  <c r="A240" i="4"/>
  <c r="B240" i="4" s="1"/>
  <c r="A239" i="4"/>
  <c r="B239" i="4" s="1"/>
  <c r="A238" i="4"/>
  <c r="B238" i="4" s="1"/>
  <c r="A237" i="4"/>
  <c r="B237" i="4" s="1"/>
  <c r="A236" i="4"/>
  <c r="B236" i="4" s="1"/>
  <c r="A235" i="4"/>
  <c r="B235" i="4" s="1"/>
  <c r="A234" i="4"/>
  <c r="B234" i="4" s="1"/>
  <c r="A233" i="4"/>
  <c r="B233" i="4" s="1"/>
  <c r="A232" i="4"/>
  <c r="B232" i="4" s="1"/>
  <c r="A231" i="4"/>
  <c r="B231" i="4" s="1"/>
  <c r="B230" i="4"/>
  <c r="A230" i="4"/>
  <c r="A229" i="4"/>
  <c r="B229" i="4" s="1"/>
  <c r="A228" i="4"/>
  <c r="B228" i="4" s="1"/>
  <c r="A227" i="4"/>
  <c r="B227" i="4" s="1"/>
  <c r="A226" i="4"/>
  <c r="B226" i="4" s="1"/>
  <c r="A225" i="4"/>
  <c r="B225" i="4" s="1"/>
  <c r="B224" i="4"/>
  <c r="A224" i="4"/>
  <c r="A223" i="4"/>
  <c r="B223" i="4" s="1"/>
  <c r="A222" i="4"/>
  <c r="B222" i="4" s="1"/>
  <c r="A221" i="4"/>
  <c r="B221" i="4" s="1"/>
  <c r="A220" i="4"/>
  <c r="B220" i="4" s="1"/>
  <c r="A219" i="4"/>
  <c r="B219" i="4" s="1"/>
  <c r="A218" i="4"/>
  <c r="B218" i="4" s="1"/>
  <c r="A217" i="4"/>
  <c r="B217" i="4" s="1"/>
  <c r="A216" i="4"/>
  <c r="B216" i="4" s="1"/>
  <c r="A215" i="4"/>
  <c r="B215" i="4" s="1"/>
  <c r="A214" i="4"/>
  <c r="B214" i="4" s="1"/>
  <c r="A213" i="4"/>
  <c r="B213" i="4" s="1"/>
  <c r="A212" i="4"/>
  <c r="B212" i="4" s="1"/>
  <c r="A211" i="4"/>
  <c r="B211" i="4" s="1"/>
  <c r="A210" i="4"/>
  <c r="B210" i="4" s="1"/>
  <c r="A209" i="4"/>
  <c r="B209" i="4" s="1"/>
  <c r="A208" i="4"/>
  <c r="B208" i="4" s="1"/>
  <c r="A207" i="4"/>
  <c r="B207" i="4" s="1"/>
  <c r="B206" i="4"/>
  <c r="A206" i="4"/>
  <c r="A205" i="4"/>
  <c r="B205" i="4" s="1"/>
  <c r="A204" i="4"/>
  <c r="B204" i="4" s="1"/>
  <c r="A203" i="4"/>
  <c r="B203" i="4" s="1"/>
  <c r="A202" i="4"/>
  <c r="B202" i="4" s="1"/>
  <c r="A201" i="4"/>
  <c r="B201" i="4" s="1"/>
  <c r="A200" i="4"/>
  <c r="B200" i="4" s="1"/>
  <c r="A199" i="4"/>
  <c r="B199" i="4" s="1"/>
  <c r="A198" i="4"/>
  <c r="B198" i="4" s="1"/>
  <c r="A197" i="4"/>
  <c r="B197" i="4" s="1"/>
  <c r="A196" i="4"/>
  <c r="B196" i="4" s="1"/>
  <c r="A195" i="4"/>
  <c r="B195" i="4" s="1"/>
  <c r="A194" i="4"/>
  <c r="B194" i="4" s="1"/>
  <c r="A193" i="4"/>
  <c r="B193" i="4" s="1"/>
  <c r="A192" i="4"/>
  <c r="B192" i="4" s="1"/>
  <c r="A191" i="4"/>
  <c r="B191" i="4" s="1"/>
  <c r="A190" i="4"/>
  <c r="B190" i="4" s="1"/>
  <c r="A189" i="4"/>
  <c r="B189" i="4" s="1"/>
  <c r="A188" i="4"/>
  <c r="B188" i="4" s="1"/>
  <c r="A187" i="4"/>
  <c r="B187" i="4" s="1"/>
  <c r="A186" i="4"/>
  <c r="B186" i="4" s="1"/>
  <c r="A185" i="4"/>
  <c r="B185" i="4" s="1"/>
  <c r="A184" i="4"/>
  <c r="B184" i="4" s="1"/>
  <c r="A183" i="4"/>
  <c r="B183" i="4" s="1"/>
  <c r="A182" i="4"/>
  <c r="B182" i="4" s="1"/>
  <c r="A181" i="4"/>
  <c r="B181" i="4" s="1"/>
  <c r="A180" i="4"/>
  <c r="B180" i="4" s="1"/>
  <c r="A179" i="4"/>
  <c r="B179" i="4" s="1"/>
  <c r="A178" i="4"/>
  <c r="B178" i="4" s="1"/>
  <c r="A177" i="4"/>
  <c r="B177" i="4" s="1"/>
  <c r="B176" i="4"/>
  <c r="A176" i="4"/>
  <c r="A175" i="4"/>
  <c r="B175" i="4" s="1"/>
  <c r="A174" i="4"/>
  <c r="B174" i="4" s="1"/>
  <c r="A173" i="4"/>
  <c r="B173" i="4" s="1"/>
  <c r="A172" i="4"/>
  <c r="B172" i="4" s="1"/>
  <c r="A171" i="4"/>
  <c r="B171" i="4" s="1"/>
  <c r="B170" i="4"/>
  <c r="A170" i="4"/>
  <c r="A169" i="4"/>
  <c r="B169" i="4" s="1"/>
  <c r="A168" i="4"/>
  <c r="B168" i="4" s="1"/>
  <c r="A167" i="4"/>
  <c r="B167" i="4" s="1"/>
  <c r="A166" i="4"/>
  <c r="B166" i="4" s="1"/>
  <c r="A165" i="4"/>
  <c r="B165" i="4" s="1"/>
  <c r="A164" i="4"/>
  <c r="B164" i="4" s="1"/>
  <c r="A163" i="4"/>
  <c r="B163" i="4" s="1"/>
  <c r="A162" i="4"/>
  <c r="B162" i="4" s="1"/>
  <c r="A161" i="4"/>
  <c r="B161" i="4" s="1"/>
  <c r="A160" i="4"/>
  <c r="B160" i="4" s="1"/>
  <c r="A159" i="4"/>
  <c r="B159" i="4" s="1"/>
  <c r="B158" i="4"/>
  <c r="A158" i="4"/>
  <c r="A157" i="4"/>
  <c r="B157" i="4" s="1"/>
  <c r="A156" i="4"/>
  <c r="B156" i="4" s="1"/>
  <c r="A155" i="4"/>
  <c r="B155" i="4" s="1"/>
  <c r="A154" i="4"/>
  <c r="B154" i="4" s="1"/>
  <c r="A153" i="4"/>
  <c r="B153" i="4" s="1"/>
  <c r="B152" i="4"/>
  <c r="A152" i="4"/>
  <c r="A151" i="4"/>
  <c r="B151" i="4" s="1"/>
  <c r="A150" i="4"/>
  <c r="B150" i="4" s="1"/>
  <c r="A149" i="4"/>
  <c r="B149" i="4" s="1"/>
  <c r="A148" i="4"/>
  <c r="B148" i="4" s="1"/>
  <c r="A147" i="4"/>
  <c r="B147" i="4" s="1"/>
  <c r="A146" i="4"/>
  <c r="B146" i="4" s="1"/>
  <c r="A145" i="4"/>
  <c r="B145" i="4" s="1"/>
  <c r="A144" i="4"/>
  <c r="B144" i="4" s="1"/>
  <c r="A143" i="4"/>
  <c r="B143" i="4" s="1"/>
  <c r="A142" i="4"/>
  <c r="B142" i="4" s="1"/>
  <c r="A141" i="4"/>
  <c r="B141" i="4" s="1"/>
  <c r="A140" i="4"/>
  <c r="B140" i="4" s="1"/>
  <c r="A139" i="4"/>
  <c r="B139" i="4" s="1"/>
  <c r="A138" i="4"/>
  <c r="B138" i="4" s="1"/>
  <c r="A137" i="4"/>
  <c r="B137" i="4" s="1"/>
  <c r="A136" i="4"/>
  <c r="B136" i="4" s="1"/>
  <c r="A135" i="4"/>
  <c r="B135" i="4" s="1"/>
  <c r="B134" i="4"/>
  <c r="A134" i="4"/>
  <c r="A133" i="4"/>
  <c r="B133" i="4" s="1"/>
  <c r="A132" i="4"/>
  <c r="B132" i="4" s="1"/>
  <c r="A131" i="4"/>
  <c r="B131" i="4" s="1"/>
  <c r="A130" i="4"/>
  <c r="B130" i="4" s="1"/>
  <c r="A129" i="4"/>
  <c r="B129" i="4" s="1"/>
  <c r="A128" i="4"/>
  <c r="B128" i="4" s="1"/>
  <c r="A127" i="4"/>
  <c r="B127" i="4" s="1"/>
  <c r="A126" i="4"/>
  <c r="B126" i="4" s="1"/>
  <c r="A125" i="4"/>
  <c r="B125" i="4" s="1"/>
  <c r="A124" i="4"/>
  <c r="B124" i="4" s="1"/>
  <c r="A123" i="4"/>
  <c r="B123" i="4" s="1"/>
  <c r="A122" i="4"/>
  <c r="B122" i="4" s="1"/>
  <c r="A121" i="4"/>
  <c r="B121" i="4" s="1"/>
  <c r="A120" i="4"/>
  <c r="B120" i="4" s="1"/>
  <c r="A119" i="4"/>
  <c r="B119" i="4" s="1"/>
  <c r="A118" i="4"/>
  <c r="B118" i="4" s="1"/>
  <c r="A117" i="4"/>
  <c r="B117" i="4" s="1"/>
  <c r="A116" i="4"/>
  <c r="B116" i="4" s="1"/>
  <c r="A115" i="4"/>
  <c r="B115" i="4" s="1"/>
  <c r="A114" i="4"/>
  <c r="B114" i="4" s="1"/>
  <c r="A113" i="4"/>
  <c r="B113" i="4" s="1"/>
  <c r="A112" i="4"/>
  <c r="B112" i="4" s="1"/>
  <c r="A111" i="4"/>
  <c r="B111" i="4" s="1"/>
  <c r="A110" i="4"/>
  <c r="B110" i="4" s="1"/>
  <c r="A109" i="4"/>
  <c r="B109" i="4" s="1"/>
  <c r="A108" i="4"/>
  <c r="B108" i="4" s="1"/>
  <c r="A107" i="4"/>
  <c r="B107" i="4" s="1"/>
  <c r="A106" i="4"/>
  <c r="B106" i="4" s="1"/>
  <c r="A105" i="4"/>
  <c r="B105" i="4" s="1"/>
  <c r="B104" i="4"/>
  <c r="A104" i="4"/>
  <c r="A103" i="4"/>
  <c r="B103" i="4" s="1"/>
  <c r="A102" i="4"/>
  <c r="B102" i="4" s="1"/>
  <c r="A101" i="4"/>
  <c r="B101" i="4" s="1"/>
  <c r="A100" i="4"/>
  <c r="B100" i="4" s="1"/>
  <c r="A99" i="4"/>
  <c r="B99" i="4" s="1"/>
  <c r="B98" i="4"/>
  <c r="A98" i="4"/>
  <c r="A97" i="4"/>
  <c r="B97" i="4" s="1"/>
  <c r="A96" i="4"/>
  <c r="B96" i="4" s="1"/>
  <c r="A95" i="4"/>
  <c r="B95" i="4" s="1"/>
  <c r="A94" i="4"/>
  <c r="B94" i="4" s="1"/>
  <c r="A93" i="4"/>
  <c r="B93" i="4" s="1"/>
  <c r="A92" i="4"/>
  <c r="B92" i="4" s="1"/>
  <c r="A91" i="4"/>
  <c r="B91" i="4" s="1"/>
  <c r="A90" i="4"/>
  <c r="B90" i="4" s="1"/>
  <c r="A89" i="4"/>
  <c r="B89" i="4" s="1"/>
  <c r="A88" i="4"/>
  <c r="B88" i="4" s="1"/>
  <c r="A87" i="4"/>
  <c r="B87" i="4" s="1"/>
  <c r="B86" i="4"/>
  <c r="A86" i="4"/>
  <c r="A85" i="4"/>
  <c r="B85" i="4" s="1"/>
  <c r="A84" i="4"/>
  <c r="B84" i="4" s="1"/>
  <c r="A83" i="4"/>
  <c r="B83" i="4" s="1"/>
  <c r="A82" i="4"/>
  <c r="B82" i="4" s="1"/>
  <c r="A81" i="4"/>
  <c r="B81" i="4" s="1"/>
  <c r="A80" i="4"/>
  <c r="B80" i="4" s="1"/>
  <c r="A79" i="4"/>
  <c r="B79" i="4" s="1"/>
  <c r="A78" i="4"/>
  <c r="B78" i="4" s="1"/>
  <c r="A77" i="4"/>
  <c r="B77" i="4" s="1"/>
  <c r="A76" i="4"/>
  <c r="B76" i="4" s="1"/>
  <c r="A75" i="4"/>
  <c r="B75" i="4" s="1"/>
  <c r="A74" i="4"/>
  <c r="B74" i="4" s="1"/>
  <c r="A73" i="4"/>
  <c r="B73" i="4" s="1"/>
  <c r="A72" i="4"/>
  <c r="B72" i="4" s="1"/>
  <c r="A71" i="4"/>
  <c r="B71" i="4" s="1"/>
  <c r="A70" i="4"/>
  <c r="B70" i="4" s="1"/>
  <c r="A69" i="4"/>
  <c r="B69" i="4" s="1"/>
  <c r="A68" i="4"/>
  <c r="B68" i="4" s="1"/>
  <c r="A67" i="4"/>
  <c r="B67" i="4" s="1"/>
  <c r="A66" i="4"/>
  <c r="B66" i="4" s="1"/>
  <c r="A65" i="4"/>
  <c r="B65" i="4" s="1"/>
  <c r="A64" i="4"/>
  <c r="B64" i="4" s="1"/>
  <c r="A63" i="4"/>
  <c r="B63" i="4" s="1"/>
  <c r="B62" i="4"/>
  <c r="A62" i="4"/>
  <c r="A61" i="4"/>
  <c r="B61" i="4" s="1"/>
  <c r="A60" i="4"/>
  <c r="B60" i="4" s="1"/>
  <c r="A59" i="4"/>
  <c r="B59" i="4" s="1"/>
  <c r="A58" i="4"/>
  <c r="B58" i="4" s="1"/>
  <c r="A57" i="4"/>
  <c r="B57" i="4" s="1"/>
  <c r="A56" i="4"/>
  <c r="B56" i="4" s="1"/>
  <c r="A55" i="4"/>
  <c r="B55" i="4" s="1"/>
  <c r="A54" i="4"/>
  <c r="B54" i="4" s="1"/>
  <c r="A53" i="4"/>
  <c r="B53" i="4" s="1"/>
  <c r="A52" i="4"/>
  <c r="B52" i="4" s="1"/>
  <c r="A51" i="4"/>
  <c r="B51" i="4" s="1"/>
  <c r="A50" i="4"/>
  <c r="B50" i="4" s="1"/>
  <c r="A49" i="4"/>
  <c r="B49" i="4" s="1"/>
  <c r="A48" i="4"/>
  <c r="B48" i="4" s="1"/>
  <c r="A47" i="4"/>
  <c r="B47" i="4" s="1"/>
  <c r="A46" i="4"/>
  <c r="B46" i="4" s="1"/>
  <c r="A45" i="4"/>
  <c r="B45" i="4" s="1"/>
  <c r="B44" i="4"/>
  <c r="A44" i="4"/>
  <c r="A43" i="4"/>
  <c r="B43" i="4" s="1"/>
  <c r="A42" i="4"/>
  <c r="B42" i="4" s="1"/>
  <c r="A41" i="4"/>
  <c r="B41" i="4" s="1"/>
  <c r="A40" i="4"/>
  <c r="B40" i="4" s="1"/>
  <c r="A39" i="4"/>
  <c r="B39" i="4" s="1"/>
  <c r="B38" i="4"/>
  <c r="A38" i="4"/>
  <c r="A37" i="4"/>
  <c r="B37" i="4" s="1"/>
  <c r="A36" i="4"/>
  <c r="B36" i="4" s="1"/>
  <c r="A35" i="4"/>
  <c r="B35" i="4" s="1"/>
  <c r="A34" i="4"/>
  <c r="B34" i="4" s="1"/>
  <c r="A33" i="4"/>
  <c r="B33" i="4" s="1"/>
  <c r="A32" i="4"/>
  <c r="B32" i="4" s="1"/>
  <c r="A31" i="4"/>
  <c r="B31" i="4" s="1"/>
  <c r="A30" i="4"/>
  <c r="B30" i="4" s="1"/>
  <c r="A29" i="4"/>
  <c r="B29" i="4" s="1"/>
  <c r="A28" i="4"/>
  <c r="B28" i="4" s="1"/>
  <c r="A27" i="4"/>
  <c r="B27" i="4" s="1"/>
  <c r="B26" i="4"/>
  <c r="A26" i="4"/>
  <c r="A25" i="4"/>
  <c r="B25" i="4" s="1"/>
  <c r="A24" i="4"/>
  <c r="B24" i="4" s="1"/>
  <c r="A23" i="4"/>
  <c r="B23" i="4" s="1"/>
  <c r="A22" i="4"/>
  <c r="B22" i="4" s="1"/>
  <c r="A21" i="4"/>
  <c r="B21" i="4" s="1"/>
  <c r="A20" i="4"/>
  <c r="B20" i="4" s="1"/>
  <c r="A19" i="4"/>
  <c r="B19" i="4" s="1"/>
  <c r="A18" i="4"/>
  <c r="B18" i="4" s="1"/>
  <c r="A17" i="4"/>
  <c r="B17" i="4" s="1"/>
  <c r="A16" i="4"/>
  <c r="B16" i="4" s="1"/>
  <c r="A15" i="4"/>
  <c r="B15" i="4" s="1"/>
  <c r="A14" i="4"/>
  <c r="B14" i="4" s="1"/>
  <c r="A13" i="4"/>
  <c r="B13" i="4" s="1"/>
  <c r="A12" i="4"/>
  <c r="B12" i="4" s="1"/>
  <c r="A11" i="4"/>
  <c r="B11" i="4" s="1"/>
  <c r="A10" i="4"/>
  <c r="B10" i="4" s="1"/>
  <c r="A9" i="4"/>
  <c r="B9" i="4" s="1"/>
  <c r="A8" i="4"/>
  <c r="B8" i="4" s="1"/>
  <c r="A7" i="4"/>
  <c r="B7" i="4" s="1"/>
  <c r="A6" i="4"/>
  <c r="B6" i="4" s="1"/>
  <c r="A5" i="4"/>
  <c r="B5" i="4" s="1"/>
  <c r="A4" i="4"/>
  <c r="B4" i="4" s="1"/>
  <c r="A3" i="4"/>
  <c r="B3" i="4" s="1"/>
  <c r="A2" i="4"/>
  <c r="B2" i="4" s="1"/>
  <c r="A279" i="3"/>
  <c r="A278" i="3"/>
  <c r="A277" i="3"/>
  <c r="A276" i="3"/>
  <c r="A275" i="3"/>
  <c r="A274" i="3"/>
  <c r="A273" i="3"/>
  <c r="A272" i="3"/>
  <c r="A271" i="3"/>
  <c r="A270" i="3"/>
  <c r="A269" i="3"/>
  <c r="A268" i="3"/>
  <c r="A267" i="3"/>
  <c r="A266" i="3"/>
  <c r="A265" i="3"/>
  <c r="B264" i="3"/>
  <c r="A264" i="3"/>
  <c r="B263" i="3"/>
  <c r="A263" i="3"/>
  <c r="B262" i="3"/>
  <c r="A262" i="3"/>
  <c r="B261" i="3"/>
  <c r="A261" i="3"/>
  <c r="B260" i="3"/>
  <c r="A260" i="3"/>
  <c r="B259" i="3"/>
  <c r="A259" i="3"/>
  <c r="B258" i="3"/>
  <c r="A258" i="3"/>
  <c r="B257" i="3"/>
  <c r="A257" i="3"/>
  <c r="B256" i="3"/>
  <c r="A256" i="3"/>
  <c r="B255" i="3"/>
  <c r="A255" i="3"/>
  <c r="B254" i="3"/>
  <c r="A254" i="3"/>
  <c r="B253" i="3"/>
  <c r="A253" i="3"/>
  <c r="B252" i="3"/>
  <c r="A252" i="3"/>
  <c r="B251" i="3"/>
  <c r="A251" i="3"/>
  <c r="B250" i="3"/>
  <c r="A250" i="3"/>
  <c r="B249" i="3"/>
  <c r="A249" i="3"/>
  <c r="B248" i="3"/>
  <c r="A248" i="3"/>
  <c r="B247" i="3"/>
  <c r="A247" i="3"/>
  <c r="B246" i="3"/>
  <c r="A246" i="3"/>
  <c r="B245" i="3"/>
  <c r="A245" i="3"/>
  <c r="B244" i="3"/>
  <c r="A244" i="3"/>
  <c r="B243" i="3"/>
  <c r="A243" i="3"/>
  <c r="B242" i="3"/>
  <c r="A242" i="3"/>
  <c r="B241" i="3"/>
  <c r="A241" i="3"/>
  <c r="B240" i="3"/>
  <c r="A240" i="3"/>
  <c r="B239" i="3"/>
  <c r="A239" i="3"/>
  <c r="B238" i="3"/>
  <c r="A238" i="3"/>
  <c r="B237" i="3"/>
  <c r="A237" i="3"/>
  <c r="B236" i="3"/>
  <c r="A236" i="3"/>
  <c r="B235" i="3"/>
  <c r="A235" i="3"/>
  <c r="B234" i="3"/>
  <c r="A234" i="3"/>
  <c r="B233" i="3"/>
  <c r="A233" i="3"/>
  <c r="B232" i="3"/>
  <c r="A232" i="3"/>
  <c r="B231" i="3"/>
  <c r="A231" i="3"/>
  <c r="B230" i="3"/>
  <c r="A230" i="3"/>
  <c r="B229" i="3"/>
  <c r="A229" i="3"/>
  <c r="B228" i="3"/>
  <c r="A228" i="3"/>
  <c r="B227" i="3"/>
  <c r="A227" i="3"/>
  <c r="B226" i="3"/>
  <c r="A226" i="3"/>
  <c r="B225" i="3"/>
  <c r="A225" i="3"/>
  <c r="B224" i="3"/>
  <c r="A224" i="3"/>
  <c r="B223" i="3"/>
  <c r="A223" i="3"/>
  <c r="B222" i="3"/>
  <c r="A222" i="3"/>
  <c r="B221" i="3"/>
  <c r="A221" i="3"/>
  <c r="B220" i="3"/>
  <c r="A220" i="3"/>
  <c r="B219" i="3"/>
  <c r="A219" i="3"/>
  <c r="B218" i="3"/>
  <c r="A218" i="3"/>
  <c r="B217" i="3"/>
  <c r="A217" i="3"/>
  <c r="B216" i="3"/>
  <c r="A216" i="3"/>
  <c r="B215" i="3"/>
  <c r="A215" i="3"/>
  <c r="B214" i="3"/>
  <c r="A214" i="3"/>
  <c r="B213" i="3"/>
  <c r="A213" i="3"/>
  <c r="B212" i="3"/>
  <c r="A212" i="3"/>
  <c r="B211" i="3"/>
  <c r="A211" i="3"/>
  <c r="B210" i="3"/>
  <c r="A210" i="3"/>
  <c r="B209" i="3"/>
  <c r="A209" i="3"/>
  <c r="B208" i="3"/>
  <c r="A208" i="3"/>
  <c r="B207" i="3"/>
  <c r="A207" i="3"/>
  <c r="B206" i="3"/>
  <c r="A206" i="3"/>
  <c r="B205" i="3"/>
  <c r="A205" i="3"/>
  <c r="B204" i="3"/>
  <c r="A204" i="3"/>
  <c r="B203" i="3"/>
  <c r="A203" i="3"/>
  <c r="B202" i="3"/>
  <c r="A202" i="3"/>
  <c r="B201" i="3"/>
  <c r="A201" i="3"/>
  <c r="B200" i="3"/>
  <c r="A200" i="3"/>
  <c r="B199" i="3"/>
  <c r="A199" i="3"/>
  <c r="B198" i="3"/>
  <c r="A198" i="3"/>
  <c r="B197" i="3"/>
  <c r="A197" i="3"/>
  <c r="B196" i="3"/>
  <c r="A196" i="3"/>
  <c r="B195" i="3"/>
  <c r="A195" i="3"/>
  <c r="B194" i="3"/>
  <c r="A194" i="3"/>
  <c r="B193" i="3"/>
  <c r="A193" i="3"/>
  <c r="B192" i="3"/>
  <c r="A192" i="3"/>
  <c r="B191" i="3"/>
  <c r="A191" i="3"/>
  <c r="B190" i="3"/>
  <c r="A190" i="3"/>
  <c r="B189" i="3"/>
  <c r="A189" i="3"/>
  <c r="B188" i="3"/>
  <c r="A188" i="3"/>
  <c r="B187" i="3"/>
  <c r="A187" i="3"/>
  <c r="B186" i="3"/>
  <c r="A186" i="3"/>
  <c r="B185" i="3"/>
  <c r="A185" i="3"/>
  <c r="B184" i="3"/>
  <c r="A184" i="3"/>
  <c r="B183" i="3"/>
  <c r="A183" i="3"/>
  <c r="B182" i="3"/>
  <c r="A182" i="3"/>
  <c r="B181" i="3"/>
  <c r="A181" i="3"/>
  <c r="B180" i="3"/>
  <c r="A180" i="3"/>
  <c r="B179" i="3"/>
  <c r="A179" i="3"/>
  <c r="B178" i="3"/>
  <c r="A178" i="3"/>
  <c r="B177" i="3"/>
  <c r="A177" i="3"/>
  <c r="B176" i="3"/>
  <c r="A176" i="3"/>
  <c r="B175" i="3"/>
  <c r="A175" i="3"/>
  <c r="B174" i="3"/>
  <c r="A174" i="3"/>
  <c r="B173" i="3"/>
  <c r="A173" i="3"/>
  <c r="B172" i="3"/>
  <c r="A172" i="3"/>
  <c r="B171" i="3"/>
  <c r="A171" i="3"/>
  <c r="B170" i="3"/>
  <c r="A170" i="3"/>
  <c r="B169" i="3"/>
  <c r="A169" i="3"/>
  <c r="B168" i="3"/>
  <c r="A168" i="3"/>
  <c r="B167" i="3"/>
  <c r="A167" i="3"/>
  <c r="B166" i="3"/>
  <c r="A166" i="3"/>
  <c r="B165" i="3"/>
  <c r="A165" i="3"/>
  <c r="B164" i="3"/>
  <c r="A164" i="3"/>
  <c r="B163" i="3"/>
  <c r="A163" i="3"/>
  <c r="B162" i="3"/>
  <c r="A162" i="3"/>
  <c r="B161" i="3"/>
  <c r="A161" i="3"/>
  <c r="B160" i="3"/>
  <c r="A160" i="3"/>
  <c r="B159" i="3"/>
  <c r="A159" i="3"/>
  <c r="B158" i="3"/>
  <c r="A158" i="3"/>
  <c r="B157" i="3"/>
  <c r="A157" i="3"/>
  <c r="B156" i="3"/>
  <c r="A156" i="3"/>
  <c r="B155" i="3"/>
  <c r="A155" i="3"/>
  <c r="B154" i="3"/>
  <c r="A154" i="3"/>
  <c r="B153" i="3"/>
  <c r="A153" i="3"/>
  <c r="B152" i="3"/>
  <c r="A152" i="3"/>
  <c r="B151" i="3"/>
  <c r="A151" i="3"/>
  <c r="B150" i="3"/>
  <c r="A150" i="3"/>
  <c r="B149" i="3"/>
  <c r="A149" i="3"/>
  <c r="B148" i="3"/>
  <c r="A148" i="3"/>
  <c r="B147" i="3"/>
  <c r="A147" i="3"/>
  <c r="B146" i="3"/>
  <c r="A146" i="3"/>
  <c r="B145" i="3"/>
  <c r="A145" i="3"/>
  <c r="B144" i="3"/>
  <c r="A144" i="3"/>
  <c r="B143" i="3"/>
  <c r="A143" i="3"/>
  <c r="B142" i="3"/>
  <c r="A142" i="3"/>
  <c r="B141" i="3"/>
  <c r="A141" i="3"/>
  <c r="B140" i="3"/>
  <c r="A140" i="3"/>
  <c r="B139" i="3"/>
  <c r="A139" i="3"/>
  <c r="B138" i="3"/>
  <c r="A138" i="3"/>
  <c r="B137" i="3"/>
  <c r="A137" i="3"/>
  <c r="B136" i="3"/>
  <c r="A136" i="3"/>
  <c r="B135" i="3"/>
  <c r="A135" i="3"/>
  <c r="B134" i="3"/>
  <c r="A134" i="3"/>
  <c r="B133" i="3"/>
  <c r="A133" i="3"/>
  <c r="B132" i="3"/>
  <c r="A132" i="3"/>
  <c r="B131" i="3"/>
  <c r="A131" i="3"/>
  <c r="B130" i="3"/>
  <c r="A130" i="3"/>
  <c r="B129" i="3"/>
  <c r="A129" i="3"/>
  <c r="B128" i="3"/>
  <c r="A128" i="3"/>
  <c r="B127" i="3"/>
  <c r="A127" i="3"/>
  <c r="B126" i="3"/>
  <c r="A126" i="3"/>
  <c r="B125" i="3"/>
  <c r="A125" i="3"/>
  <c r="B124" i="3"/>
  <c r="A124" i="3"/>
  <c r="B123" i="3"/>
  <c r="A123" i="3"/>
  <c r="B122" i="3"/>
  <c r="A122" i="3"/>
  <c r="B121" i="3"/>
  <c r="A121" i="3"/>
  <c r="B120" i="3"/>
  <c r="A120" i="3"/>
  <c r="B119" i="3"/>
  <c r="A119" i="3"/>
  <c r="B118" i="3"/>
  <c r="A118" i="3"/>
  <c r="B117" i="3"/>
  <c r="A117" i="3"/>
  <c r="B116" i="3"/>
  <c r="A116" i="3"/>
  <c r="B115" i="3"/>
  <c r="A115" i="3"/>
  <c r="B114" i="3"/>
  <c r="A114" i="3"/>
  <c r="B113" i="3"/>
  <c r="A113" i="3"/>
  <c r="B112" i="3"/>
  <c r="A112" i="3"/>
  <c r="B111" i="3"/>
  <c r="A111" i="3"/>
  <c r="B110" i="3"/>
  <c r="A110" i="3"/>
  <c r="B109" i="3"/>
  <c r="A109" i="3"/>
  <c r="B108" i="3"/>
  <c r="A108" i="3"/>
  <c r="B107" i="3"/>
  <c r="A107" i="3"/>
  <c r="B106" i="3"/>
  <c r="A106" i="3"/>
  <c r="B105" i="3"/>
  <c r="A105" i="3"/>
  <c r="B104" i="3"/>
  <c r="A104" i="3"/>
  <c r="B103" i="3"/>
  <c r="A103" i="3"/>
  <c r="B102" i="3"/>
  <c r="A102" i="3"/>
  <c r="B101" i="3"/>
  <c r="A101" i="3"/>
  <c r="B100" i="3"/>
  <c r="A100" i="3"/>
  <c r="B99" i="3"/>
  <c r="A99" i="3"/>
  <c r="B98" i="3"/>
  <c r="A98" i="3"/>
  <c r="B97" i="3"/>
  <c r="A97" i="3"/>
  <c r="B96" i="3"/>
  <c r="A96" i="3"/>
  <c r="B95" i="3"/>
  <c r="A95" i="3"/>
  <c r="B94" i="3"/>
  <c r="A94" i="3"/>
  <c r="B93" i="3"/>
  <c r="A93" i="3"/>
  <c r="B92" i="3"/>
  <c r="A92" i="3"/>
  <c r="B91" i="3"/>
  <c r="A91" i="3"/>
  <c r="B90" i="3"/>
  <c r="A90" i="3"/>
  <c r="B89" i="3"/>
  <c r="A89" i="3"/>
  <c r="B88" i="3"/>
  <c r="A88" i="3"/>
  <c r="B87" i="3"/>
  <c r="A87" i="3"/>
  <c r="B86" i="3"/>
  <c r="A86" i="3"/>
  <c r="B85" i="3"/>
  <c r="A85" i="3"/>
  <c r="B84" i="3"/>
  <c r="A84" i="3"/>
  <c r="B83" i="3"/>
  <c r="A83" i="3"/>
  <c r="B82" i="3"/>
  <c r="A82" i="3"/>
  <c r="B81" i="3"/>
  <c r="A81" i="3"/>
  <c r="B80" i="3"/>
  <c r="A80" i="3"/>
  <c r="B79" i="3"/>
  <c r="A79" i="3"/>
  <c r="B78" i="3"/>
  <c r="A78" i="3"/>
  <c r="B77" i="3"/>
  <c r="A77" i="3"/>
  <c r="B76" i="3"/>
  <c r="A76" i="3"/>
  <c r="B75" i="3"/>
  <c r="A75" i="3"/>
  <c r="B74" i="3"/>
  <c r="A74" i="3"/>
  <c r="B73" i="3"/>
  <c r="A73" i="3"/>
  <c r="B72" i="3"/>
  <c r="A72" i="3"/>
  <c r="B71" i="3"/>
  <c r="A71" i="3"/>
  <c r="B70" i="3"/>
  <c r="A70" i="3"/>
  <c r="B69" i="3"/>
  <c r="A69" i="3"/>
  <c r="B68" i="3"/>
  <c r="A68" i="3"/>
  <c r="B67" i="3"/>
  <c r="A67" i="3"/>
  <c r="B66" i="3"/>
  <c r="A66" i="3"/>
  <c r="B65" i="3"/>
  <c r="A65" i="3"/>
  <c r="B64" i="3"/>
  <c r="A64" i="3"/>
  <c r="B63" i="3"/>
  <c r="A63" i="3"/>
  <c r="B62" i="3"/>
  <c r="A62" i="3"/>
  <c r="B61" i="3"/>
  <c r="A61" i="3"/>
  <c r="B60" i="3"/>
  <c r="A60" i="3"/>
  <c r="B59" i="3"/>
  <c r="A59" i="3"/>
  <c r="B58" i="3"/>
  <c r="A58" i="3"/>
  <c r="B57" i="3"/>
  <c r="A57" i="3"/>
  <c r="B56" i="3"/>
  <c r="A56" i="3"/>
  <c r="B55" i="3"/>
  <c r="A55" i="3"/>
  <c r="B54" i="3"/>
  <c r="A54" i="3"/>
  <c r="B53" i="3"/>
  <c r="A53" i="3"/>
  <c r="B52" i="3"/>
  <c r="A52" i="3"/>
  <c r="B51" i="3"/>
  <c r="A51" i="3"/>
  <c r="B50" i="3"/>
  <c r="A50" i="3"/>
  <c r="B49" i="3"/>
  <c r="A49" i="3"/>
  <c r="B48" i="3"/>
  <c r="A48" i="3"/>
  <c r="B47" i="3"/>
  <c r="A47" i="3"/>
  <c r="B46" i="3"/>
  <c r="A46" i="3"/>
  <c r="B45" i="3"/>
  <c r="A45" i="3"/>
  <c r="B44" i="3"/>
  <c r="A44" i="3"/>
  <c r="B43" i="3"/>
  <c r="A43" i="3"/>
  <c r="B42" i="3"/>
  <c r="A42" i="3"/>
  <c r="B41" i="3"/>
  <c r="A41" i="3"/>
  <c r="B40" i="3"/>
  <c r="A40" i="3"/>
  <c r="B39" i="3"/>
  <c r="A39" i="3"/>
  <c r="B38" i="3"/>
  <c r="A38" i="3"/>
  <c r="B37" i="3"/>
  <c r="A37" i="3"/>
  <c r="B36" i="3"/>
  <c r="A36" i="3"/>
  <c r="B35" i="3"/>
  <c r="A35" i="3"/>
  <c r="B34" i="3"/>
  <c r="A34" i="3"/>
  <c r="B33" i="3"/>
  <c r="A33" i="3"/>
  <c r="B32" i="3"/>
  <c r="A32" i="3"/>
  <c r="B31" i="3"/>
  <c r="A31" i="3"/>
  <c r="B30" i="3"/>
  <c r="A30" i="3"/>
  <c r="B29" i="3"/>
  <c r="A29" i="3"/>
  <c r="B28" i="3"/>
  <c r="A28" i="3"/>
  <c r="B27" i="3"/>
  <c r="A27" i="3"/>
  <c r="B26" i="3"/>
  <c r="A26" i="3"/>
  <c r="B25" i="3"/>
  <c r="A25" i="3"/>
  <c r="B24" i="3"/>
  <c r="A24" i="3"/>
  <c r="B23" i="3"/>
  <c r="A23" i="3"/>
  <c r="B22" i="3"/>
  <c r="A22" i="3"/>
  <c r="B21" i="3"/>
  <c r="A21" i="3"/>
  <c r="B20" i="3"/>
  <c r="A20" i="3"/>
  <c r="B19" i="3"/>
  <c r="A19" i="3"/>
  <c r="B18" i="3"/>
  <c r="A18" i="3"/>
  <c r="B17" i="3"/>
  <c r="A17" i="3"/>
  <c r="B16" i="3"/>
  <c r="A16" i="3"/>
  <c r="B15" i="3"/>
  <c r="A15" i="3"/>
  <c r="B14" i="3"/>
  <c r="A14" i="3"/>
  <c r="B13" i="3"/>
  <c r="A13" i="3"/>
  <c r="B12" i="3"/>
  <c r="A12" i="3"/>
  <c r="B11" i="3"/>
  <c r="A11" i="3"/>
  <c r="B10" i="3"/>
  <c r="A10" i="3"/>
  <c r="B9" i="3"/>
  <c r="A9" i="3"/>
  <c r="B8" i="3"/>
  <c r="A8" i="3"/>
  <c r="B7" i="3"/>
  <c r="A7" i="3"/>
  <c r="B6" i="3"/>
  <c r="A6" i="3"/>
  <c r="B5" i="3"/>
  <c r="A5" i="3"/>
  <c r="B4" i="3"/>
  <c r="A4" i="3"/>
  <c r="B3" i="3"/>
  <c r="A3" i="3"/>
  <c r="B2" i="3"/>
  <c r="A2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3000000}">
      <text>
        <r>
          <rPr>
            <sz val="10"/>
            <color rgb="FF000000"/>
            <rFont val="Arial"/>
            <scheme val="minor"/>
          </rPr>
          <t>Insert rows at the top to add call titles and the date the replay is published as they come up.
Link the Takeaway Google Doc to the corresponding call title.
	-Tyler Buccigrossi</t>
        </r>
      </text>
    </comment>
  </commentList>
</comments>
</file>

<file path=xl/sharedStrings.xml><?xml version="1.0" encoding="utf-8"?>
<sst xmlns="http://schemas.openxmlformats.org/spreadsheetml/2006/main" count="1720" uniqueCount="923">
  <si>
    <t>Call</t>
  </si>
  <si>
    <t>Date</t>
  </si>
  <si>
    <t>Sector</t>
  </si>
  <si>
    <t>Sentiment</t>
  </si>
  <si>
    <t>PPG &amp; SHW: Sugar Coating Q1?</t>
  </si>
  <si>
    <t>Ind/Building Products</t>
  </si>
  <si>
    <t>Neutral</t>
  </si>
  <si>
    <t>Noah Feldman</t>
  </si>
  <si>
    <t>Lumber &amp; Decking in Q1: Tariff Tightroping</t>
  </si>
  <si>
    <t>TL &amp; LTL: Taking Stock of Supply &amp; Demand</t>
  </si>
  <si>
    <t>Ind/Transportation</t>
  </si>
  <si>
    <t>Building Products: Demand, Labor &amp; Tariffs</t>
  </si>
  <si>
    <t>Flooring’s Import Challenges in 2025</t>
  </si>
  <si>
    <t>Consumer</t>
  </si>
  <si>
    <t>Aerospace MROs Dealing with Weaker Tailwinds?</t>
  </si>
  <si>
    <t>Bullish</t>
  </si>
  <si>
    <t>Truck Leasing: Q1'25 Recap &amp; Outlook</t>
  </si>
  <si>
    <t>Tyler Buccigrossi</t>
  </si>
  <si>
    <t>Wayfair, Home Goods and Tariff Costs</t>
  </si>
  <si>
    <t>Bearish</t>
  </si>
  <si>
    <t>Utility Solar: Tariff Bane or Boom?</t>
  </si>
  <si>
    <t>Utilities</t>
  </si>
  <si>
    <t>Weathering 2025: Roofing in Q1</t>
  </si>
  <si>
    <t>Concrete Insights: Q1’25 Recap</t>
  </si>
  <si>
    <t>Foodservice: Prepping for Higher Costs</t>
  </si>
  <si>
    <t>TTD's Inventory &amp; Demand in Q1'25</t>
  </si>
  <si>
    <t>Software</t>
  </si>
  <si>
    <t>Inflection to Bearish</t>
  </si>
  <si>
    <t>TL &amp; LTL: Trucking Through Uncertainty</t>
  </si>
  <si>
    <t>BC: Bracing for Tariff Wave</t>
  </si>
  <si>
    <t>ONON, DECK &amp; NKE: Early 2025 Stumbles</t>
  </si>
  <si>
    <t>Tariff Talk: Shipping Trends Ahead</t>
  </si>
  <si>
    <t>Tequila Tariffs to Kill Demand?</t>
  </si>
  <si>
    <t>Hasbro Looks to Magic for Growth</t>
  </si>
  <si>
    <t>R&amp;R Gets Murkier on Tariff News</t>
  </si>
  <si>
    <t>Ind/Housing</t>
  </si>
  <si>
    <t>ROL, RTO LN: Time to Bug Out?</t>
  </si>
  <si>
    <t>Q1'25 Software Update with $500M IT Integrator</t>
  </si>
  <si>
    <t>Regional Casinos: Was March Madness?</t>
  </si>
  <si>
    <t>Foodservice: Traffic, Tariffs &amp; Trends</t>
  </si>
  <si>
    <t>Q1’25 Grocery: Trade Wars &amp; Trade Down</t>
  </si>
  <si>
    <t>Inflection to Bullish</t>
  </si>
  <si>
    <t>Macau: Trade War Casualty in 2025?</t>
  </si>
  <si>
    <t>ServiceNow: Q1 Subscription &amp; Revenue Trends</t>
  </si>
  <si>
    <t>TEAM: Q1’25 Update</t>
  </si>
  <si>
    <t>Q1’25 Social Ad Spend Shifts</t>
  </si>
  <si>
    <t>Intermodal in 2025: Riding the Tariff Wave</t>
  </si>
  <si>
    <t>Housing Hurdles: Q1 Affordability</t>
  </si>
  <si>
    <t>Q1 2025 Digital Advertising Update</t>
  </si>
  <si>
    <t>Parks &amp; Attractions: PLAYing for Growth in 2025?</t>
  </si>
  <si>
    <t>POOL, LESL Gearing Up for Pool Season</t>
  </si>
  <si>
    <t>Enterprise AI: Apps, Trends &amp; Outlook</t>
  </si>
  <si>
    <t>New &amp; Used Autos Brace for Tariffs</t>
  </si>
  <si>
    <t>Dental Industry: Drilling into 2025 Trends</t>
  </si>
  <si>
    <t>GLP-1s: Competition &amp; Distribution</t>
  </si>
  <si>
    <t>Q1’25 CTV/OTT &amp; Programmatic Ads Demand</t>
  </si>
  <si>
    <t>Cruise Lines: Riding the Wave in 2025?</t>
  </si>
  <si>
    <t>Interview with the CEO of Innovetive Petcare</t>
  </si>
  <si>
    <t>ADSK Q4’25 Interview</t>
  </si>
  <si>
    <t>RV Dealers Q4'24 &amp; 2025 Interview</t>
  </si>
  <si>
    <t>FERG: Demand Filling the Pipes?</t>
  </si>
  <si>
    <t>CALM, VITL: Where are the Eggs</t>
  </si>
  <si>
    <t>Luxury Outerwear Keeping Growth Warm?</t>
  </si>
  <si>
    <t>Diamond Jewelry: Time to Engage?</t>
  </si>
  <si>
    <t>LW’s Q3 Earnings: Salty Results?</t>
  </si>
  <si>
    <t>Jewelry Demand Set to Shine?</t>
  </si>
  <si>
    <t>Bird Flu Driving CALM &amp; VITL Profits</t>
  </si>
  <si>
    <t>PZZA, DPZ Q4’24 &amp; 2025 Interview</t>
  </si>
  <si>
    <t>Cybersecurity Outlook: Game Plan for 2025</t>
  </si>
  <si>
    <t>Salesforce AI Strategy Set to Take Off?</t>
  </si>
  <si>
    <t>Off-Price Retail: Still a Good Deal in 2025?</t>
  </si>
  <si>
    <t>PLNT Getting Swole with Members</t>
  </si>
  <si>
    <t>Tequila: Tariffs &amp; Trends</t>
  </si>
  <si>
    <t>Wayfair Hoping for Home Sales</t>
  </si>
  <si>
    <t>Homebuilders Buying Down Rates?</t>
  </si>
  <si>
    <t>Wayfair &amp; Furniture Retail Q4’24 Update</t>
  </si>
  <si>
    <t>R&amp;R Due for a Rebound?</t>
  </si>
  <si>
    <t>ROL, RTO LN: Working the Bugs Out?</t>
  </si>
  <si>
    <t>Concrete Insights: Q4’24 &amp; 2025 Outlook</t>
  </si>
  <si>
    <t>Grocery Baskets Full in 2025?</t>
  </si>
  <si>
    <t>ZoomInfo Converting Leads in 2025?</t>
  </si>
  <si>
    <t>Retail Performance in Q4- CROX &amp; YETI</t>
  </si>
  <si>
    <t>Hasbro Looking for Magic in 2025</t>
  </si>
  <si>
    <t>Building Products Building for a Better 2025?</t>
  </si>
  <si>
    <t>Parks &amp; Attractions Looking for Visitation</t>
  </si>
  <si>
    <t>AAP, AZO, ORLY: Repairing the Aftermarket in 2025</t>
  </si>
  <si>
    <t>2025 AI Market Landscape with Microsoft Former</t>
  </si>
  <si>
    <t>DRVN, MCW &amp; VVV: Do It For Me, Please</t>
  </si>
  <si>
    <t>Q4 &amp; 2025 Staffing: Filling Seats?</t>
  </si>
  <si>
    <t>US Sneaker Trends: Can Hoka &amp; On Keep Running?</t>
  </si>
  <si>
    <t>DDOG: Q4'24 Review and AI Future</t>
  </si>
  <si>
    <t>Theme Parks: FUN Year Ahead?</t>
  </si>
  <si>
    <t>TPX &amp; 2025 Mattress Demand</t>
  </si>
  <si>
    <t>Lumber &amp; Decking Demand in 2025</t>
  </si>
  <si>
    <t>Atlassian Q4'24 Update</t>
  </si>
  <si>
    <t>MHK &amp; Flooring: Remodeling Strategies in 2025?</t>
  </si>
  <si>
    <t>Raising the Roof in 2025?</t>
  </si>
  <si>
    <t>New &amp; Used Auto Sales in 2025</t>
  </si>
  <si>
    <t>Zillow: Primed for Home Sales?</t>
  </si>
  <si>
    <t>BC: Waiting for the Tide to Turn</t>
  </si>
  <si>
    <t>TTD’s Q4’24 &amp; 2025 CTV Advertising</t>
  </si>
  <si>
    <t>Utility Solar: Power Demand &amp; IRA Uncertainty</t>
  </si>
  <si>
    <t>Residential Solar Looking for a Sunnier 2025</t>
  </si>
  <si>
    <t>Q4'24 Software Update with $500M IT Integrator</t>
  </si>
  <si>
    <t>Truck Leasing, Soft Freight &amp; Changing Regulation</t>
  </si>
  <si>
    <t>Foodservice Distribution: Q4'24 &amp; the Restaurant Outlook</t>
  </si>
  <si>
    <t>Cosmetics: Beautifying 2025?</t>
  </si>
  <si>
    <t>Q2'24 Social Ad Spend Shifts</t>
  </si>
  <si>
    <t>ONON, DECK &amp; NKE: Hitting the Ground Running in 2025</t>
  </si>
  <si>
    <t>ServiceNow: Q4 Review and Outlook</t>
  </si>
  <si>
    <t>ABNB &amp; Vacation Rentals: Q4'24</t>
  </si>
  <si>
    <t>TL &amp; LTL: Loading Up in 2025?</t>
  </si>
  <si>
    <t>Q4'24 &amp; 2025 Beer Distribution Outlook</t>
  </si>
  <si>
    <t>PPG &amp; SHW: Putting on a New Coat?</t>
  </si>
  <si>
    <t>Aerospace MRO Demand Flying in 2025?</t>
  </si>
  <si>
    <t>POOL, LESL: Warmer Waters Ahead?</t>
  </si>
  <si>
    <t>Macau: Roll the Dice on 2025?</t>
  </si>
  <si>
    <t>Q4 2024 Digital Advertising Update</t>
  </si>
  <si>
    <t>Luxury Fashion 2024 Review with CEO of Erdem</t>
  </si>
  <si>
    <t>LW: Simplotting Fry Demand</t>
  </si>
  <si>
    <t>Bird Flu CALMing Down in 2025?</t>
  </si>
  <si>
    <t>2025 Data Center Market Outlook</t>
  </si>
  <si>
    <t>Cruise Lines: Rising Tides Lifts All Boats?</t>
  </si>
  <si>
    <t>LW: Earnings, Price Fixing, &amp; Activist</t>
  </si>
  <si>
    <t>Charting New Shipping Trends</t>
  </si>
  <si>
    <t>DHI, LEN, TOL: Build It &amp; They Will Come?</t>
  </si>
  <si>
    <t>Parks &amp; Attractions: Looking for Loyalty</t>
  </si>
  <si>
    <t>Engagement Rings: 2025 Expected to Sparkle?</t>
  </si>
  <si>
    <t>2025 Luxury Fashion Outlook with Acne Studios</t>
  </si>
  <si>
    <t>Salesforce Gaining Momentum</t>
  </si>
  <si>
    <t>Luxury Fashion Looking to 2025</t>
  </si>
  <si>
    <t>Q3’24 Grocery: Consumer Looking to Cook?</t>
  </si>
  <si>
    <t>Off-Price Retail: Betting on Better Brands</t>
  </si>
  <si>
    <t>Cosmetics Putting on a New Face?</t>
  </si>
  <si>
    <t>Rebuilding R&amp;R Demand</t>
  </si>
  <si>
    <t>ZoomInfo Looking for Sales to Pick Up</t>
  </si>
  <si>
    <t>Bird Flu VITL for Egg Prices?</t>
  </si>
  <si>
    <t>TPX: Laying the Competition to Rest?</t>
  </si>
  <si>
    <t>3Q’24 HUBS, KVYO &amp; Martech Demand</t>
  </si>
  <si>
    <t>PLNT's CEO Getting Brand in Shape?</t>
  </si>
  <si>
    <t>CROX, YETI &amp; Q3 Discretionary Spend</t>
  </si>
  <si>
    <t>Cosmetics: Glow Up for the Holidays?</t>
  </si>
  <si>
    <t>DRVN, MCW, VVV: Servicing Autos in Q3</t>
  </si>
  <si>
    <t>Foodservice Distribution: Looking for Traffic in Q3?</t>
  </si>
  <si>
    <t>Cybersecurity Securing Deals in Q3?</t>
  </si>
  <si>
    <t>TEAM &amp; GTLB: Q3’24 Update</t>
  </si>
  <si>
    <t>Tequila: Take a Shot on Q3?</t>
  </si>
  <si>
    <t>Building Products: Rates Down, Demand Up?</t>
  </si>
  <si>
    <t>Theme Parks in for a Halloween Scare?</t>
  </si>
  <si>
    <t>DHI, LEN, TOL: Laying Foundations in Q3</t>
  </si>
  <si>
    <t>MHK &amp; Flooring: Laying a Base in Q3?</t>
  </si>
  <si>
    <t>Wayfair &amp; Furniture Retail in Q3 2024</t>
  </si>
  <si>
    <t>Regional Casinos &amp; Rate Cut Roulette</t>
  </si>
  <si>
    <t>DDOG: Bits AI Driving Growth?</t>
  </si>
  <si>
    <t>BC: Navigating Rocky Boat Demand</t>
  </si>
  <si>
    <t>TTD's Inventory &amp; Demand in Q3'24</t>
  </si>
  <si>
    <t>ONON, DECK &amp; NKE: Competition in 2H’24 &amp; 2025</t>
  </si>
  <si>
    <t>Residential Solar: Are the Clouds Clearing?</t>
  </si>
  <si>
    <t>Hasbro Stacking the Deck for 2025?</t>
  </si>
  <si>
    <t>Q3 Review and Outlook with ServiceNow Elite Partner</t>
  </si>
  <si>
    <t>Q3'24 Social Ad Spend Shifts</t>
  </si>
  <si>
    <t>ABNB &amp; Vacation Rentals: Q3’24 Bookings</t>
  </si>
  <si>
    <t>PPG &amp; SHW: Painting the Town Red?</t>
  </si>
  <si>
    <t>Aerospace MRO: Keeping Engines Running?</t>
  </si>
  <si>
    <t>ROL, RTO LN: Who You Gonna Call?</t>
  </si>
  <si>
    <t>Macau Stumbles with Chinese Economy</t>
  </si>
  <si>
    <t>Q3'24 Software Update with $500M IT Integrator</t>
  </si>
  <si>
    <t>Used Car Affordability &amp; Q3 Demand</t>
  </si>
  <si>
    <t>Q3 2024 Digital Advertising Update</t>
  </si>
  <si>
    <t>POOL, LESL: Rate Cuts to the Rescue?</t>
  </si>
  <si>
    <t>Utility Solar: Tariffs &amp; Growing Power Needs</t>
  </si>
  <si>
    <t>WillScot &amp; Modular Storage Demand</t>
  </si>
  <si>
    <t>AI &amp; Enterprise IT Spending</t>
  </si>
  <si>
    <t>AI Market Dynamics with Former Microsoft Director</t>
  </si>
  <si>
    <t>Vail Resorts: Smooth Trails or Rough Terrain?</t>
  </si>
  <si>
    <t>Q3’24 CTV/OTT &amp; Digital Ad Demand</t>
  </si>
  <si>
    <t>Navigating the Trucking Cycle</t>
  </si>
  <si>
    <t>LW’s Q1’25: French Fry Price War?</t>
  </si>
  <si>
    <t>FERG &amp; Pending Rate Cuts</t>
  </si>
  <si>
    <t>CRWD, OKTA: Securing the Enterprise in Q2</t>
  </si>
  <si>
    <t>Deciphering CRM's Q2 Performance</t>
  </si>
  <si>
    <t>Q2’24 Grocery &amp; Consumer Health</t>
  </si>
  <si>
    <t>CALM &amp; VITL: Premium Eggs Getting Pricey?</t>
  </si>
  <si>
    <t>Can Off-Price Continue Upbeat Trends?</t>
  </si>
  <si>
    <t>ATKR: Q2’24 Distributor Update</t>
  </si>
  <si>
    <t>Can PLNT Build on Strength?</t>
  </si>
  <si>
    <t>ASO, DKS: Apparel, Footwear, and Accessories in Q2’24</t>
  </si>
  <si>
    <t>ZoomInfo: Q2'24, Copilot &amp; Demand Growth</t>
  </si>
  <si>
    <t>TEAM &amp; GTLB: Q2’24 Update</t>
  </si>
  <si>
    <t>TPX: No Rest for the Weary?</t>
  </si>
  <si>
    <t>Auto Services: Oil Changes &amp; Car Washes in Q2'24</t>
  </si>
  <si>
    <t>Q2'24 Self-Storage: Rates, Retention &amp; Demand</t>
  </si>
  <si>
    <t>Data Center Photonics: Insights From LITE Former</t>
  </si>
  <si>
    <t>Building Products Gearing Up for Better Demand?</t>
  </si>
  <si>
    <t>Cosmetics: Can They Makeup Growth?</t>
  </si>
  <si>
    <t>Foodservice: Q2’24 Private Label &amp; Volume Growth</t>
  </si>
  <si>
    <t>TTD's Inventory &amp; Demand in Q2'24</t>
  </si>
  <si>
    <t>CROX &amp; YETI: Sales on Ice?</t>
  </si>
  <si>
    <t>ABNB, Vacation Rentals &amp; Summer Demand</t>
  </si>
  <si>
    <t>ONON, DECK &amp; NKE: Lapping Weak Results</t>
  </si>
  <si>
    <t>Regional Casinos: Limping into Q2?</t>
  </si>
  <si>
    <t>ROL, RTO LN: Exterminating the Competition?</t>
  </si>
  <si>
    <t>BC: Boat Demand Staying Afloat?</t>
  </si>
  <si>
    <t>2Q’24 HUBS, KVYO &amp; Martech Demand</t>
  </si>
  <si>
    <t>Theme Parks: Rain or Shine in Q2?</t>
  </si>
  <si>
    <t>Residential Solar Looking a bit Cloudy?</t>
  </si>
  <si>
    <t>DDOG: Q2’24 Growth Prospects</t>
  </si>
  <si>
    <t>Has Hasbro lost the Magic?</t>
  </si>
  <si>
    <t>Diabetes Tools: Monitoring CGM &amp; Pump Demand</t>
  </si>
  <si>
    <t>ServiceNow: Q2'24 Review w/ Elite Partner</t>
  </si>
  <si>
    <t>Aerospace MRO Demand in Q2'24</t>
  </si>
  <si>
    <t>Trucking Demand: LTL vs TL Outlook</t>
  </si>
  <si>
    <t>Auto Auctions Searching for Inventory</t>
  </si>
  <si>
    <t>Q2'24 Software Update with $500M IT Integrator</t>
  </si>
  <si>
    <t>Macau: Summer Upswing?</t>
  </si>
  <si>
    <t>Q2 2024 Digital Advertising Update</t>
  </si>
  <si>
    <t>POOL, LESL: Summer Demand Heating Up?</t>
  </si>
  <si>
    <t>Q2'24 Used Autos: Where's The Supply?</t>
  </si>
  <si>
    <t>Is Mobile Game Demand Picking Up?</t>
  </si>
  <si>
    <t>DLTR &amp; the Scenarios for Family Dollar</t>
  </si>
  <si>
    <t>Sports Media Rights: Winners and Losers</t>
  </si>
  <si>
    <t>Q2 Enterprise IT Spend Update</t>
  </si>
  <si>
    <t>Q2’24 CTV/OTT &amp; Digital Ad Demand</t>
  </si>
  <si>
    <t>Tobacco Demand &amp; Vape Ban Impacts</t>
  </si>
  <si>
    <t>R&amp;R Industry Insights and Updates</t>
  </si>
  <si>
    <t>Vail Resorts: Pass Sales Sliding Downhill?</t>
  </si>
  <si>
    <t>VITL &amp; CALM: Pricing &amp; Bird Flu Impacts</t>
  </si>
  <si>
    <t>Okta &amp; Q1’24 Identity Access Management Demand</t>
  </si>
  <si>
    <t>FERG: Turning on the Demand Spigot?</t>
  </si>
  <si>
    <t>Q1 Review with Salesforce Summit Partner</t>
  </si>
  <si>
    <t>2024 Beauty Growth &amp; E-Commerce Outlook</t>
  </si>
  <si>
    <t>Athleisure &amp; Growth Outside the Gym</t>
  </si>
  <si>
    <t>Coupang and the Southeast Asia E-commerce Boom</t>
  </si>
  <si>
    <t>Security Software’s Q1 &amp; 2024 Growth</t>
  </si>
  <si>
    <t>Q1’24 Grocery &amp; Food At Home Demand</t>
  </si>
  <si>
    <t>ABNB &amp; Vacation Rentals: Q1’24 Bookings</t>
  </si>
  <si>
    <t>Q1'24 Mattresses &amp; TPX's Dominance</t>
  </si>
  <si>
    <t>PLNT: Getting Back in Shape?</t>
  </si>
  <si>
    <t>DDOG Q1 Growth &amp; AI Impacts</t>
  </si>
  <si>
    <t>Q1'24 Self-Storage Growth &amp; Competition</t>
  </si>
  <si>
    <t>Foodservice Distribution &amp; Restaurant Volumes – Q1’24</t>
  </si>
  <si>
    <t>ZoomInfo: Time to Get in Contact?</t>
  </si>
  <si>
    <t>ONON, DECK &amp; NKE: Time for a Run?</t>
  </si>
  <si>
    <t>Theme Parks: New Rides, Weather &amp; Outlook</t>
  </si>
  <si>
    <t>BC: Hitting the Water in Q1'24</t>
  </si>
  <si>
    <t>Oil Changes &amp; Car Washes Q1'24</t>
  </si>
  <si>
    <t>Q1’24 HUBS, KVYO &amp; Marketing Software Demand</t>
  </si>
  <si>
    <t>Streaming Music &amp; the Search for Profitability</t>
  </si>
  <si>
    <t>2024 Solar: Is the Sun Shining Yet?</t>
  </si>
  <si>
    <t>ROL, RTO LN &amp; Q1’24 Pest Control Demand</t>
  </si>
  <si>
    <t>Q1'24 Software Update with Large IT Integrator</t>
  </si>
  <si>
    <t>2024 Cloud Consumption: AI &amp; Other Demand</t>
  </si>
  <si>
    <t>Shipping Rates &amp; the Red Sea Debacle</t>
  </si>
  <si>
    <t>Q1 2024 Digital Advertising Update</t>
  </si>
  <si>
    <t>POOL, LESL: Lapping a Weak 2023</t>
  </si>
  <si>
    <t>Diabetes Tools: CGM &amp; Insulin Pump Demand</t>
  </si>
  <si>
    <t>Luxury Fashion Insights with CEO of Erdem</t>
  </si>
  <si>
    <t>Data Center Demand Outlook</t>
  </si>
  <si>
    <t>LKNCY, SBUX: Coffee Growth in Asia</t>
  </si>
  <si>
    <t>Semiconductors &amp; Specialty Chemical Demand</t>
  </si>
  <si>
    <t>Home Building Demand &amp; 2024 Rate Cuts</t>
  </si>
  <si>
    <t>Luxury Fashion Coming Back in 2024?</t>
  </si>
  <si>
    <t>FERG’s Demand Leakage</t>
  </si>
  <si>
    <t>MTN: More Snow, More Skiers?</t>
  </si>
  <si>
    <t>Auto Sales &amp; Marketing: New Inventory Coming</t>
  </si>
  <si>
    <t>PLNT: New Year, New Growth, New Sign-Ups</t>
  </si>
  <si>
    <t>2024 High End Furniture Outlook</t>
  </si>
  <si>
    <t>ROL, RTO LN &amp; 2024 Pest Control</t>
  </si>
  <si>
    <t>2024 Data Storage Outlook</t>
  </si>
  <si>
    <t>CTV/OTT: Here Come the Ads</t>
  </si>
  <si>
    <t>TWLO &amp; 2024 CPaaS Growth</t>
  </si>
  <si>
    <t>HUBS, KVYO &amp; Marketing Software Demand</t>
  </si>
  <si>
    <t>Theme Parks Take a Ride in 2024?</t>
  </si>
  <si>
    <t>ONON, DECK &amp; NKE: Getting On Track in 2024?</t>
  </si>
  <si>
    <t>Foodservice Distribution &amp; Case Volumes in 2024</t>
  </si>
  <si>
    <t>DDOG Q4 &amp; 2024 Observability Outlook</t>
  </si>
  <si>
    <t>BMBL, MTCH &amp; Online Dating in 2024</t>
  </si>
  <si>
    <t>Security Software’s Q4 &amp; 2024 Spending</t>
  </si>
  <si>
    <t>Oil Changes &amp; Car Washes: Q4’23 and 2024</t>
  </si>
  <si>
    <t>BC: Calm Water Ahead?</t>
  </si>
  <si>
    <t>Atlassian - Cloud &amp; 2024 Growth</t>
  </si>
  <si>
    <t>ServiceNow Q4 &amp; 2024 Outlook</t>
  </si>
  <si>
    <t>Q4'23 Software Update w/ $500M IT Integrator</t>
  </si>
  <si>
    <t>Regional Casinos: Hit or Stay in 2024?</t>
  </si>
  <si>
    <t>2024 Cloud &amp; AI Demand</t>
  </si>
  <si>
    <t>POOL, LESL: Checking the Temp</t>
  </si>
  <si>
    <t>Call tickers/topic</t>
  </si>
  <si>
    <t>Analyst</t>
  </si>
  <si>
    <t>Compliance status</t>
  </si>
  <si>
    <t>Expert</t>
  </si>
  <si>
    <t>Call date stage</t>
  </si>
  <si>
    <t>Call/marketing stage</t>
  </si>
  <si>
    <t>Call date</t>
  </si>
  <si>
    <t>Relevant earnings date</t>
  </si>
  <si>
    <t>CALM, VITL</t>
  </si>
  <si>
    <t>Not started</t>
  </si>
  <si>
    <t>Dave Hasseman</t>
  </si>
  <si>
    <t>Not reached out</t>
  </si>
  <si>
    <t>DHI, LEN, TOL</t>
  </si>
  <si>
    <t>Lyda Akin</t>
  </si>
  <si>
    <t>John Brunnquell</t>
  </si>
  <si>
    <t>AZEK, JHX, LPX, TREX</t>
  </si>
  <si>
    <t>David Qualls</t>
  </si>
  <si>
    <t>BECN, BLDR, HD, JHX, LPX, MHK</t>
  </si>
  <si>
    <t>Dave DeVries</t>
  </si>
  <si>
    <t>BIRK, CROX, DECK, YETI</t>
  </si>
  <si>
    <t>Laura Martinez</t>
  </si>
  <si>
    <t>FND, HD, LOW, MHK</t>
  </si>
  <si>
    <t>Compliance Sent</t>
  </si>
  <si>
    <t>Hoy Lanning</t>
  </si>
  <si>
    <t>Date confirmed</t>
  </si>
  <si>
    <t>JBHT, KNX, ODFL, SAIA, XPO</t>
  </si>
  <si>
    <t>Compliance Passed</t>
  </si>
  <si>
    <t>Chris Splisgardt</t>
  </si>
  <si>
    <t>FDX, JBHT, KNX, ODFL, SAIA, UPS, XPO</t>
  </si>
  <si>
    <t>Keith Huggins</t>
  </si>
  <si>
    <t>Reached out</t>
  </si>
  <si>
    <t>BECN, BLDR, CSL, OC, SGO FP</t>
  </si>
  <si>
    <t>Kurt Schwahn</t>
  </si>
  <si>
    <t>UPS/Shipping</t>
  </si>
  <si>
    <t>Devin Burke</t>
  </si>
  <si>
    <t>FERG, HD, JHX, LOW, LPX, SHW, TREX</t>
  </si>
  <si>
    <t xml:space="preserve">Mark McClanahan </t>
  </si>
  <si>
    <t>PPG, SHW</t>
  </si>
  <si>
    <t>New expert needed</t>
  </si>
  <si>
    <t>Kevan Shelton</t>
  </si>
  <si>
    <t>CSX, CHRW, JBHT, HUBG</t>
  </si>
  <si>
    <t>Phil Shook</t>
  </si>
  <si>
    <t>CCL, DIS, NCLH, RCL, VIK/Cruise Lines</t>
  </si>
  <si>
    <t>Chris Dane</t>
  </si>
  <si>
    <t>Call completed</t>
  </si>
  <si>
    <t>PAG, PCAR, R, RUSHA/Truck Leasing</t>
  </si>
  <si>
    <t>Dean Vicha</t>
  </si>
  <si>
    <t>FVRR, KELYA, KFRC, KFY, MAN, RHI, TBI, UPWK/Staffing</t>
  </si>
  <si>
    <t>Aaron Grossman / James Essey</t>
  </si>
  <si>
    <t>mid-april</t>
  </si>
  <si>
    <t>CRH, CX, EXP, HEI GR, HOLN SW, MLM, SUM, VMC/Concrete</t>
  </si>
  <si>
    <t>Norman Fornella</t>
  </si>
  <si>
    <t>end of apr/early may</t>
  </si>
  <si>
    <t>AAP, AMZN, AZO, DORM, GPC, MNRO, ORLY, PRTS, VVV/Auto Parts</t>
  </si>
  <si>
    <t>Mike Weigand / Matt Johnson</t>
  </si>
  <si>
    <t>early-May</t>
  </si>
  <si>
    <t>end of may (AAP)</t>
  </si>
  <si>
    <t>HOG/Dealer Survey</t>
  </si>
  <si>
    <t>Few Dealers</t>
  </si>
  <si>
    <t>Interview/Survey Completed</t>
  </si>
  <si>
    <t>early april</t>
  </si>
  <si>
    <t>CHWY, ELAN, IDXX, PETS, WOOF, ZTS/Veterinary Industry</t>
  </si>
  <si>
    <t>Mark Ziller</t>
  </si>
  <si>
    <t>ALGN, AMZN, HSIC, MMM, PDCO/Dental Industry</t>
  </si>
  <si>
    <t>Joe Cavaretta</t>
  </si>
  <si>
    <t>early may (TBA)</t>
  </si>
  <si>
    <t>TMDX</t>
  </si>
  <si>
    <t>Antonio Di Carlo</t>
  </si>
  <si>
    <t>Interview/No Marketing</t>
  </si>
  <si>
    <t>Takeaway Needed</t>
  </si>
  <si>
    <t>Replay Date</t>
  </si>
  <si>
    <t>Title</t>
  </si>
  <si>
    <t>Index</t>
  </si>
  <si>
    <t>Touch</t>
  </si>
  <si>
    <t>Publication Date</t>
  </si>
  <si>
    <t>Associated Tickers</t>
  </si>
  <si>
    <t>REPLAY: DRVN, MCW, VVV: Servicing Autos in Q3</t>
  </si>
  <si>
    <t>REPLAY: Cosmetics: Glow Up for the Holidays?</t>
  </si>
  <si>
    <t>REPLAY: CROX, YETI &amp; Q3 Discretionary Spend</t>
  </si>
  <si>
    <t>REPLAY: Foodservice Distribution: Looking for Traffic in Q3?</t>
  </si>
  <si>
    <t>REPLAY: Cybersecurity Securing Deals in Q3?</t>
  </si>
  <si>
    <t>REPLAY: TEAM &amp; GTLB: Q3’24 Update</t>
  </si>
  <si>
    <t>REPLAY: Tequila: Take a Shot on Q3?</t>
  </si>
  <si>
    <t>REPLAY: Building Products: Rates Down, Demand Up?</t>
  </si>
  <si>
    <t>REPLAY: Theme Parks in for a Halloween Scare?</t>
  </si>
  <si>
    <t>REPLAY: DHI, LEN, TOL: Laying Foundations in Q3</t>
  </si>
  <si>
    <t>REPLAY: MHK &amp; Flooring: Laying a Base in Q3?</t>
  </si>
  <si>
    <t>REPLAY: Wayfair &amp; Furniture Retail in Q3</t>
  </si>
  <si>
    <t>REPLAY: DDOG: Bits AI Driving Growth?</t>
  </si>
  <si>
    <t>REPLAY: Regional Casinos &amp; Rate Cut Roulette</t>
  </si>
  <si>
    <t>REPLAY: BC: Navigating Rocky Boat Demand</t>
  </si>
  <si>
    <t>REPLAY: TTD's Inventory &amp; Demand in Q3'24</t>
  </si>
  <si>
    <t>REPLAY: ONON, DECK &amp; NKE: Competition in 2H’24 &amp; 2025</t>
  </si>
  <si>
    <t>REPLAY: Residential Solar: Are the Clouds Clearing?</t>
  </si>
  <si>
    <t>REPLAY: Hasbro Stacking the Deck for 2025?</t>
  </si>
  <si>
    <t>REPLAY: Q3 Review and Outlook with ServiceNow Elite Partner</t>
  </si>
  <si>
    <t>REPLAY: Q3'24 Social Ad Spend Shifts</t>
  </si>
  <si>
    <t>REPLAY: Aerospace MRO: Keeping Engines Running?</t>
  </si>
  <si>
    <t>REPLAY: ABNB &amp; Vacation Rentals: Q3’24 Bookings</t>
  </si>
  <si>
    <t>REPLAY: PPG &amp; SHW: Painting the Town Red?</t>
  </si>
  <si>
    <t>REPLAY: Q3'24 Software Update with $500M IT Integrator</t>
  </si>
  <si>
    <t>REPLAY: ROL, RTO LN: Who You Gonna Call?</t>
  </si>
  <si>
    <t>REPLAY: Macau Stumbles with Chinese Economy</t>
  </si>
  <si>
    <t>REPLAY: Used Car Affordability &amp; Q3 Demand</t>
  </si>
  <si>
    <t>REPLAY: Q3 2024 Digital Advertising Update</t>
  </si>
  <si>
    <t>REPLAY: POOL, LESL: Rate Cuts to the Rescue?</t>
  </si>
  <si>
    <t>REPLAY: Utility Solar: Tariffs &amp; Growing Power Needs</t>
  </si>
  <si>
    <t>REPLAY: WillScot &amp; Modular Storage Demand</t>
  </si>
  <si>
    <t>REPLAY: AI &amp; Enterprise IT Spending</t>
  </si>
  <si>
    <t>REPLAY: AI Market Dynamics with Former Microsoft Director</t>
  </si>
  <si>
    <t>REPLAY: Vail Resorts: Smooth Trails or Rough Terrain?</t>
  </si>
  <si>
    <t>REPLAY: Q3’24 CTV/OTT &amp; Digital Ad Demand</t>
  </si>
  <si>
    <t>REPLAY: Navigating the Trucking Cycle</t>
  </si>
  <si>
    <t>REPLAY: LW’s Q1’25: French Fry Price War?</t>
  </si>
  <si>
    <t>REPLAY: FERG &amp; Pending Rate Cuts</t>
  </si>
  <si>
    <t>REPLAY: LW: More Spuds or a Dud?</t>
  </si>
  <si>
    <t>REPLAY: CRWD, OKTA: Securing the Enterprise in Q2</t>
  </si>
  <si>
    <t>REPLAY: Luxury Fashion Autumn Preview with CEO of Erdem</t>
  </si>
  <si>
    <t>REPLAY: Engagement Rings: Diamond in the Rough?</t>
  </si>
  <si>
    <t>REPLAY: Deciphering CRM's Q2 Performance</t>
  </si>
  <si>
    <t>REPLAY: Q2’24 Grocery &amp; Consumer Health</t>
  </si>
  <si>
    <t>REPLAY: CALM &amp; VITL: Premium Eggs Getting Pricey?</t>
  </si>
  <si>
    <t>REPLAY: Can Off-Price Continue Upbeat Trends?</t>
  </si>
  <si>
    <t>REPLAY: ATKR: Q2’24 Distributor Update</t>
  </si>
  <si>
    <t>REPLAY: Can PLNT Build on Strength?</t>
  </si>
  <si>
    <t>REPLAY: ASO, DKS: Apparel, Footwear, and Accessories in Q2’24</t>
  </si>
  <si>
    <t>REPLAY: ZoomInfo: Q2'24, Copilot &amp; Demand Growth</t>
  </si>
  <si>
    <t>REPLAY: TEAM &amp; GTLB: Q2’24 Update</t>
  </si>
  <si>
    <t>REPLAY: TPX: No Rest for the Weary?</t>
  </si>
  <si>
    <t>REPLAY: Auto Services: Oil Changes &amp; Car Washes in Q2'24</t>
  </si>
  <si>
    <t>REPLAY: Q2'24 Self-Storage: Rates, Retention &amp; Demand</t>
  </si>
  <si>
    <t>REPLAY: Data Center Photonics: Insights From LITE Former</t>
  </si>
  <si>
    <t>REPLAY: Building Products Gearing Up for Better Demand?</t>
  </si>
  <si>
    <t>REPLAY: Cosmetics: Can They Makeup Growth?</t>
  </si>
  <si>
    <t>REPLAY: Foodservice: Q2’24 Private Label &amp; Volume Growth</t>
  </si>
  <si>
    <t>REPLAY: TTD's Inventory &amp; Demand in Q2'24</t>
  </si>
  <si>
    <t>REPLAY: CROX &amp; YETI: Sales on Ice?</t>
  </si>
  <si>
    <t>REPLAY: ABNB, Vacation Rentals &amp; Summer Demand</t>
  </si>
  <si>
    <t>REPLAY: ONON, DECK &amp; NKE: Lapping Weak Results</t>
  </si>
  <si>
    <t>REPLAY: Regional Casinos: Limping into Q2?</t>
  </si>
  <si>
    <t>REPLAY: ROL, RTO LN: Exterminating the Competition?</t>
  </si>
  <si>
    <t>REPLAY: BC: Boat Demand Staying Afloat?</t>
  </si>
  <si>
    <t>REPLAY: 2Q’24 HUBS, KVYO &amp; Martech Demand</t>
  </si>
  <si>
    <t>REPLAY: Theme Parks: Rain or Shine in Q2?</t>
  </si>
  <si>
    <t>REPLAY: Residential Solar Looking a bit Cloudy?</t>
  </si>
  <si>
    <t>REPLAY: DDOG: Q2’24 Growth Prospects</t>
  </si>
  <si>
    <t>REPLAY: Has Hasbro lost the Magic?</t>
  </si>
  <si>
    <t>REPLAY: Diabetes Tools: Monitoring CGM &amp; Pump Demand</t>
  </si>
  <si>
    <t>REPLAY: ServiceNow: Q2'24 Review w/ Elite Partner</t>
  </si>
  <si>
    <t>REPLAY: Aerospace MRO Demand in Q2'24</t>
  </si>
  <si>
    <t>REPLAY: Trucking Demand: LTL vs TL Outlook</t>
  </si>
  <si>
    <t>REPLAY: Q2'24 Social Ad Spend Shifts</t>
  </si>
  <si>
    <t>REPLAY: Auto Auctions Searching for Inventory</t>
  </si>
  <si>
    <t>REPLAY: Q2'24 Software Update with $500M IT Integrator</t>
  </si>
  <si>
    <t>REPLAY: Macau: Summer Upswing?</t>
  </si>
  <si>
    <t>REPLAY: Q2’24 Flooring Industry Update</t>
  </si>
  <si>
    <t>REPLAY: French Fry Supply &amp; Demand w/ Simplot</t>
  </si>
  <si>
    <t>REPLAY: Q2 2024 Digital Advertising Update</t>
  </si>
  <si>
    <t>REPLAY: POOL, LESL: Summer Demand Heating Up?</t>
  </si>
  <si>
    <t>REPLAY: Q2'24 Used Autos: Where's The Supply?</t>
  </si>
  <si>
    <t>REPLAY: Is Mobile Game Demand Picking Up?</t>
  </si>
  <si>
    <t>REPLAY: DLTR &amp; the Scenarios for Family Dollar</t>
  </si>
  <si>
    <t>REPLAY: Home Building Demand in Q2’24</t>
  </si>
  <si>
    <t>REPLAY: Sports Media Rights: Winners and Losers</t>
  </si>
  <si>
    <t>REPLAY: Q2 Enterprise IT Spend Update</t>
  </si>
  <si>
    <t>REPLAY: Q2’24 CTV/OTT &amp; Digital Ad Demand</t>
  </si>
  <si>
    <t>REPLAY: Tobacco Demand &amp; Vape Ban Impacts</t>
  </si>
  <si>
    <t>REPLAY: LW: Can Volumes Recover?</t>
  </si>
  <si>
    <t>REPLAY: Furniture's Growing E-Comm Presence</t>
  </si>
  <si>
    <t>REPLAY: R&amp;R Industry Insights and Updates</t>
  </si>
  <si>
    <t>REPLAY: Utility Solar &amp; AI Power Demand</t>
  </si>
  <si>
    <t>REPLAY: Cruise Demand: Smooth Sailing or Rough Seas?</t>
  </si>
  <si>
    <t>REPLAY: Vail Resorts: Pass Sales Sliding Downhill?</t>
  </si>
  <si>
    <t>REPLAY: VITL &amp; CALM: Pricing &amp; Bird Flu Impacts</t>
  </si>
  <si>
    <t>REPLAY: Okta &amp; Q1’24 Identity Access Management Demand</t>
  </si>
  <si>
    <t>REPLAY: FERG: Turning on the Demand Spigot?</t>
  </si>
  <si>
    <t>REPLAY: Q1 Review with Salesforce Summit Partner</t>
  </si>
  <si>
    <t>REPLAY: 2024 Beauty Growth &amp; E-Commerce Outlook</t>
  </si>
  <si>
    <t>REPLAY: Athleisure &amp; Growth Outside the Gym</t>
  </si>
  <si>
    <t>GAP</t>
  </si>
  <si>
    <t>REPLAY: Off-Price Retail &amp; Q1 Consumer Demand</t>
  </si>
  <si>
    <t>REPLAY: Coupang and the Southeast Asia E-commerce Boom</t>
  </si>
  <si>
    <t>REPLAY: ATKR Distributor: Meeting Market Demand</t>
  </si>
  <si>
    <t>REPLAY: Security Software’s Q1 &amp; 2024 Growth</t>
  </si>
  <si>
    <t>REPLAY: Q1’24 Grocery &amp; Food At Home Demand</t>
  </si>
  <si>
    <t>REPLAY: ABNB &amp; Vacation Rentals: Q1’24 Bookings</t>
  </si>
  <si>
    <t>REPLAY: TTD &amp; Growing CTV Ad Inventories</t>
  </si>
  <si>
    <t>REPLAY: Q1'24 Mattresses &amp; TPX's Dominance</t>
  </si>
  <si>
    <t>REPLAY: PLNT: Getting Back in Shape?</t>
  </si>
  <si>
    <t>REPLAY: Wayfair: Playing House in 2H’24</t>
  </si>
  <si>
    <t>REPLAY: DDOG Q1 Growth &amp; AI Impacts</t>
  </si>
  <si>
    <t>REPLAY: Q1'24 Self-Storage Growth &amp; Competition</t>
  </si>
  <si>
    <t>REPLAY: Foodservice Distribution &amp; Restaurant Volumes – Q1’24</t>
  </si>
  <si>
    <t>REPLAY: ZoomInfo: Time to Get in Contact?</t>
  </si>
  <si>
    <t>REPLAY: ONON, DECK &amp; NKE: Time for a Run?</t>
  </si>
  <si>
    <t>REPLAY: APPF: Customer Insights</t>
  </si>
  <si>
    <t>REPLAY: Building Product Demand in Q1’24</t>
  </si>
  <si>
    <t>REPLAY: CROX &amp; YETI: Cooling Off?</t>
  </si>
  <si>
    <t>REPLAY: Theme Parks: New Rides, Weather &amp; Outlook</t>
  </si>
  <si>
    <t>REPLAY: BC: Hitting the Water in Q1'24</t>
  </si>
  <si>
    <t>REPLAY: Oil Changes &amp; Car Washes Q1'24</t>
  </si>
  <si>
    <t>REPLAY: Q1’24 HUBS, KVYO &amp; Marketing Software Demand</t>
  </si>
  <si>
    <t>REPLAY: MHK: Is the Floor In?</t>
  </si>
  <si>
    <t>REPLAY: Regional Casinos: Get Your Bets In?</t>
  </si>
  <si>
    <t>REPLAY: Streaming Music &amp; the Search for Profitability</t>
  </si>
  <si>
    <t>REPLAY: 2024 Solar: Is the Sun Shining Yet?</t>
  </si>
  <si>
    <t>REPLAY: ROL, RTO LN &amp; Q1’24 Pest Control Demand</t>
  </si>
  <si>
    <t>REPLAY: Q1'24 Software Update with Large IT Integrator</t>
  </si>
  <si>
    <t>REPLAY: Macau: Year of the Dragon</t>
  </si>
  <si>
    <t>REPLAY: Engagement Rings: Still Shining?</t>
  </si>
  <si>
    <t>REPLAY: 2024 Cloud Consumption: AI &amp; Other Demand</t>
  </si>
  <si>
    <t>REPLAY: Shipping Rates &amp; the Red Sea Debacle</t>
  </si>
  <si>
    <t>REPLAY: Q1 2024 Digital Advertising Update</t>
  </si>
  <si>
    <t>REPLAY: POOL, LESL: Lapping a Weak 2023</t>
  </si>
  <si>
    <t>REPLAY: F1: Ready to Race?</t>
  </si>
  <si>
    <t>REPLAY: Q1’24 CTV/OTT &amp; Digital Ad Demand</t>
  </si>
  <si>
    <t>REPLAY: Diabetes Tools: CGM &amp; Insulin Pump Demand</t>
  </si>
  <si>
    <t>REPLAY: Luxury Fashion Insights with CEO of Erdem</t>
  </si>
  <si>
    <t>REPLAY: Data Center Demand Outlook</t>
  </si>
  <si>
    <t>REPLAY: Repair &amp; Remodel Industry Update</t>
  </si>
  <si>
    <t>REPLAY: LKNCY, SBUX: Coffee Growth in Asia</t>
  </si>
  <si>
    <t>REPLAY: Semiconductors &amp; Specialty Chemical Demand</t>
  </si>
  <si>
    <t>REPLAY: LW: Major Concerns or Small Potatoes?</t>
  </si>
  <si>
    <t>REPLAY: Home Building Demand &amp; 2024 Rate Cuts</t>
  </si>
  <si>
    <t>REPLAY: Luxury Fashion Coming Back in 2024?</t>
  </si>
  <si>
    <t>REPLAY: FERG’s Demand Leakage</t>
  </si>
  <si>
    <t>REPLAY: Navigating Salesforce’s Trajectory</t>
  </si>
  <si>
    <t>REPLAY: MTN: More Snow, More Skiers?</t>
  </si>
  <si>
    <t>REPLAY: Auto Sales &amp; Marketing: New Inventory Coming</t>
  </si>
  <si>
    <t>REPLAY: IP &amp; Oversupply of Containerboard?</t>
  </si>
  <si>
    <t>REPLAY: PLNT: New Year, New Growth, New Sign-Ups</t>
  </si>
  <si>
    <t>REPLAY: 2024 High End Furniture Outlook</t>
  </si>
  <si>
    <t>REPLAY: Grocery Retail: Price Check in 2024</t>
  </si>
  <si>
    <t>REPLAY: CROX &amp; YETI: Fade the Fad?</t>
  </si>
  <si>
    <t>REPLAY: ROL, RTO LN &amp; 2024 Pest Control</t>
  </si>
  <si>
    <t>REPLAY: 2024 Data Storage Outlook</t>
  </si>
  <si>
    <t>REPLAY: 2024 Beauty Brands and Retail Outlook</t>
  </si>
  <si>
    <t>REPLAY: Off-Price Retail: Strong Close Out to 2023?</t>
  </si>
  <si>
    <t>REPLAY: CTV/OTT: Here Come the Ads</t>
  </si>
  <si>
    <t>REPLAY: TWLO &amp; 2024 CPaaS Growth</t>
  </si>
  <si>
    <t>REPLAY: TTD &amp; DSPs - At A Crossroads in 2024</t>
  </si>
  <si>
    <t>REPLAY: TPX Waking Up in 2024?</t>
  </si>
  <si>
    <t>REPLAY: Wayfair: Furnishing 2024</t>
  </si>
  <si>
    <t>REPLAY: HUBS, KVYO &amp; Marketing Software Demand</t>
  </si>
  <si>
    <t>REPLAY: Theme Parks Take a Ride in 2024?</t>
  </si>
  <si>
    <t>REPLAY: Atkore and the 2024 Demand Pipeline</t>
  </si>
  <si>
    <t>REPLAY: ONON, DECK &amp; NKE: Getting On Track in 2024?</t>
  </si>
  <si>
    <t>REPLAY: Foodservice Distribution &amp; Case Volumes in 2024</t>
  </si>
  <si>
    <t>REPLAY: DDOG Q4 &amp; 2024 Observability Outlook</t>
  </si>
  <si>
    <t>REPLAY: BMBL, MTCH &amp; Online Dating in 2024</t>
  </si>
  <si>
    <t>REPLAY: Security Software’s Q4 &amp; 2024 Spending</t>
  </si>
  <si>
    <t>REPLAY: Oil Changes &amp; Car Washes: Q4’23 and 2024</t>
  </si>
  <si>
    <t>REPLAY: BC: Calm Water Ahead?</t>
  </si>
  <si>
    <t>REPLAY: Q4’23 Siding &amp; OSB Demand</t>
  </si>
  <si>
    <t>REPLAY: Atlassian - Cloud &amp; 2024 Growth</t>
  </si>
  <si>
    <t>REPLAY: ServiceNow Q4 &amp; 2024 Outlook</t>
  </si>
  <si>
    <t>REPLAY: MHK: Getting Off the Floor in 2024</t>
  </si>
  <si>
    <t>REPLAY: ABNB &amp; Vacation Rentals: Q4’23 Bookings</t>
  </si>
  <si>
    <t>REPLAY: Q4'23 Software Update w/ $500M IT Integrator</t>
  </si>
  <si>
    <t>REPLAY: Regional Casinos: Hit or Stay in 2024?</t>
  </si>
  <si>
    <t>REPLAY: 2024 Cloud &amp; AI Demand</t>
  </si>
  <si>
    <t>REPLAY: POOL, LESL: Checking the Temp</t>
  </si>
  <si>
    <t>REPLAY: Macau: All In On 2024?</t>
  </si>
  <si>
    <t>1128.XHKG, GENM.XKLS, MGM, MLCO, WYNN</t>
  </si>
  <si>
    <t>REPLAY: Q4 2023 Digital Advertising Update</t>
  </si>
  <si>
    <t>REPLAY: Q4'23 CTV/OTT &amp; Digital Ad Demand</t>
  </si>
  <si>
    <t>REPLAY: LW &amp; 2024 French Fry Demand</t>
  </si>
  <si>
    <t>REPLAY: Building Products &amp; Housing Demand</t>
  </si>
  <si>
    <t>REPLAY: 2024 Luxury Fashion Outlook</t>
  </si>
  <si>
    <t>REPLAY: Q4'23 Hotels and OTAs Update with Large Management Company</t>
  </si>
  <si>
    <t>REPLAY: Used Auto Sales - Q4'23 &amp; 2024</t>
  </si>
  <si>
    <t>REPLAY: Solar Demand &amp; 2024 Growth</t>
  </si>
  <si>
    <t>REPLAY: SharkNinja and Consumer Appliance Demand</t>
  </si>
  <si>
    <t>REPLAY: Retail Update - CROX &amp; YETI</t>
  </si>
  <si>
    <t>REPLAY: TTD &amp; DSPs - 2024 Outlook</t>
  </si>
  <si>
    <t>REPLAY: Florida Vacation Rentals - Boom or Bust?</t>
  </si>
  <si>
    <t>REPLAY: FERG’s 2024 Demand Pipeline</t>
  </si>
  <si>
    <t>REPLAY: Vail Resorts: Let It Snow or Let It Go?</t>
  </si>
  <si>
    <t>REPLAY: Mobile Gaming Trends &amp; IP Game Growth</t>
  </si>
  <si>
    <t>REPLAY: Atkore Q3'23 &amp; Growth Outlook</t>
  </si>
  <si>
    <t>REPLAY: Off-Price Retail: Is the Price Right?</t>
  </si>
  <si>
    <t>REPLAY: Grocery Demand, Deflation &amp; GLP-1s</t>
  </si>
  <si>
    <t>REPLAY: Q3'23 Furniture Demand &amp; Wayfair</t>
  </si>
  <si>
    <t>REPLAY: PLNT Flexes Pricing to Lift Unit Growth</t>
  </si>
  <si>
    <t>REPLAY: Security Software’s Q3 Growth</t>
  </si>
  <si>
    <t>CRWD, CSCO, CYBR, FTNT, MSFT, PANW, SPLK, ZS</t>
  </si>
  <si>
    <t>REPLAY: Theme Parks’ Cruel Summer</t>
  </si>
  <si>
    <t>REPLAY: Oil Changes &amp; Car Washes – Q3’23</t>
  </si>
  <si>
    <t>REPLAY: Q3’23 Siding &amp; OSB Demand</t>
  </si>
  <si>
    <t>REPLAY: BC - Q3'23 Inventory &amp; Demand</t>
  </si>
  <si>
    <t>REPLAY: DDOG Q3 &amp; Observability Outlook</t>
  </si>
  <si>
    <t>REPLAY: ROL, RTO LN Q3'23 &amp; Expansion Outlook</t>
  </si>
  <si>
    <t>REPLAY: Foodservice Distribution &amp; Q3 Restaurant Demand</t>
  </si>
  <si>
    <t>REPLAY: Regional Casinos: What’s in the Cards?</t>
  </si>
  <si>
    <t>BYD, CHDN, CZR, FLTR.XLON, GDEN, LVS, MGM, PENN, RRR, WYNN</t>
  </si>
  <si>
    <t>REPLAY: ONON, DECK &amp; NKE: Inventory Roulette</t>
  </si>
  <si>
    <t>ADS1.XETR, DECK, NKE, ONON, UAA</t>
  </si>
  <si>
    <t>REPLAY: Flooring Demand: New Homes, R&amp;R and 2024</t>
  </si>
  <si>
    <t>REPLAY: ServiceNow Q3 &amp; GenAI Impacts</t>
  </si>
  <si>
    <t>REPLAY: ABNB &amp; Vacation Rentals: Q3’23 Bookings</t>
  </si>
  <si>
    <t>ABNB, BKNG, EXPE, GOOGL, SOND, TRIP, VCSA</t>
  </si>
  <si>
    <t>REPLAY: Q3 2023 Digital Advertising Update</t>
  </si>
  <si>
    <t>REPLAY: Semiconductor Demand &amp; NVDA’s Dominance</t>
  </si>
  <si>
    <t>AMD, AMZN, GOOGL, INTC, MSFT, NVDA</t>
  </si>
  <si>
    <t>REPLAY: POOL, LESL in Need of a Floaty?</t>
  </si>
  <si>
    <t>LESL, PNR, POOL</t>
  </si>
  <si>
    <t>REPLAY: Macau Q3'23: Time To Gamble?</t>
  </si>
  <si>
    <t>REPLAY: TWLO, SINCH SS &amp; CPaaS Growth</t>
  </si>
  <si>
    <t>SINCH.XSTO, TWLO</t>
  </si>
  <si>
    <t>REPLAY: Cannabis Regulations to Drive Growth?</t>
  </si>
  <si>
    <t>CRLBF, CURLF, GTII.XCNQ, TRUL.XCNQ, VRNO.XCNQ</t>
  </si>
  <si>
    <t>REPLAY: SNOW, Databricks &amp; Data Warehousing Growth</t>
  </si>
  <si>
    <t>REPLAY: HUBS, KVYO &amp; Marketing Software Outlook</t>
  </si>
  <si>
    <t>REPLAY: Furniture, Wayfair &amp; Q3 Demand</t>
  </si>
  <si>
    <t>REPLAY: LW: Inventory, Capacity &amp; Margins</t>
  </si>
  <si>
    <t>REPLAY: Q3’23 Beer Distribution &amp; Sales</t>
  </si>
  <si>
    <t>REPLAY: Q3 Social Ad Spend Shifts</t>
  </si>
  <si>
    <t>REPLAY: Vestis Spin-Off &amp; Uniform Demand</t>
  </si>
  <si>
    <t>REPLAY: NFLX, DIS &amp; Q3’23 CTV/OTT Ad Demand</t>
  </si>
  <si>
    <t>REPLAY: Unpacking the Self-Storage Industry</t>
  </si>
  <si>
    <t>REPLAY: Ad Spend: Digital, OTT &amp; Linear</t>
  </si>
  <si>
    <t>REPLAY: ADBE’s Q3’23 &amp; GenAI Adoption</t>
  </si>
  <si>
    <t>REPLAY: Streaming Video Q3 Outlook</t>
  </si>
  <si>
    <t>AMZN, DIS, NFLX, PARA, WBD</t>
  </si>
  <si>
    <t>REPLAY: Furniture Orders Picking Up?</t>
  </si>
  <si>
    <t>AMZN, OSTK, TGT, W, WMT</t>
  </si>
  <si>
    <t>REPLAY: Q2'23 Hotels Update with Large Management Company</t>
  </si>
  <si>
    <t>REPLAY: Grocery’s Deflating Second Act?</t>
  </si>
  <si>
    <t>ACI, AD.XAMS, AMZN, BJ, COST, GO, KR, OCDO.XLON, TGT, WMT</t>
  </si>
  <si>
    <t>REPLAY: Off-Price Retail: Q2 Inventory &amp; Price Check</t>
  </si>
  <si>
    <t>BURL, FIVE, JWN, OLLI, ROST, TJX, WMT</t>
  </si>
  <si>
    <t>REPLAY: Security Software Spend - Q2’23</t>
  </si>
  <si>
    <t>CRWD, CSCO, CYBR, FTNT, MSFT, PANW, SPLK, SYMC, ZS</t>
  </si>
  <si>
    <t>REPLAY: Foodservice Distributors: Q2’23 &amp; Deflation Risk</t>
  </si>
  <si>
    <t>CHEF, PFGC, SYY, USFD</t>
  </si>
  <si>
    <t>REPLAY: Theme Parks: Passes &amp; Stocks on Sale?</t>
  </si>
  <si>
    <t>DIS, FUN, SEAS, SIX</t>
  </si>
  <si>
    <t>REPLAY: CPRT, RBA &amp; Q2’23 Auction Action</t>
  </si>
  <si>
    <t>REPLAY: VVV, DRVN &amp; Q2'23 Automotive Services</t>
  </si>
  <si>
    <t>DRVN, VVV</t>
  </si>
  <si>
    <t>REPLAY: DDOG Q2 &amp; 2023 Outlook</t>
  </si>
  <si>
    <t>REPLAY: Streaming Music w/ The CEO of SoundCloud</t>
  </si>
  <si>
    <t>REPLAY: AAP, AZO, ORLY: Checking Under the Hood</t>
  </si>
  <si>
    <t>REPLAY: ROL, RTO LN &amp; Q2'23 Pest Control Growth</t>
  </si>
  <si>
    <t>REPLAY: ABNB &amp; Vacation Rentals: Summer 2023</t>
  </si>
  <si>
    <t>REPLAY: ONON, DECK &amp; NKE: Sneaker Sales Losing Footing?</t>
  </si>
  <si>
    <t>REPLAY: MHK &amp; Q2'23 Flooring Demand</t>
  </si>
  <si>
    <t>FND, HD, MHK</t>
  </si>
  <si>
    <t>REPLAY: ServiceNow Q2 &amp; 2023 Outlook</t>
  </si>
  <si>
    <t>REPLAY: Hotel Bookings: Direct vs OTAs</t>
  </si>
  <si>
    <t>REPLAY: BC &amp; Q2'23: Sink or Float?</t>
  </si>
  <si>
    <t>BC, HZO, MBUU, MCFT, MPX</t>
  </si>
  <si>
    <t>REPLAY: Q2 2023 Digital Advertising Update</t>
  </si>
  <si>
    <t>REPLAY: Q2'23 Software Update w/ $500M IT Integrator</t>
  </si>
  <si>
    <t>REPLAY: PLNT: Unit Growth &amp; Competition</t>
  </si>
  <si>
    <t>REPLAY: Macau - Summer Comeback?</t>
  </si>
  <si>
    <t>1128.XHKG, GENM.XKLS, LVS, MGM, MLCO, WYNN</t>
  </si>
  <si>
    <t>REPLAY: POOL, LESL: Return to Growth?</t>
  </si>
  <si>
    <t>REPLAY: Measuring Streaming Media Audience and Ads</t>
  </si>
  <si>
    <t>REPLAY: LW: Q4’23 &amp; New Crop Harvest</t>
  </si>
  <si>
    <t>REPLAY: Large Digital Ad Agency Mid 2023 Update</t>
  </si>
  <si>
    <t>REPLAY: MTCH: Time to Swipe Right?</t>
  </si>
  <si>
    <t>REPLAY: Q2’23 Beer Sales &amp; BUD’s Share Loss</t>
  </si>
  <si>
    <t>BUD, SAM, STZ, TAP</t>
  </si>
  <si>
    <t>REPLAY: The Evolving Social Media Landscape</t>
  </si>
  <si>
    <t>GOOGL, META, PINS, SNAP, TWTR</t>
  </si>
  <si>
    <t>REPLAY: Grocery Growth &amp; Deflation Risk</t>
  </si>
  <si>
    <t>REPLAY: NFLX, DIS &amp; Q2’23 CTV/OTT Ad Demand</t>
  </si>
  <si>
    <t>AMZN, CMCSA, DIS, FOXA, FUBO, GOOGL, META, NFLX, NLSN, PARA, ROKU, WBD</t>
  </si>
  <si>
    <t>REPLAY: ADBE’s Q2’23 &amp; AI Hype</t>
  </si>
  <si>
    <t>REPLAY: Wayfair &amp; Furniture: Mid-2023 Update</t>
  </si>
  <si>
    <t>REPLAY: Vail Resorts &amp; 2023-24 Pass Sales</t>
  </si>
  <si>
    <t>REPLAY: FERG &amp; New Home Plumbing Demand</t>
  </si>
  <si>
    <t>REPLAY: SPLK, SNOW and Q1 Optimization</t>
  </si>
  <si>
    <t>REPLAY: Off-Price Retail on Trend?</t>
  </si>
  <si>
    <t>REPLAY: Foodservice Distributors: Q1’23 Update</t>
  </si>
  <si>
    <t>REPLAY: ONON, DECK &amp; NKE: Lacing up for Earnings</t>
  </si>
  <si>
    <t>REPLAY: VVV &amp; Q1 Oil Change Trends</t>
  </si>
  <si>
    <t>VVV</t>
  </si>
  <si>
    <t>REPLAY: DDOG Q1 &amp; 2023 Outlook</t>
  </si>
  <si>
    <t>REPLAY: Security Software’s Q1 &amp; 2023 Spending</t>
  </si>
  <si>
    <t>REPLAY: Q1'23 Hotels Update with Large Management Company</t>
  </si>
  <si>
    <t>REPLAY: The Return of China’s Outbound Traveler</t>
  </si>
  <si>
    <t>REPLAY: ServiceNow Q1 &amp; 2023 Outlook</t>
  </si>
  <si>
    <t>NOW</t>
  </si>
  <si>
    <t>REPLAY: Macau Back in Action</t>
  </si>
  <si>
    <t>REPLAY: Theme Parks: Attendance, Pricing &amp; Strategies</t>
  </si>
  <si>
    <t>REPLAY: ABNB: Short-Term Rentals Growth Short Lived?</t>
  </si>
  <si>
    <t>REPLAY: BC &amp; Post-Pandemic Boat Demand</t>
  </si>
  <si>
    <t>REPLAY: POOL, LESL: Diving for Value?</t>
  </si>
  <si>
    <t>REPLAY: ROL, RTO LN &amp; US Pest Control Competition</t>
  </si>
  <si>
    <t>REPLAY: Q1’23 Cloud and APM Preview</t>
  </si>
  <si>
    <t>REPLAY: Q1 2023 Digital Advertising Update</t>
  </si>
  <si>
    <t>GOOGL, META, PINS, SNAP</t>
  </si>
  <si>
    <t>REPLAY: Amazon's Cloudy Future - The Next Era of Competition</t>
  </si>
  <si>
    <t>REPLAY: Ready to Drink: Beer vs. Cocktails</t>
  </si>
  <si>
    <t>REPLAY: Used Auto Sales - Q1 ‘23</t>
  </si>
  <si>
    <t>ABG, AN, CARG, CVNA, GPI, KMX, LAD, PAG, SAH</t>
  </si>
  <si>
    <t>REPLAY: NFLX, DIS &amp; Q1’23 CTV/OTT Ad Demand</t>
  </si>
  <si>
    <t>REPLAY: NFLX, DIS &amp; Evolving Content Strategies</t>
  </si>
  <si>
    <t>AAPL, AMZN, DIS, NFLX, PARA, ROKU, WBD</t>
  </si>
  <si>
    <t>REPLAY: LW: Frozen Fries or Frozen Stock?</t>
  </si>
  <si>
    <t>LW</t>
  </si>
  <si>
    <t>REPLAY: Florida Short Term Rentals Panel</t>
  </si>
  <si>
    <t>REPLAY: ADBE’s Q1’23 Earnings &amp; DOJ Overhang</t>
  </si>
  <si>
    <t>REPLAY: ONON, DECK: Who’s Winning Share?</t>
  </si>
  <si>
    <t>ADS.XETR, DECK, NKE, ONON, UAA</t>
  </si>
  <si>
    <t>REPLAY: Vail Resorts Lifted by Labor Supply</t>
  </si>
  <si>
    <t>REPLAY: GOOGL &amp; OpenAI – Will LLMs be Disruptive for Search?</t>
  </si>
  <si>
    <t>REPLAY: Is Live Nation a Hot Ticket for 2023?</t>
  </si>
  <si>
    <t>LYV, MSGE, SEAT</t>
  </si>
  <si>
    <t>REPLAY: CWH’s Q4 &amp; RV Sales Update</t>
  </si>
  <si>
    <t>CWH, LAZY, LCII, REVG, THO, WGO</t>
  </si>
  <si>
    <t>REPLAY: Wayfair &amp; Furniture: Reading 2023 Demand</t>
  </si>
  <si>
    <t>AMZN, OSTK, RH, TGT, TJX, W, WMT, WSM</t>
  </si>
  <si>
    <t>REPLAY: Off-Price Retail Stocks Still a Bargain?</t>
  </si>
  <si>
    <t>REPLAY: The Future of Messaging</t>
  </si>
  <si>
    <t>GOOGL, META, SNAP</t>
  </si>
  <si>
    <t>REPLAY: CPRT, IAA: Lower Pricing Driving Volumes?</t>
  </si>
  <si>
    <t>CPRT, IAA, RBA, CVNA, KMX</t>
  </si>
  <si>
    <t>REPLAY: Keysight &amp; the 5G Capex Cycle</t>
  </si>
  <si>
    <t>FTV, KEYS, NATI, T, TDY, TER, TMUS, VIAV, VZ</t>
  </si>
  <si>
    <t>REPLAY: Security Software’s Q4 &amp; 2023 Growth</t>
  </si>
  <si>
    <t>RWD, CSCO, CYBR, FTNT, MSFT, PANW, S, SPLK, SYMC, ZS</t>
  </si>
  <si>
    <t>REPLAY: PLNT’s New Year Resolution: More Members</t>
  </si>
  <si>
    <t>FXLV, NLS, PLNT, PTON, XPOF</t>
  </si>
  <si>
    <t>REPLAY: Q4'22 Hotels Update with Large Management Company</t>
  </si>
  <si>
    <t>BKNG, EXPE, GOOGL, H, HLT, IHG, MAR, TRIP, TRVG</t>
  </si>
  <si>
    <t>REPLAY: 2023 Protein Supply &amp; Demand</t>
  </si>
  <si>
    <t>CAG, HRL, PFGC, PPC, QSR, TSN, WING, YUM</t>
  </si>
  <si>
    <t>REPLAY: Foodservice Distributors: Q4 &amp; 2023 Outlook</t>
  </si>
  <si>
    <t>REPLAY: Regional Casinos, Sports Betting, &amp; 2023 Growth</t>
  </si>
  <si>
    <t>BYD, CHDN, CZR, DKNG, ENT LN, FLTR LN, GDEN, LVS, MGM, PENN, RRR, WYNN</t>
  </si>
  <si>
    <t>REPLAY: Cloud and Observability Software 2023</t>
  </si>
  <si>
    <t>ACN, AMZN, CRWD, CSCO, CTSH, DDOG, DT, ESTC, MSFT, NEWR, NOW, ORCL, SAP, SMAR, SPLK, TEAM, WIT</t>
  </si>
  <si>
    <t>REPLAY: ServiceNow Q4 &amp; 2023 Outlook</t>
  </si>
  <si>
    <t>REPLAY: AAP, AZO, ORLY: Finding the Right Parts</t>
  </si>
  <si>
    <t>AAP, AZO, ORLY</t>
  </si>
  <si>
    <t>REPLAY: Q4 2022 Digital Advertising Update</t>
  </si>
  <si>
    <t>GOOGL, META, PINS, SNAP, TikTok, TWTR</t>
  </si>
  <si>
    <t>REPLAY: Theme Parks: Big Prize or Rollercoaster Ahead?</t>
  </si>
  <si>
    <t>REPLAY: Macau 2023 Outlook</t>
  </si>
  <si>
    <t>1128 HK, GENM KL, LVS, MGM, MPEL, WYNN</t>
  </si>
  <si>
    <t>REPLAY: Ferrari’s Purosangue Joins the SUV Race</t>
  </si>
  <si>
    <t>AML LN, PAH3 GY, RACE, RR/LN, STLA, VOW3 GR</t>
  </si>
  <si>
    <t>REPLAY: ABNB: Booking Out 2023?</t>
  </si>
  <si>
    <t>Start Date/Time</t>
  </si>
  <si>
    <t>Primary Sector</t>
  </si>
  <si>
    <t>Secondary Sector</t>
  </si>
  <si>
    <t>Repair &amp; Remodel Conf Call Q3'24</t>
  </si>
  <si>
    <t>MCD Update Interview</t>
  </si>
  <si>
    <t>TMT</t>
  </si>
  <si>
    <t>PLNT’s CEO Getting Brand in Shape?</t>
  </si>
  <si>
    <t>Industrial/Transportation</t>
  </si>
  <si>
    <t>TPX Laying Competition to Rest?</t>
  </si>
  <si>
    <t>Q3'24 Self-Storage Demand &amp; Capacity Issues</t>
  </si>
  <si>
    <t>Finance/Real Estate</t>
  </si>
  <si>
    <t>Wayfair &amp; Furniture Retail in Q3</t>
  </si>
  <si>
    <t>HAS: Magic: The Gathering &amp; DnD Q3 Update</t>
  </si>
  <si>
    <t>Macro</t>
  </si>
  <si>
    <t>Industrial Distribution FAST - Oct. 24</t>
  </si>
  <si>
    <t>Event Driven/Special Sit</t>
  </si>
  <si>
    <t>Energy</t>
  </si>
  <si>
    <t>Utilities; Solar</t>
  </si>
  <si>
    <t>DLTR: Whats Next Interview</t>
  </si>
  <si>
    <t>Software; Hardware</t>
  </si>
  <si>
    <t>Perusing Furniture Demand in Q3</t>
  </si>
  <si>
    <t>Hardware</t>
  </si>
  <si>
    <t>Parent: RV Dealers 2H'24 Interview</t>
  </si>
  <si>
    <t>Mid Year Interview with CMO of Joe &amp; The Juice</t>
  </si>
  <si>
    <t>ADSK Q2’25 Interview</t>
  </si>
  <si>
    <t>Q2’24 Tequila &amp; Agave Update</t>
  </si>
  <si>
    <t>Healthcare</t>
  </si>
  <si>
    <t>Aerospace MRO Q2'24 Update</t>
  </si>
  <si>
    <t>Q2’24 Beer Distribution &amp; Sales</t>
  </si>
  <si>
    <t>Digital Ad Lunch w/ Ben Legg</t>
  </si>
  <si>
    <t>RV Dealers Q2’24 &amp; 2024 Interview</t>
  </si>
  <si>
    <t>Q1 OTAs and Short-Term Rentals Interview</t>
  </si>
  <si>
    <t>Third-Party Delivery Interview with Gopuff</t>
  </si>
  <si>
    <t>Atlassian Q3’24 &amp; Demand Drivers Interview</t>
  </si>
  <si>
    <t>Games and Entertainment Interview April 2024</t>
  </si>
  <si>
    <t>Used Boats &amp; RVs Interview with Pop Sells CEO</t>
  </si>
  <si>
    <t>NOW Q1'24 Interview</t>
  </si>
  <si>
    <t>Q1'24 Beer: Distribution &amp; Shelf Reset Update</t>
  </si>
  <si>
    <t>LW: Incremental Views From Simplot</t>
  </si>
  <si>
    <t>MCD Q1'24 Interview</t>
  </si>
  <si>
    <t>Reddit pre-IPO Interview with a Former Executive</t>
  </si>
  <si>
    <t>Aero Engines (MRO) Interview</t>
  </si>
  <si>
    <t>ADSK Q4’24 Interview</t>
  </si>
  <si>
    <t>Self-Storage Interview (2/13/24)</t>
  </si>
  <si>
    <t>Fast Fashion and Shein IPO Interview</t>
  </si>
  <si>
    <t>RV Dealers Q4’23 &amp; 2024 Interview</t>
  </si>
  <si>
    <t>ZI: Shifting Economy Needs Contacts?</t>
  </si>
  <si>
    <t>Luxury Outlet Shopping Q&amp;A</t>
  </si>
  <si>
    <t>Macau 2024 Outlook</t>
  </si>
  <si>
    <t>Q4’23 &amp; 2024 Beer Distribution &amp; Sales</t>
  </si>
  <si>
    <t>Used Auto Sales - Q4'23 &amp; 2024</t>
  </si>
  <si>
    <t>Q4'23 Hotels and OTAs Update with Large Management Company</t>
  </si>
  <si>
    <t>Solar Demand &amp; 2024 Growth</t>
  </si>
  <si>
    <t>CIO Interview Q3/Q4 2023</t>
  </si>
  <si>
    <t>Vail Resorts: Let It Snow or Let It Go?</t>
  </si>
  <si>
    <t>Mobile Gaming Trends &amp; IP Game Growth</t>
  </si>
  <si>
    <t>Atkore Q3'23 &amp; Growth Outlook</t>
  </si>
  <si>
    <t>Off-Price Retail: Is the Price Right?</t>
  </si>
  <si>
    <t>Grocery Demand, Deflation &amp; GLP-1s</t>
  </si>
  <si>
    <t>PLNT Flexes Pricing to Lift Unit Growth</t>
  </si>
  <si>
    <t>Q3'23 Furniture Demand &amp; Wayfair</t>
  </si>
  <si>
    <t>Security Software’s Q3 Growth</t>
  </si>
  <si>
    <t>Theme Parks’ Cruel Summer</t>
  </si>
  <si>
    <t>Oil Changes &amp; Car Washes – Q3’23</t>
  </si>
  <si>
    <t>Q3’23 Siding &amp; OSB Demand</t>
  </si>
  <si>
    <t>BC - Q3'23 Inventory &amp; Demand</t>
  </si>
  <si>
    <t>Advertising Trends with Chief Strategist at Taktical Digital</t>
  </si>
  <si>
    <t>OTA &amp; Travel Check-In w/ The Hotel Network</t>
  </si>
  <si>
    <t>Industrial/Transportation; TMT</t>
  </si>
  <si>
    <t>DDOG Q3 &amp; Observability Outlook</t>
  </si>
  <si>
    <t>ROL, RTO LN Q3'23 &amp; Expansion Outlook</t>
  </si>
  <si>
    <t>Regional Casinos: What’s in the Cards?</t>
  </si>
  <si>
    <t>Foodservice Distribution &amp; Q3 Restaurant Demand</t>
  </si>
  <si>
    <t>ServiceNow Q3 &amp; GenAI Impacts</t>
  </si>
  <si>
    <t>Flooring Demand: New Homes, R&amp;R and 2024</t>
  </si>
  <si>
    <t>ONON, DECK &amp; NKE: Inventory Roulette</t>
  </si>
  <si>
    <t>ABNB &amp; Vacation Rentals: Q3’23 Bookings</t>
  </si>
  <si>
    <t>Toy &amp; Gaming Evolution w/ Hasbro Former</t>
  </si>
  <si>
    <t>Semiconductor Demand &amp; NVDA’s Dominance</t>
  </si>
  <si>
    <t>Macau Q3'23: Time To Gamble?</t>
  </si>
  <si>
    <t>POOL, LESL in Need of a Floaty?</t>
  </si>
  <si>
    <t>TWLO, SINCH SS &amp; CPaaS Growth</t>
  </si>
  <si>
    <t>SNOW, Databricks &amp; Data Warehousing Growth</t>
  </si>
  <si>
    <t>Cannabis Regulations to Drive Growth?</t>
  </si>
  <si>
    <t>HUBS, KVYO &amp; Marketing Software Outlook</t>
  </si>
  <si>
    <t>Furniture, Wayfair &amp; Q3 Demand</t>
  </si>
  <si>
    <t>LW: Inventory, Capacity &amp; Margins</t>
  </si>
  <si>
    <t>Shopify Q3 23 Survey Payments</t>
  </si>
  <si>
    <t>Q3’23 Beer Distribution &amp; Sales</t>
  </si>
  <si>
    <t>Q3 Social Ad Spend Shifts</t>
  </si>
  <si>
    <t>Vestis Spin-Off &amp; Uniform Demand</t>
  </si>
  <si>
    <t>NFLX, DIS &amp; Q3’23 CTV/OTT Ad Demand</t>
  </si>
  <si>
    <t>Interview with CMO of Joe &amp; The Juice</t>
  </si>
  <si>
    <t>Unpacking the Self-Storage Industry</t>
  </si>
  <si>
    <t>Ad Spend: Digital, OTT &amp; Linear</t>
  </si>
  <si>
    <t>Athleisure Interview w/ Alo Former</t>
  </si>
  <si>
    <t>Self-storage industry w/ The President at 10 Federal Storage</t>
  </si>
  <si>
    <t>ADBE’s Q3’23 &amp; GenAI Adoption</t>
  </si>
  <si>
    <t>Streaming Video Q3 Outlook</t>
  </si>
  <si>
    <t>Furniture Orders Picking Up?</t>
  </si>
  <si>
    <t>Q2'23 Hotels Update with Large Management Company</t>
  </si>
  <si>
    <t>Grocery’s Deflating Second Act?</t>
  </si>
  <si>
    <t>Off-Price Retail: Q2 Inventory &amp; Price Check</t>
  </si>
  <si>
    <t>Security Software Spend - Q2’23</t>
  </si>
  <si>
    <t>Foodservice Distributors: Q2’23 &amp; Deflation Risk</t>
  </si>
  <si>
    <t>CPRT, RBA &amp; Q2’23 Auction Action</t>
  </si>
  <si>
    <t>Theme Parks: Passes &amp; Stocks on Sale?</t>
  </si>
  <si>
    <t>VVV, DRVN &amp; Q2'23 Automotive Services</t>
  </si>
  <si>
    <t>DDOG Q2 &amp; 2023 Outlook</t>
  </si>
  <si>
    <t>Streaming Music w/ The CEO of SoundCloud</t>
  </si>
  <si>
    <t>SHOP Q3 2023 Payments</t>
  </si>
  <si>
    <t>ROL, RTO LN &amp; Q2'23 Pest Control Growth</t>
  </si>
  <si>
    <t>AAP, AZO, ORLY: Checking Under the Hood</t>
  </si>
  <si>
    <t>ABNB &amp; Vacation Rentals: Summer 2023</t>
  </si>
  <si>
    <t>MHK &amp; Q2'23 Flooring Demand</t>
  </si>
  <si>
    <t>ONON, DECK &amp; NKE: Sneaker Sales Losing Footing?</t>
  </si>
  <si>
    <t>ServiceNow Q2 &amp; 2023 Outlook</t>
  </si>
  <si>
    <t>BC &amp; Q2'23: Sink or Float?</t>
  </si>
  <si>
    <t>Hotel Bookings: Direct vs OTAs</t>
  </si>
  <si>
    <t>PLNT: Unit Growth &amp; Competition</t>
  </si>
  <si>
    <t>POOL, LESL: Return to Growth?</t>
  </si>
  <si>
    <t>Macau - Summer Comeback?</t>
  </si>
  <si>
    <t>Measuring Streaming Media Audience and Ads</t>
  </si>
  <si>
    <t>LW: Q4’23 &amp; New Crop Harvest</t>
  </si>
  <si>
    <t>Large Digital Ad Agency Mid 2023 Update</t>
  </si>
  <si>
    <t>MTCH: Time to Swipe Right?</t>
  </si>
  <si>
    <t>Q2’23 Beer Sales &amp; BUD’s Share Loss</t>
  </si>
  <si>
    <t>Grocery Growth &amp; Deflation Risk</t>
  </si>
  <si>
    <t>The Evolving Social Media Landscape</t>
  </si>
  <si>
    <t>NFLX, DIS &amp; Q2’23 CTV/OTT Ad Demand</t>
  </si>
  <si>
    <t>ADBE’s Q2’23 &amp; AI Hype</t>
  </si>
  <si>
    <t>Wayfair &amp; Furniture: Mid-2023 Update</t>
  </si>
  <si>
    <t>Digital Ads Mid-Quarter Lunch w/ Ben Legg</t>
  </si>
  <si>
    <t>Vail Resorts &amp; 2023-24 Pass Sales</t>
  </si>
  <si>
    <t>FERG &amp; New Home Plumbing Demand</t>
  </si>
  <si>
    <t>SPLK, SNOW and Q1 Optimization</t>
  </si>
  <si>
    <t>Off-Price Retail on Trend?</t>
  </si>
  <si>
    <t>Security Software Interview</t>
  </si>
  <si>
    <t>Foodservice Distributors: Q1’23 Update</t>
  </si>
  <si>
    <t>VVV &amp; Q1 Oil Change Trends</t>
  </si>
  <si>
    <t>SHOP Q1 2023 Payments</t>
  </si>
  <si>
    <t>DDOG Q1 &amp; 2023 Outlook</t>
  </si>
  <si>
    <t>Security Software’s Q1 &amp; 2023 Spending</t>
  </si>
  <si>
    <t>Q1'23 Hotels Update with Large Management Company</t>
  </si>
  <si>
    <t>The Return of China’s Outbound Traveler</t>
  </si>
  <si>
    <t>ServiceNow Q1 &amp; 2023 Outlook</t>
  </si>
  <si>
    <t>FIVN Q1’23 Vendor Update</t>
  </si>
  <si>
    <t>Macau Back in Action</t>
  </si>
  <si>
    <t>Theme Parks: Attendance, Pricing &amp; Strategies</t>
  </si>
  <si>
    <t>ABNB: Short-Term Rentals Growth Short Lived?</t>
  </si>
  <si>
    <t>BC &amp; Post-Pandemic Boat Demand</t>
  </si>
  <si>
    <t>China Outbound Travel Outlook</t>
  </si>
  <si>
    <t>POOL, LESL: Diving for Value?</t>
  </si>
  <si>
    <t>ROL, RTO LN &amp; US Pest Control Competition</t>
  </si>
  <si>
    <t>Q1’23 Cloud and APM Preview</t>
  </si>
  <si>
    <t>Used Auto Sales - Q1 ‘23</t>
  </si>
  <si>
    <t>Ready to Drink: Beer vs. Cocktails</t>
  </si>
  <si>
    <t>Andrew McLean Q1 Update</t>
  </si>
  <si>
    <t>NFLX, DIS &amp; Q1’23 CTV/OTT Ad Demand</t>
  </si>
  <si>
    <t>CIO Interview Craig Richardville</t>
  </si>
  <si>
    <t>NFLX, DIS &amp; Evolving Content Strategies</t>
  </si>
  <si>
    <t>Florida Short Term Rentals Panel</t>
  </si>
  <si>
    <t>ADBE’s Q1’23 Earnings &amp; DOJ Overhang</t>
  </si>
  <si>
    <t>ONON, DECK: Who’s Winning Share?</t>
  </si>
  <si>
    <t>Vail Resorts Lifted by Labor Supply</t>
  </si>
  <si>
    <t>CIO Call Chris Barron</t>
  </si>
  <si>
    <t>OKTA Q4'23 Interview</t>
  </si>
  <si>
    <t>Is Live Nation a Hot Ticket for 2023?</t>
  </si>
  <si>
    <t>CWH’s Q4 &amp; RV Sales Update</t>
  </si>
  <si>
    <t>PZZA, DPZ Update '23</t>
  </si>
  <si>
    <t>SHOP Q4 2022 Payments</t>
  </si>
  <si>
    <t>Off-Price Retail Stocks Still a Bargain?</t>
  </si>
  <si>
    <t>Wayfair &amp; Furniture: Reading 2023 Demand</t>
  </si>
  <si>
    <t>CPRT, IAA: Lower Pricing Driving Volumes?</t>
  </si>
  <si>
    <t>The Future of Messaging</t>
  </si>
  <si>
    <t>Security Software’s Q4 &amp; 2023 Growth</t>
  </si>
  <si>
    <t>Keysight &amp; the 5G Capex Cycle</t>
  </si>
  <si>
    <t>The Outlook for Valvoline's Retail Services Business</t>
  </si>
  <si>
    <t>Q4'22 Hotels Update with Large Management Company</t>
  </si>
  <si>
    <t>PLNT’s New Year Resolution: More Members</t>
  </si>
  <si>
    <t>2023 Protein Supply &amp; Demand</t>
  </si>
  <si>
    <t>European Packaging Interview</t>
  </si>
  <si>
    <t>Foodservice Distributors: Q4 &amp; 2023 Outlook</t>
  </si>
  <si>
    <t>Cloud and Observability Software 2023</t>
  </si>
  <si>
    <t>Regional Casinos, Sports Betting, &amp; 2023 Growth</t>
  </si>
  <si>
    <t>ServiceNow Q4 &amp; 2023 Outlook</t>
  </si>
  <si>
    <t>AAP, AZO, ORLY: Finding the Right Parts</t>
  </si>
  <si>
    <t>Theme Parks: Big Prize or Rollercoaster Ahead?</t>
  </si>
  <si>
    <t>Macau 2023 Outlook</t>
  </si>
  <si>
    <t>Financials</t>
  </si>
  <si>
    <t>Q4’24 CTV/OTT &amp; Digital Ad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</si>
</sst>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\ AM/PM"/>
  </numFmts>
  <fonts count="1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424242"/>
      <name val="Arial"/>
      <scheme val="minor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434343"/>
      <name val="Roboto"/>
    </font>
    <font>
      <u/>
      <sz val="10"/>
      <color theme="1"/>
      <name val="Arial"/>
      <scheme val="minor"/>
    </font>
    <font>
      <u/>
      <sz val="10"/>
      <color theme="1"/>
      <name val="Arial"/>
      <scheme val="minor"/>
    </font>
    <font>
      <b/>
      <sz val="10"/>
      <color rgb="FF000000"/>
      <name val="Arial"/>
    </font>
    <font>
      <sz val="9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F2F3F3"/>
        <bgColor rgb="FFF2F3F3"/>
      </patternFill>
    </fill>
    <fill>
      <patternFill patternType="solid">
        <fgColor rgb="FFE3F3FF"/>
        <bgColor rgb="FFE3F3FF"/>
      </patternFill>
    </fill>
  </fills>
  <borders count="2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442F65"/>
      </left>
      <right style="thin">
        <color rgb="FFF6F8F9"/>
      </right>
      <top style="thin">
        <color rgb="FFF6F8F9"/>
      </top>
      <bottom style="thin">
        <color rgb="FF442F65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442F65"/>
      </bottom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  <diagonal/>
    </border>
    <border>
      <left/>
      <right/>
      <top/>
      <bottom style="thin">
        <color rgb="FF000000"/>
      </bottom>
      <diagonal/>
    </border>
    <border>
      <left style="thin">
        <color rgb="FFE0E3E5"/>
      </left>
      <right/>
      <top style="thin">
        <color rgb="FFE0E3E5"/>
      </top>
      <bottom style="thin">
        <color rgb="FFE0E3E5"/>
      </bottom>
      <diagonal/>
    </border>
    <border>
      <left/>
      <right/>
      <top style="thin">
        <color rgb="FFE0E3E5"/>
      </top>
      <bottom/>
      <diagonal/>
    </border>
    <border>
      <left/>
      <right/>
      <top style="thin">
        <color rgb="FFE0E3E5"/>
      </top>
      <bottom style="thin">
        <color rgb="FFEDEDED"/>
      </bottom>
      <diagonal/>
    </border>
  </borders>
  <cellStyleXfs count="1">
    <xf numFmtId="0" fontId="0" fillId="0" borderId="0"/>
  </cellStyleXfs>
  <cellXfs count="67">
    <xf numFmtId="0" fontId="0" fillId="0" borderId="0" xfId="0"/>
    <xf numFmtId="49" fontId="3" fillId="0" borderId="3" xfId="0" applyNumberFormat="1" applyFont="1" applyBorder="1" applyAlignment="1">
      <alignment vertical="center"/>
    </xf>
    <xf numFmtId="14" fontId="1" fillId="0" borderId="4" xfId="0" applyNumberFormat="1" applyFont="1" applyBorder="1" applyAlignment="1">
      <alignment horizontal="right" vertical="center"/>
    </xf>
    <xf numFmtId="0" fontId="1" fillId="0" borderId="4" xfId="0" applyFont="1" applyBorder="1" applyAlignment="1">
      <alignment vertical="center"/>
    </xf>
    <xf numFmtId="49" fontId="3" fillId="0" borderId="5" xfId="0" applyNumberFormat="1" applyFont="1" applyBorder="1" applyAlignment="1">
      <alignment vertical="center"/>
    </xf>
    <xf numFmtId="14" fontId="1" fillId="0" borderId="6" xfId="0" applyNumberFormat="1" applyFont="1" applyBorder="1" applyAlignment="1">
      <alignment horizontal="right" vertical="center"/>
    </xf>
    <xf numFmtId="0" fontId="1" fillId="0" borderId="6" xfId="0" applyFont="1" applyBorder="1" applyAlignment="1">
      <alignment vertical="center"/>
    </xf>
    <xf numFmtId="49" fontId="4" fillId="2" borderId="3" xfId="0" applyNumberFormat="1" applyFont="1" applyFill="1" applyBorder="1" applyAlignment="1">
      <alignment vertical="center"/>
    </xf>
    <xf numFmtId="49" fontId="5" fillId="2" borderId="3" xfId="0" applyNumberFormat="1" applyFont="1" applyFill="1" applyBorder="1" applyAlignment="1">
      <alignment vertical="center"/>
    </xf>
    <xf numFmtId="49" fontId="6" fillId="0" borderId="3" xfId="0" applyNumberFormat="1" applyFont="1" applyBorder="1" applyAlignment="1">
      <alignment vertical="center"/>
    </xf>
    <xf numFmtId="49" fontId="7" fillId="0" borderId="5" xfId="0" applyNumberFormat="1" applyFont="1" applyBorder="1" applyAlignment="1">
      <alignment vertical="center"/>
    </xf>
    <xf numFmtId="49" fontId="8" fillId="0" borderId="3" xfId="0" applyNumberFormat="1" applyFont="1" applyBorder="1" applyAlignment="1">
      <alignment vertical="center"/>
    </xf>
    <xf numFmtId="49" fontId="1" fillId="0" borderId="5" xfId="0" applyNumberFormat="1" applyFont="1" applyBorder="1" applyAlignment="1">
      <alignment vertical="center"/>
    </xf>
    <xf numFmtId="49" fontId="1" fillId="0" borderId="3" xfId="0" applyNumberFormat="1" applyFont="1" applyBorder="1" applyAlignment="1">
      <alignment vertical="center"/>
    </xf>
    <xf numFmtId="49" fontId="9" fillId="0" borderId="5" xfId="0" applyNumberFormat="1" applyFont="1" applyBorder="1" applyAlignment="1">
      <alignment vertical="center"/>
    </xf>
    <xf numFmtId="49" fontId="10" fillId="0" borderId="5" xfId="0" applyNumberFormat="1" applyFont="1" applyBorder="1" applyAlignment="1">
      <alignment vertical="center"/>
    </xf>
    <xf numFmtId="49" fontId="1" fillId="0" borderId="7" xfId="0" applyNumberFormat="1" applyFont="1" applyBorder="1" applyAlignment="1">
      <alignment vertical="center"/>
    </xf>
    <xf numFmtId="14" fontId="1" fillId="0" borderId="8" xfId="0" applyNumberFormat="1" applyFont="1" applyBorder="1" applyAlignment="1">
      <alignment horizontal="right"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49" fontId="1" fillId="0" borderId="12" xfId="0" applyNumberFormat="1" applyFont="1" applyBorder="1" applyAlignment="1">
      <alignment vertical="center"/>
    </xf>
    <xf numFmtId="49" fontId="11" fillId="0" borderId="4" xfId="0" applyNumberFormat="1" applyFont="1" applyBorder="1" applyAlignment="1">
      <alignment vertical="center"/>
    </xf>
    <xf numFmtId="49" fontId="1" fillId="0" borderId="4" xfId="0" applyNumberFormat="1" applyFont="1" applyBorder="1" applyAlignment="1">
      <alignment vertical="center"/>
    </xf>
    <xf numFmtId="14" fontId="1" fillId="0" borderId="4" xfId="0" applyNumberFormat="1" applyFont="1" applyBorder="1" applyAlignment="1">
      <alignment vertical="center"/>
    </xf>
    <xf numFmtId="14" fontId="1" fillId="0" borderId="13" xfId="0" applyNumberFormat="1" applyFont="1" applyBorder="1" applyAlignment="1">
      <alignment vertical="center"/>
    </xf>
    <xf numFmtId="49" fontId="1" fillId="0" borderId="14" xfId="0" applyNumberFormat="1" applyFont="1" applyBorder="1" applyAlignment="1">
      <alignment vertical="center"/>
    </xf>
    <xf numFmtId="49" fontId="12" fillId="0" borderId="6" xfId="0" applyNumberFormat="1" applyFont="1" applyBorder="1" applyAlignment="1">
      <alignment vertical="center"/>
    </xf>
    <xf numFmtId="49" fontId="1" fillId="0" borderId="6" xfId="0" applyNumberFormat="1" applyFont="1" applyBorder="1" applyAlignment="1">
      <alignment vertical="center"/>
    </xf>
    <xf numFmtId="14" fontId="1" fillId="0" borderId="6" xfId="0" applyNumberFormat="1" applyFont="1" applyBorder="1" applyAlignment="1">
      <alignment vertical="center"/>
    </xf>
    <xf numFmtId="14" fontId="1" fillId="0" borderId="15" xfId="0" applyNumberFormat="1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49" fontId="1" fillId="0" borderId="16" xfId="0" applyNumberFormat="1" applyFont="1" applyBorder="1" applyAlignment="1">
      <alignment vertical="center"/>
    </xf>
    <xf numFmtId="49" fontId="1" fillId="0" borderId="17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14" fontId="1" fillId="0" borderId="17" xfId="0" applyNumberFormat="1" applyFont="1" applyBorder="1" applyAlignment="1">
      <alignment vertical="center"/>
    </xf>
    <xf numFmtId="14" fontId="1" fillId="0" borderId="18" xfId="0" applyNumberFormat="1" applyFont="1" applyBorder="1" applyAlignment="1">
      <alignment vertical="center"/>
    </xf>
    <xf numFmtId="0" fontId="2" fillId="3" borderId="19" xfId="0" applyFont="1" applyFill="1" applyBorder="1" applyAlignment="1">
      <alignment horizontal="left"/>
    </xf>
    <xf numFmtId="0" fontId="1" fillId="3" borderId="0" xfId="0" applyFont="1" applyFill="1"/>
    <xf numFmtId="14" fontId="1" fillId="3" borderId="0" xfId="0" applyNumberFormat="1" applyFont="1" applyFill="1"/>
    <xf numFmtId="0" fontId="13" fillId="4" borderId="0" xfId="0" applyFont="1" applyFill="1" applyAlignment="1">
      <alignment horizontal="left"/>
    </xf>
    <xf numFmtId="0" fontId="13" fillId="5" borderId="20" xfId="0" applyFont="1" applyFill="1" applyBorder="1" applyAlignment="1">
      <alignment horizontal="left"/>
    </xf>
    <xf numFmtId="0" fontId="14" fillId="4" borderId="0" xfId="0" applyFont="1" applyFill="1" applyAlignment="1">
      <alignment horizontal="left"/>
    </xf>
    <xf numFmtId="0" fontId="14" fillId="2" borderId="21" xfId="0" applyFont="1" applyFill="1" applyBorder="1" applyAlignment="1">
      <alignment horizontal="left"/>
    </xf>
    <xf numFmtId="14" fontId="14" fillId="2" borderId="21" xfId="0" applyNumberFormat="1" applyFont="1" applyFill="1" applyBorder="1"/>
    <xf numFmtId="0" fontId="14" fillId="2" borderId="21" xfId="0" applyFont="1" applyFill="1" applyBorder="1"/>
    <xf numFmtId="0" fontId="14" fillId="2" borderId="22" xfId="0" applyFont="1" applyFill="1" applyBorder="1" applyAlignment="1">
      <alignment horizontal="left"/>
    </xf>
    <xf numFmtId="14" fontId="14" fillId="2" borderId="22" xfId="0" applyNumberFormat="1" applyFont="1" applyFill="1" applyBorder="1"/>
    <xf numFmtId="0" fontId="14" fillId="2" borderId="22" xfId="0" applyFont="1" applyFill="1" applyBorder="1"/>
    <xf numFmtId="0" fontId="1" fillId="0" borderId="22" xfId="0" applyFont="1" applyBorder="1"/>
    <xf numFmtId="0" fontId="14" fillId="0" borderId="22" xfId="0" applyFont="1" applyBorder="1" applyAlignment="1">
      <alignment horizontal="left"/>
    </xf>
    <xf numFmtId="14" fontId="14" fillId="0" borderId="22" xfId="0" applyNumberFormat="1" applyFont="1" applyBorder="1"/>
    <xf numFmtId="0" fontId="14" fillId="0" borderId="22" xfId="0" applyFont="1" applyBorder="1"/>
    <xf numFmtId="0" fontId="14" fillId="6" borderId="22" xfId="0" applyFont="1" applyFill="1" applyBorder="1" applyAlignment="1">
      <alignment horizontal="left"/>
    </xf>
    <xf numFmtId="14" fontId="14" fillId="6" borderId="22" xfId="0" applyNumberFormat="1" applyFont="1" applyFill="1" applyBorder="1"/>
    <xf numFmtId="0" fontId="14" fillId="6" borderId="22" xfId="0" applyFont="1" applyFill="1" applyBorder="1"/>
    <xf numFmtId="0" fontId="14" fillId="2" borderId="0" xfId="0" applyFont="1" applyFill="1"/>
    <xf numFmtId="0" fontId="1" fillId="4" borderId="0" xfId="0" applyFont="1" applyFill="1"/>
    <xf numFmtId="164" fontId="14" fillId="2" borderId="21" xfId="0" applyNumberFormat="1" applyFont="1" applyFill="1" applyBorder="1"/>
    <xf numFmtId="164" fontId="14" fillId="2" borderId="22" xfId="0" applyNumberFormat="1" applyFont="1" applyFill="1" applyBorder="1"/>
    <xf numFmtId="164" fontId="14" fillId="0" borderId="22" xfId="0" applyNumberFormat="1" applyFont="1" applyBorder="1"/>
    <xf numFmtId="164" fontId="14" fillId="6" borderId="22" xfId="0" applyNumberFormat="1" applyFont="1" applyFill="1" applyBorder="1"/>
    <xf numFmtId="49" fontId="1" fillId="0" borderId="1" xfId="0" applyNumberFormat="1" applyFont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8">
    <dxf>
      <numFmt numFmtId="19" formatCode="m/d/yyyy"/>
    </dxf>
    <dxf>
      <numFmt numFmtId="30" formatCode="@"/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2">
    <tableStyle name="Takeaways Pipeline-style" pivot="0" count="3" xr9:uid="{00000000-0011-0000-FFFF-FFFF00000000}">
      <tableStyleElement type="headerRow" dxfId="7"/>
      <tableStyleElement type="firstRowStripe" dxfId="6"/>
      <tableStyleElement type="secondRowStripe" dxfId="5"/>
    </tableStyle>
    <tableStyle name="Conference Call Tracker-style" pivot="0" count="3" xr9:uid="{00000000-0011-0000-FFFF-FFFF01000000}"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alls_that_Need_Takeaways" displayName="Calls_that_Need_Takeaways" ref="A1:D275" headerRowDxfId="1">
  <autoFilter ref="A1:D275" xr:uid="{00000000-0009-0000-0100-000001000000}"/>
  <tableColumns count="4">
    <tableColumn id="1" xr3:uid="{00000000-0010-0000-0000-000001000000}" name="Call"/>
    <tableColumn id="2" xr3:uid="{00000000-0010-0000-0000-000002000000}" name="Date" dataDxfId="0"/>
    <tableColumn id="3" xr3:uid="{00000000-0010-0000-0000-000003000000}" name="Sector"/>
    <tableColumn id="4" xr3:uid="{00000000-0010-0000-0000-000004000000}" name="Sentiment"/>
  </tableColumns>
  <tableStyleInfo name="Takeaways Pipeline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Conf_Call_Tracker" displayName="Conf_Call_Tracker" ref="A1:H1016">
  <tableColumns count="8">
    <tableColumn id="1" xr3:uid="{00000000-0010-0000-0100-000001000000}" name="Call tickers/topic"/>
    <tableColumn id="2" xr3:uid="{00000000-0010-0000-0100-000002000000}" name="Analyst"/>
    <tableColumn id="3" xr3:uid="{00000000-0010-0000-0100-000003000000}" name="Compliance status"/>
    <tableColumn id="4" xr3:uid="{00000000-0010-0000-0100-000004000000}" name="Expert"/>
    <tableColumn id="5" xr3:uid="{00000000-0010-0000-0100-000005000000}" name="Call date stage"/>
    <tableColumn id="6" xr3:uid="{00000000-0010-0000-0100-000006000000}" name="Call/marketing stage"/>
    <tableColumn id="7" xr3:uid="{00000000-0010-0000-0100-000007000000}" name="Call date"/>
    <tableColumn id="8" xr3:uid="{00000000-0010-0000-0100-000008000000}" name="Relevant earnings date"/>
  </tableColumns>
  <tableStyleInfo name="Conference Call Tracker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nfeldman@dmllc.com" TargetMode="External"/><Relationship Id="rId13" Type="http://schemas.openxmlformats.org/officeDocument/2006/relationships/hyperlink" Target="mailto:nfeldman@dmllc.com" TargetMode="External"/><Relationship Id="rId18" Type="http://schemas.openxmlformats.org/officeDocument/2006/relationships/hyperlink" Target="mailto:tbuccigrossi@dmllc.com" TargetMode="External"/><Relationship Id="rId3" Type="http://schemas.openxmlformats.org/officeDocument/2006/relationships/hyperlink" Target="mailto:nfeldman@dmllc.com" TargetMode="External"/><Relationship Id="rId21" Type="http://schemas.openxmlformats.org/officeDocument/2006/relationships/hyperlink" Target="mailto:tbuccigrossi@dmllc.com" TargetMode="External"/><Relationship Id="rId7" Type="http://schemas.openxmlformats.org/officeDocument/2006/relationships/hyperlink" Target="mailto:nfeldman@dmllc.com" TargetMode="External"/><Relationship Id="rId12" Type="http://schemas.openxmlformats.org/officeDocument/2006/relationships/hyperlink" Target="mailto:nfeldman@dmllc.com" TargetMode="External"/><Relationship Id="rId17" Type="http://schemas.openxmlformats.org/officeDocument/2006/relationships/hyperlink" Target="mailto:tbuccigrossi@dmllc.com" TargetMode="External"/><Relationship Id="rId25" Type="http://schemas.openxmlformats.org/officeDocument/2006/relationships/table" Target="../tables/table2.xml"/><Relationship Id="rId2" Type="http://schemas.openxmlformats.org/officeDocument/2006/relationships/hyperlink" Target="mailto:nfeldman@dmllc.com" TargetMode="External"/><Relationship Id="rId16" Type="http://schemas.openxmlformats.org/officeDocument/2006/relationships/hyperlink" Target="mailto:tbuccigrossi@dmllc.com" TargetMode="External"/><Relationship Id="rId20" Type="http://schemas.openxmlformats.org/officeDocument/2006/relationships/hyperlink" Target="mailto:tbuccigrossi@dmllc.com" TargetMode="External"/><Relationship Id="rId1" Type="http://schemas.openxmlformats.org/officeDocument/2006/relationships/hyperlink" Target="mailto:nfeldman@dmllc.com" TargetMode="External"/><Relationship Id="rId6" Type="http://schemas.openxmlformats.org/officeDocument/2006/relationships/hyperlink" Target="mailto:nfeldman@dmllc.com" TargetMode="External"/><Relationship Id="rId11" Type="http://schemas.openxmlformats.org/officeDocument/2006/relationships/hyperlink" Target="mailto:nfeldman@dmllc.com" TargetMode="External"/><Relationship Id="rId24" Type="http://schemas.openxmlformats.org/officeDocument/2006/relationships/hyperlink" Target="mailto:tbuccigrossi@dmllc.com" TargetMode="External"/><Relationship Id="rId5" Type="http://schemas.openxmlformats.org/officeDocument/2006/relationships/hyperlink" Target="mailto:nfeldman@dmllc.com" TargetMode="External"/><Relationship Id="rId15" Type="http://schemas.openxmlformats.org/officeDocument/2006/relationships/hyperlink" Target="mailto:nfeldman@dmllc.com" TargetMode="External"/><Relationship Id="rId23" Type="http://schemas.openxmlformats.org/officeDocument/2006/relationships/hyperlink" Target="mailto:tbuccigrossi@dmllc.com" TargetMode="External"/><Relationship Id="rId10" Type="http://schemas.openxmlformats.org/officeDocument/2006/relationships/hyperlink" Target="mailto:nfeldman@dmllc.com" TargetMode="External"/><Relationship Id="rId19" Type="http://schemas.openxmlformats.org/officeDocument/2006/relationships/hyperlink" Target="mailto:tbuccigrossi@dmllc.com" TargetMode="External"/><Relationship Id="rId4" Type="http://schemas.openxmlformats.org/officeDocument/2006/relationships/hyperlink" Target="mailto:nfeldman@dmllc.com" TargetMode="External"/><Relationship Id="rId9" Type="http://schemas.openxmlformats.org/officeDocument/2006/relationships/hyperlink" Target="mailto:nfeldman@dmllc.com" TargetMode="External"/><Relationship Id="rId14" Type="http://schemas.openxmlformats.org/officeDocument/2006/relationships/hyperlink" Target="mailto:nfeldman@dmllc.com" TargetMode="External"/><Relationship Id="rId22" Type="http://schemas.openxmlformats.org/officeDocument/2006/relationships/hyperlink" Target="mailto:tbuccigrossi@dmll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FF00"/>
    <outlinePr summaryBelow="0" summaryRight="0"/>
  </sheetPr>
  <dimension ref="A1:D275"/>
  <sheetViews>
    <sheetView tabSelected="1" workbookViewId="0">
      <pane ySplit="1" topLeftCell="A2" activePane="bottomLeft" state="frozen"/>
      <selection pane="bottomLeft" activeCell="G23" sqref="G23"/>
    </sheetView>
  </sheetViews>
  <sheetFormatPr defaultColWidth="12.5703125" defaultRowHeight="15.75" customHeight="1" x14ac:dyDescent="0.2"/>
  <cols>
    <col min="1" max="1" width="43.28515625" customWidth="1"/>
    <col min="2" max="2" width="14.28515625" customWidth="1"/>
    <col min="3" max="3" width="22" customWidth="1"/>
    <col min="4" max="4" width="16.42578125" customWidth="1"/>
  </cols>
  <sheetData>
    <row r="1" spans="1:4" ht="12.75" x14ac:dyDescent="0.2">
      <c r="A1" s="64" t="s">
        <v>0</v>
      </c>
      <c r="B1" s="65" t="s">
        <v>1</v>
      </c>
      <c r="C1" s="65" t="s">
        <v>2</v>
      </c>
      <c r="D1" s="66" t="s">
        <v>3</v>
      </c>
    </row>
    <row r="2" spans="1:4" ht="12.75" x14ac:dyDescent="0.2">
      <c r="A2" s="1" t="s">
        <v>4</v>
      </c>
      <c r="B2" s="2">
        <v>45769</v>
      </c>
      <c r="C2" s="3" t="s">
        <v>5</v>
      </c>
      <c r="D2" s="3" t="s">
        <v>6</v>
      </c>
    </row>
    <row r="3" spans="1:4" ht="12.75" x14ac:dyDescent="0.2">
      <c r="A3" s="4" t="s">
        <v>8</v>
      </c>
      <c r="B3" s="5">
        <v>45769</v>
      </c>
      <c r="C3" s="6" t="s">
        <v>5</v>
      </c>
      <c r="D3" s="6" t="s">
        <v>6</v>
      </c>
    </row>
    <row r="4" spans="1:4" ht="12.75" x14ac:dyDescent="0.2">
      <c r="A4" s="7" t="s">
        <v>9</v>
      </c>
      <c r="B4" s="2">
        <v>45768</v>
      </c>
      <c r="C4" s="3" t="s">
        <v>10</v>
      </c>
      <c r="D4" s="3" t="s">
        <v>6</v>
      </c>
    </row>
    <row r="5" spans="1:4" ht="12.75" x14ac:dyDescent="0.2">
      <c r="A5" s="8" t="s">
        <v>11</v>
      </c>
      <c r="B5" s="5">
        <v>45768</v>
      </c>
      <c r="C5" s="6" t="s">
        <v>5</v>
      </c>
      <c r="D5" s="6" t="s">
        <v>6</v>
      </c>
    </row>
    <row r="6" spans="1:4" ht="12.75" x14ac:dyDescent="0.2">
      <c r="A6" s="9" t="s">
        <v>12</v>
      </c>
      <c r="B6" s="2">
        <v>45763</v>
      </c>
      <c r="C6" s="3" t="s">
        <v>13</v>
      </c>
      <c r="D6" s="3" t="s">
        <v>6</v>
      </c>
    </row>
    <row r="7" spans="1:4" ht="12.75" x14ac:dyDescent="0.2">
      <c r="A7" s="4" t="s">
        <v>14</v>
      </c>
      <c r="B7" s="5">
        <v>45763</v>
      </c>
      <c r="C7" s="6" t="s">
        <v>10</v>
      </c>
      <c r="D7" s="6" t="s">
        <v>15</v>
      </c>
    </row>
    <row r="8" spans="1:4" ht="12.75" x14ac:dyDescent="0.2">
      <c r="A8" s="9" t="s">
        <v>16</v>
      </c>
      <c r="B8" s="2">
        <v>45763</v>
      </c>
      <c r="C8" s="3" t="s">
        <v>10</v>
      </c>
      <c r="D8" s="3" t="s">
        <v>6</v>
      </c>
    </row>
    <row r="9" spans="1:4" ht="12.75" x14ac:dyDescent="0.2">
      <c r="A9" s="4" t="s">
        <v>18</v>
      </c>
      <c r="B9" s="5">
        <v>45762</v>
      </c>
      <c r="C9" s="6" t="s">
        <v>13</v>
      </c>
      <c r="D9" s="6" t="s">
        <v>19</v>
      </c>
    </row>
    <row r="10" spans="1:4" ht="12.75" x14ac:dyDescent="0.2">
      <c r="A10" s="1" t="s">
        <v>20</v>
      </c>
      <c r="B10" s="2">
        <v>45762</v>
      </c>
      <c r="C10" s="3" t="s">
        <v>21</v>
      </c>
      <c r="D10" s="3" t="s">
        <v>6</v>
      </c>
    </row>
    <row r="11" spans="1:4" ht="12.75" x14ac:dyDescent="0.2">
      <c r="A11" s="10" t="s">
        <v>22</v>
      </c>
      <c r="B11" s="5">
        <v>45762</v>
      </c>
      <c r="C11" s="6" t="s">
        <v>5</v>
      </c>
      <c r="D11" s="6" t="s">
        <v>6</v>
      </c>
    </row>
    <row r="12" spans="1:4" ht="12.75" x14ac:dyDescent="0.2">
      <c r="A12" s="11" t="s">
        <v>23</v>
      </c>
      <c r="B12" s="2">
        <v>45761</v>
      </c>
      <c r="C12" s="3" t="s">
        <v>5</v>
      </c>
      <c r="D12" s="3" t="s">
        <v>15</v>
      </c>
    </row>
    <row r="13" spans="1:4" ht="12.75" x14ac:dyDescent="0.2">
      <c r="A13" s="10" t="s">
        <v>24</v>
      </c>
      <c r="B13" s="5">
        <v>45761</v>
      </c>
      <c r="C13" s="6" t="s">
        <v>13</v>
      </c>
      <c r="D13" s="6" t="s">
        <v>6</v>
      </c>
    </row>
    <row r="14" spans="1:4" ht="12.75" x14ac:dyDescent="0.2">
      <c r="A14" s="9" t="s">
        <v>25</v>
      </c>
      <c r="B14" s="2">
        <v>45761</v>
      </c>
      <c r="C14" s="3" t="s">
        <v>26</v>
      </c>
      <c r="D14" s="3" t="s">
        <v>27</v>
      </c>
    </row>
    <row r="15" spans="1:4" ht="12.75" x14ac:dyDescent="0.2">
      <c r="A15" s="12" t="s">
        <v>28</v>
      </c>
      <c r="B15" s="5">
        <v>45761</v>
      </c>
      <c r="C15" s="6" t="s">
        <v>10</v>
      </c>
      <c r="D15" s="6" t="s">
        <v>19</v>
      </c>
    </row>
    <row r="16" spans="1:4" ht="12.75" x14ac:dyDescent="0.2">
      <c r="A16" s="13" t="s">
        <v>29</v>
      </c>
      <c r="B16" s="2">
        <v>45758</v>
      </c>
      <c r="C16" s="3" t="s">
        <v>13</v>
      </c>
      <c r="D16" s="3" t="s">
        <v>19</v>
      </c>
    </row>
    <row r="17" spans="1:4" ht="12.75" x14ac:dyDescent="0.2">
      <c r="A17" s="12" t="s">
        <v>30</v>
      </c>
      <c r="B17" s="5">
        <v>45758</v>
      </c>
      <c r="C17" s="6" t="s">
        <v>13</v>
      </c>
      <c r="D17" s="6" t="s">
        <v>6</v>
      </c>
    </row>
    <row r="18" spans="1:4" ht="12.75" x14ac:dyDescent="0.2">
      <c r="A18" s="9" t="s">
        <v>31</v>
      </c>
      <c r="B18" s="2">
        <v>45758</v>
      </c>
      <c r="C18" s="3" t="s">
        <v>10</v>
      </c>
      <c r="D18" s="3" t="s">
        <v>19</v>
      </c>
    </row>
    <row r="19" spans="1:4" ht="12.75" x14ac:dyDescent="0.2">
      <c r="A19" s="12" t="s">
        <v>32</v>
      </c>
      <c r="B19" s="5">
        <v>45758</v>
      </c>
      <c r="C19" s="6" t="s">
        <v>13</v>
      </c>
      <c r="D19" s="6" t="s">
        <v>19</v>
      </c>
    </row>
    <row r="20" spans="1:4" ht="12.75" x14ac:dyDescent="0.2">
      <c r="A20" s="13" t="s">
        <v>33</v>
      </c>
      <c r="B20" s="2">
        <v>45757</v>
      </c>
      <c r="C20" s="3" t="s">
        <v>13</v>
      </c>
      <c r="D20" s="3" t="s">
        <v>15</v>
      </c>
    </row>
    <row r="21" spans="1:4" ht="12.75" x14ac:dyDescent="0.2">
      <c r="A21" s="14" t="s">
        <v>34</v>
      </c>
      <c r="B21" s="5">
        <v>45757</v>
      </c>
      <c r="C21" s="6" t="s">
        <v>35</v>
      </c>
      <c r="D21" s="6" t="s">
        <v>6</v>
      </c>
    </row>
    <row r="22" spans="1:4" ht="12.75" x14ac:dyDescent="0.2">
      <c r="A22" s="13" t="s">
        <v>36</v>
      </c>
      <c r="B22" s="2">
        <v>45757</v>
      </c>
      <c r="C22" s="3" t="s">
        <v>13</v>
      </c>
      <c r="D22" s="3" t="s">
        <v>19</v>
      </c>
    </row>
    <row r="23" spans="1:4" ht="12.75" x14ac:dyDescent="0.2">
      <c r="A23" s="12" t="s">
        <v>37</v>
      </c>
      <c r="B23" s="5">
        <v>45757</v>
      </c>
      <c r="C23" s="6" t="s">
        <v>26</v>
      </c>
      <c r="D23" s="6" t="s">
        <v>15</v>
      </c>
    </row>
    <row r="24" spans="1:4" ht="12.75" x14ac:dyDescent="0.2">
      <c r="A24" s="13" t="s">
        <v>38</v>
      </c>
      <c r="B24" s="2">
        <v>45756</v>
      </c>
      <c r="C24" s="3" t="s">
        <v>13</v>
      </c>
      <c r="D24" s="3" t="s">
        <v>15</v>
      </c>
    </row>
    <row r="25" spans="1:4" ht="12.75" x14ac:dyDescent="0.2">
      <c r="A25" s="12" t="s">
        <v>39</v>
      </c>
      <c r="B25" s="5">
        <v>45755</v>
      </c>
      <c r="C25" s="6" t="s">
        <v>13</v>
      </c>
      <c r="D25" s="6" t="s">
        <v>19</v>
      </c>
    </row>
    <row r="26" spans="1:4" ht="12.75" x14ac:dyDescent="0.2">
      <c r="A26" s="13" t="s">
        <v>40</v>
      </c>
      <c r="B26" s="2">
        <v>45755</v>
      </c>
      <c r="C26" s="3" t="s">
        <v>13</v>
      </c>
      <c r="D26" s="3" t="s">
        <v>41</v>
      </c>
    </row>
    <row r="27" spans="1:4" ht="12.75" x14ac:dyDescent="0.2">
      <c r="A27" s="12" t="s">
        <v>42</v>
      </c>
      <c r="B27" s="5">
        <v>45754</v>
      </c>
      <c r="C27" s="6" t="s">
        <v>13</v>
      </c>
      <c r="D27" s="6" t="s">
        <v>19</v>
      </c>
    </row>
    <row r="28" spans="1:4" ht="12.75" x14ac:dyDescent="0.2">
      <c r="A28" s="13" t="s">
        <v>43</v>
      </c>
      <c r="B28" s="2">
        <v>45754</v>
      </c>
      <c r="C28" s="3" t="s">
        <v>26</v>
      </c>
      <c r="D28" s="3" t="s">
        <v>15</v>
      </c>
    </row>
    <row r="29" spans="1:4" ht="12.75" x14ac:dyDescent="0.2">
      <c r="A29" s="12" t="s">
        <v>44</v>
      </c>
      <c r="B29" s="5">
        <v>45751</v>
      </c>
      <c r="C29" s="6" t="s">
        <v>26</v>
      </c>
      <c r="D29" s="6"/>
    </row>
    <row r="30" spans="1:4" ht="12.75" x14ac:dyDescent="0.2">
      <c r="A30" s="13" t="s">
        <v>45</v>
      </c>
      <c r="B30" s="2">
        <v>45751</v>
      </c>
      <c r="C30" s="3" t="s">
        <v>26</v>
      </c>
      <c r="D30" s="3" t="s">
        <v>6</v>
      </c>
    </row>
    <row r="31" spans="1:4" ht="12.75" x14ac:dyDescent="0.2">
      <c r="A31" s="12" t="s">
        <v>46</v>
      </c>
      <c r="B31" s="5">
        <v>45750</v>
      </c>
      <c r="C31" s="6" t="s">
        <v>10</v>
      </c>
      <c r="D31" s="6" t="s">
        <v>6</v>
      </c>
    </row>
    <row r="32" spans="1:4" ht="12.75" x14ac:dyDescent="0.2">
      <c r="A32" s="13" t="s">
        <v>47</v>
      </c>
      <c r="B32" s="2">
        <v>45750</v>
      </c>
      <c r="C32" s="3" t="s">
        <v>35</v>
      </c>
      <c r="D32" s="3" t="s">
        <v>6</v>
      </c>
    </row>
    <row r="33" spans="1:4" ht="12.75" x14ac:dyDescent="0.2">
      <c r="A33" s="12" t="s">
        <v>48</v>
      </c>
      <c r="B33" s="5">
        <v>45749</v>
      </c>
      <c r="C33" s="6"/>
      <c r="D33" s="6"/>
    </row>
    <row r="34" spans="1:4" ht="12.75" x14ac:dyDescent="0.2">
      <c r="A34" s="13" t="s">
        <v>49</v>
      </c>
      <c r="B34" s="2">
        <v>45749</v>
      </c>
      <c r="C34" s="3"/>
      <c r="D34" s="3"/>
    </row>
    <row r="35" spans="1:4" ht="12.75" x14ac:dyDescent="0.2">
      <c r="A35" s="12" t="s">
        <v>50</v>
      </c>
      <c r="B35" s="5">
        <v>45748</v>
      </c>
      <c r="C35" s="6"/>
      <c r="D35" s="6"/>
    </row>
    <row r="36" spans="1:4" ht="12.75" x14ac:dyDescent="0.2">
      <c r="A36" s="13" t="s">
        <v>51</v>
      </c>
      <c r="B36" s="2">
        <v>45742</v>
      </c>
      <c r="C36" s="3"/>
      <c r="D36" s="3"/>
    </row>
    <row r="37" spans="1:4" ht="12.75" x14ac:dyDescent="0.2">
      <c r="A37" s="14" t="s">
        <v>52</v>
      </c>
      <c r="B37" s="5">
        <v>45747</v>
      </c>
      <c r="C37" s="6"/>
      <c r="D37" s="6"/>
    </row>
    <row r="38" spans="1:4" ht="12.75" x14ac:dyDescent="0.2">
      <c r="A38" s="11" t="s">
        <v>53</v>
      </c>
      <c r="B38" s="2">
        <v>45737</v>
      </c>
      <c r="C38" s="3" t="s">
        <v>758</v>
      </c>
      <c r="D38" s="3" t="s">
        <v>19</v>
      </c>
    </row>
    <row r="39" spans="1:4" ht="12.75" x14ac:dyDescent="0.2">
      <c r="A39" s="14" t="s">
        <v>54</v>
      </c>
      <c r="B39" s="5">
        <v>45737</v>
      </c>
      <c r="C39" s="6"/>
      <c r="D39" s="6"/>
    </row>
    <row r="40" spans="1:4" ht="12.75" x14ac:dyDescent="0.2">
      <c r="A40" s="13" t="s">
        <v>55</v>
      </c>
      <c r="B40" s="2">
        <v>45735</v>
      </c>
      <c r="C40" s="3"/>
      <c r="D40" s="3"/>
    </row>
    <row r="41" spans="1:4" ht="12.75" x14ac:dyDescent="0.2">
      <c r="A41" s="14" t="s">
        <v>56</v>
      </c>
      <c r="B41" s="5">
        <v>45734</v>
      </c>
      <c r="C41" s="6" t="s">
        <v>13</v>
      </c>
      <c r="D41" s="6" t="s">
        <v>27</v>
      </c>
    </row>
    <row r="42" spans="1:4" ht="12.75" x14ac:dyDescent="0.2">
      <c r="A42" s="11" t="s">
        <v>57</v>
      </c>
      <c r="B42" s="2">
        <v>45729</v>
      </c>
      <c r="C42" s="3" t="s">
        <v>758</v>
      </c>
      <c r="D42" s="3" t="s">
        <v>19</v>
      </c>
    </row>
    <row r="43" spans="1:4" ht="12.75" x14ac:dyDescent="0.2">
      <c r="A43" s="14" t="s">
        <v>58</v>
      </c>
      <c r="B43" s="5">
        <v>45712</v>
      </c>
      <c r="C43" s="6"/>
      <c r="D43" s="6"/>
    </row>
    <row r="44" spans="1:4" ht="12.75" x14ac:dyDescent="0.2">
      <c r="A44" s="11" t="s">
        <v>59</v>
      </c>
      <c r="B44" s="2">
        <v>45711</v>
      </c>
      <c r="C44" s="3"/>
      <c r="D44" s="3"/>
    </row>
    <row r="45" spans="1:4" ht="12.75" x14ac:dyDescent="0.2">
      <c r="A45" s="14" t="s">
        <v>60</v>
      </c>
      <c r="B45" s="5">
        <v>45709</v>
      </c>
      <c r="C45" s="6" t="s">
        <v>13</v>
      </c>
      <c r="D45" s="6" t="s">
        <v>15</v>
      </c>
    </row>
    <row r="46" spans="1:4" ht="12.75" x14ac:dyDescent="0.2">
      <c r="A46" s="13" t="s">
        <v>61</v>
      </c>
      <c r="B46" s="2">
        <v>45729</v>
      </c>
      <c r="C46" s="3" t="s">
        <v>13</v>
      </c>
      <c r="D46" s="3" t="s">
        <v>15</v>
      </c>
    </row>
    <row r="47" spans="1:4" ht="12.75" x14ac:dyDescent="0.2">
      <c r="A47" s="12" t="s">
        <v>62</v>
      </c>
      <c r="B47" s="5">
        <v>45727</v>
      </c>
      <c r="C47" s="6"/>
      <c r="D47" s="6"/>
    </row>
    <row r="48" spans="1:4" ht="12.75" x14ac:dyDescent="0.2">
      <c r="A48" s="13" t="s">
        <v>63</v>
      </c>
      <c r="B48" s="2">
        <v>45722</v>
      </c>
      <c r="C48" s="3"/>
      <c r="D48" s="3"/>
    </row>
    <row r="49" spans="1:4" ht="12.75" x14ac:dyDescent="0.2">
      <c r="A49" s="12" t="s">
        <v>64</v>
      </c>
      <c r="B49" s="5">
        <v>45721</v>
      </c>
      <c r="C49" s="6"/>
      <c r="D49" s="6"/>
    </row>
    <row r="50" spans="1:4" ht="12.75" x14ac:dyDescent="0.2">
      <c r="A50" s="13" t="s">
        <v>65</v>
      </c>
      <c r="B50" s="2">
        <v>45720</v>
      </c>
      <c r="C50" s="3"/>
      <c r="D50" s="3"/>
    </row>
    <row r="51" spans="1:4" ht="12.75" x14ac:dyDescent="0.2">
      <c r="A51" s="12" t="s">
        <v>66</v>
      </c>
      <c r="B51" s="5">
        <v>45713</v>
      </c>
      <c r="C51" s="6" t="s">
        <v>13</v>
      </c>
      <c r="D51" s="6" t="s">
        <v>15</v>
      </c>
    </row>
    <row r="52" spans="1:4" ht="12.75" x14ac:dyDescent="0.2">
      <c r="A52" s="13" t="s">
        <v>59</v>
      </c>
      <c r="B52" s="2">
        <v>45711</v>
      </c>
      <c r="C52" s="3" t="s">
        <v>13</v>
      </c>
      <c r="D52" s="3" t="s">
        <v>41</v>
      </c>
    </row>
    <row r="53" spans="1:4" ht="12.75" x14ac:dyDescent="0.2">
      <c r="A53" s="14" t="s">
        <v>67</v>
      </c>
      <c r="B53" s="5">
        <v>45708</v>
      </c>
      <c r="C53" s="6"/>
      <c r="D53" s="6"/>
    </row>
    <row r="54" spans="1:4" ht="12.75" x14ac:dyDescent="0.2">
      <c r="A54" s="11" t="s">
        <v>68</v>
      </c>
      <c r="B54" s="2">
        <v>45708</v>
      </c>
      <c r="C54" s="3" t="s">
        <v>26</v>
      </c>
      <c r="D54" s="3" t="s">
        <v>15</v>
      </c>
    </row>
    <row r="55" spans="1:4" ht="12.75" x14ac:dyDescent="0.2">
      <c r="A55" s="12" t="s">
        <v>67</v>
      </c>
      <c r="B55" s="5">
        <v>45708</v>
      </c>
      <c r="C55" s="6" t="s">
        <v>13</v>
      </c>
      <c r="D55" s="6" t="s">
        <v>41</v>
      </c>
    </row>
    <row r="56" spans="1:4" ht="12.75" x14ac:dyDescent="0.2">
      <c r="A56" s="13" t="s">
        <v>69</v>
      </c>
      <c r="B56" s="2">
        <v>45706</v>
      </c>
      <c r="C56" s="3"/>
      <c r="D56" s="3"/>
    </row>
    <row r="57" spans="1:4" ht="12.75" x14ac:dyDescent="0.2">
      <c r="A57" s="12" t="s">
        <v>70</v>
      </c>
      <c r="B57" s="5">
        <v>45701</v>
      </c>
      <c r="C57" s="6"/>
      <c r="D57" s="6"/>
    </row>
    <row r="58" spans="1:4" ht="12.75" x14ac:dyDescent="0.2">
      <c r="A58" s="13" t="s">
        <v>71</v>
      </c>
      <c r="B58" s="2">
        <v>45700</v>
      </c>
      <c r="C58" s="3"/>
      <c r="D58" s="3"/>
    </row>
    <row r="59" spans="1:4" ht="12.75" x14ac:dyDescent="0.2">
      <c r="A59" s="12" t="s">
        <v>72</v>
      </c>
      <c r="B59" s="5">
        <v>45700</v>
      </c>
      <c r="C59" s="6"/>
      <c r="D59" s="6"/>
    </row>
    <row r="60" spans="1:4" ht="12.75" x14ac:dyDescent="0.2">
      <c r="A60" s="13" t="s">
        <v>73</v>
      </c>
      <c r="B60" s="2">
        <v>45698</v>
      </c>
      <c r="C60" s="3"/>
      <c r="D60" s="3"/>
    </row>
    <row r="61" spans="1:4" ht="12.75" x14ac:dyDescent="0.2">
      <c r="A61" s="12" t="s">
        <v>74</v>
      </c>
      <c r="B61" s="5">
        <v>45698</v>
      </c>
      <c r="C61" s="6" t="s">
        <v>35</v>
      </c>
      <c r="D61" s="6" t="s">
        <v>6</v>
      </c>
    </row>
    <row r="62" spans="1:4" ht="12.75" x14ac:dyDescent="0.2">
      <c r="A62" s="13" t="s">
        <v>72</v>
      </c>
      <c r="B62" s="2">
        <v>45695</v>
      </c>
      <c r="C62" s="3"/>
      <c r="D62" s="3"/>
    </row>
    <row r="63" spans="1:4" ht="12.75" x14ac:dyDescent="0.2">
      <c r="A63" s="12" t="s">
        <v>75</v>
      </c>
      <c r="B63" s="5">
        <v>45694</v>
      </c>
      <c r="C63" s="6"/>
      <c r="D63" s="6"/>
    </row>
    <row r="64" spans="1:4" ht="12.75" x14ac:dyDescent="0.2">
      <c r="A64" s="13" t="s">
        <v>76</v>
      </c>
      <c r="B64" s="2">
        <v>45693</v>
      </c>
      <c r="C64" s="3" t="s">
        <v>35</v>
      </c>
      <c r="D64" s="3" t="s">
        <v>6</v>
      </c>
    </row>
    <row r="65" spans="1:4" ht="12.75" x14ac:dyDescent="0.2">
      <c r="A65" s="12" t="s">
        <v>77</v>
      </c>
      <c r="B65" s="5">
        <v>45692</v>
      </c>
      <c r="C65" s="6"/>
      <c r="D65" s="6"/>
    </row>
    <row r="66" spans="1:4" ht="12.75" x14ac:dyDescent="0.2">
      <c r="A66" s="11" t="s">
        <v>78</v>
      </c>
      <c r="B66" s="2">
        <v>45692</v>
      </c>
      <c r="C66" s="3" t="s">
        <v>5</v>
      </c>
      <c r="D66" s="3" t="s">
        <v>15</v>
      </c>
    </row>
    <row r="67" spans="1:4" ht="12.75" x14ac:dyDescent="0.2">
      <c r="A67" s="12" t="s">
        <v>79</v>
      </c>
      <c r="B67" s="5">
        <v>45691</v>
      </c>
      <c r="C67" s="6"/>
      <c r="D67" s="6"/>
    </row>
    <row r="68" spans="1:4" ht="12.75" x14ac:dyDescent="0.2">
      <c r="A68" s="13" t="s">
        <v>80</v>
      </c>
      <c r="B68" s="2">
        <v>45688</v>
      </c>
      <c r="C68" s="3"/>
      <c r="D68" s="3"/>
    </row>
    <row r="69" spans="1:4" ht="12.75" x14ac:dyDescent="0.2">
      <c r="A69" s="12" t="s">
        <v>81</v>
      </c>
      <c r="B69" s="5">
        <v>45687</v>
      </c>
      <c r="C69" s="6" t="s">
        <v>13</v>
      </c>
      <c r="D69" s="6" t="s">
        <v>15</v>
      </c>
    </row>
    <row r="70" spans="1:4" ht="12.75" x14ac:dyDescent="0.2">
      <c r="A70" s="13" t="s">
        <v>82</v>
      </c>
      <c r="B70" s="2">
        <v>45687</v>
      </c>
      <c r="C70" s="3"/>
      <c r="D70" s="3"/>
    </row>
    <row r="71" spans="1:4" ht="12.75" x14ac:dyDescent="0.2">
      <c r="A71" s="12" t="s">
        <v>83</v>
      </c>
      <c r="B71" s="5">
        <v>45687</v>
      </c>
      <c r="C71" s="6" t="s">
        <v>5</v>
      </c>
      <c r="D71" s="6" t="s">
        <v>6</v>
      </c>
    </row>
    <row r="72" spans="1:4" ht="12.75" x14ac:dyDescent="0.2">
      <c r="A72" s="13" t="s">
        <v>84</v>
      </c>
      <c r="B72" s="2">
        <v>45686</v>
      </c>
      <c r="C72" s="3"/>
      <c r="D72" s="3"/>
    </row>
    <row r="73" spans="1:4" ht="12.75" x14ac:dyDescent="0.2">
      <c r="A73" s="14" t="s">
        <v>85</v>
      </c>
      <c r="B73" s="5">
        <v>45686</v>
      </c>
      <c r="C73" s="6" t="s">
        <v>10</v>
      </c>
      <c r="D73" s="6" t="s">
        <v>15</v>
      </c>
    </row>
    <row r="74" spans="1:4" ht="12.75" x14ac:dyDescent="0.2">
      <c r="A74" s="13" t="s">
        <v>86</v>
      </c>
      <c r="B74" s="2">
        <v>45685</v>
      </c>
      <c r="C74" s="3"/>
      <c r="D74" s="3"/>
    </row>
    <row r="75" spans="1:4" ht="12.75" x14ac:dyDescent="0.2">
      <c r="A75" s="12" t="s">
        <v>87</v>
      </c>
      <c r="B75" s="5">
        <v>45685</v>
      </c>
      <c r="C75" s="6"/>
      <c r="D75" s="6"/>
    </row>
    <row r="76" spans="1:4" ht="12.75" x14ac:dyDescent="0.2">
      <c r="A76" s="11" t="s">
        <v>88</v>
      </c>
      <c r="B76" s="2">
        <v>45684</v>
      </c>
      <c r="C76" s="3" t="s">
        <v>921</v>
      </c>
      <c r="D76" s="3" t="s">
        <v>6</v>
      </c>
    </row>
    <row r="77" spans="1:4" ht="12.75" x14ac:dyDescent="0.2">
      <c r="A77" s="12" t="s">
        <v>89</v>
      </c>
      <c r="B77" s="5">
        <v>45681</v>
      </c>
      <c r="C77" s="6"/>
      <c r="D77" s="6"/>
    </row>
    <row r="78" spans="1:4" ht="12.75" x14ac:dyDescent="0.2">
      <c r="A78" s="13" t="s">
        <v>90</v>
      </c>
      <c r="B78" s="2">
        <v>45680</v>
      </c>
      <c r="C78" s="3"/>
      <c r="D78" s="3"/>
    </row>
    <row r="79" spans="1:4" ht="12.75" x14ac:dyDescent="0.2">
      <c r="A79" s="14" t="s">
        <v>91</v>
      </c>
      <c r="B79" s="5">
        <v>45679</v>
      </c>
      <c r="C79" s="6"/>
      <c r="D79" s="6"/>
    </row>
    <row r="80" spans="1:4" ht="12.75" x14ac:dyDescent="0.2">
      <c r="A80" s="13" t="s">
        <v>92</v>
      </c>
      <c r="B80" s="2">
        <v>45679</v>
      </c>
      <c r="C80" s="3" t="s">
        <v>13</v>
      </c>
      <c r="D80" s="3" t="s">
        <v>6</v>
      </c>
    </row>
    <row r="81" spans="1:4" ht="12.75" x14ac:dyDescent="0.2">
      <c r="A81" s="12" t="s">
        <v>93</v>
      </c>
      <c r="B81" s="5">
        <v>45679</v>
      </c>
      <c r="C81" s="6" t="s">
        <v>5</v>
      </c>
      <c r="D81" s="6" t="s">
        <v>15</v>
      </c>
    </row>
    <row r="82" spans="1:4" ht="12.75" x14ac:dyDescent="0.2">
      <c r="A82" s="13" t="s">
        <v>94</v>
      </c>
      <c r="B82" s="2">
        <v>45679</v>
      </c>
      <c r="C82" s="3"/>
      <c r="D82" s="3"/>
    </row>
    <row r="83" spans="1:4" ht="12.75" x14ac:dyDescent="0.2">
      <c r="A83" s="12" t="s">
        <v>95</v>
      </c>
      <c r="B83" s="5">
        <v>45678</v>
      </c>
      <c r="C83" s="6" t="s">
        <v>5</v>
      </c>
      <c r="D83" s="6" t="s">
        <v>6</v>
      </c>
    </row>
    <row r="84" spans="1:4" ht="12.75" x14ac:dyDescent="0.2">
      <c r="A84" s="13" t="s">
        <v>96</v>
      </c>
      <c r="B84" s="2">
        <v>45678</v>
      </c>
      <c r="C84" s="3" t="s">
        <v>5</v>
      </c>
      <c r="D84" s="3" t="s">
        <v>15</v>
      </c>
    </row>
    <row r="85" spans="1:4" ht="12.75" x14ac:dyDescent="0.2">
      <c r="A85" s="12" t="s">
        <v>97</v>
      </c>
      <c r="B85" s="5">
        <v>45678</v>
      </c>
      <c r="C85" s="6"/>
      <c r="D85" s="6"/>
    </row>
    <row r="86" spans="1:4" ht="12.75" x14ac:dyDescent="0.2">
      <c r="A86" s="13" t="s">
        <v>98</v>
      </c>
      <c r="B86" s="2">
        <v>45678</v>
      </c>
      <c r="C86" s="3"/>
      <c r="D86" s="3"/>
    </row>
    <row r="87" spans="1:4" ht="12.75" x14ac:dyDescent="0.2">
      <c r="A87" s="12" t="s">
        <v>99</v>
      </c>
      <c r="B87" s="5">
        <v>45674</v>
      </c>
      <c r="C87" s="6"/>
      <c r="D87" s="6"/>
    </row>
    <row r="88" spans="1:4" ht="12.75" x14ac:dyDescent="0.2">
      <c r="A88" s="11" t="s">
        <v>100</v>
      </c>
      <c r="B88" s="2">
        <v>45674</v>
      </c>
      <c r="C88" s="3" t="s">
        <v>737</v>
      </c>
      <c r="D88" s="3" t="s">
        <v>15</v>
      </c>
    </row>
    <row r="89" spans="1:4" ht="12.75" x14ac:dyDescent="0.2">
      <c r="A89" s="12" t="s">
        <v>101</v>
      </c>
      <c r="B89" s="5">
        <v>45674</v>
      </c>
      <c r="C89" s="6"/>
      <c r="D89" s="6"/>
    </row>
    <row r="90" spans="1:4" ht="12.75" x14ac:dyDescent="0.2">
      <c r="A90" s="13" t="s">
        <v>102</v>
      </c>
      <c r="B90" s="2">
        <v>45673</v>
      </c>
      <c r="C90" s="3"/>
      <c r="D90" s="3"/>
    </row>
    <row r="91" spans="1:4" ht="12.75" x14ac:dyDescent="0.2">
      <c r="A91" s="14" t="s">
        <v>103</v>
      </c>
      <c r="B91" s="5">
        <v>45673</v>
      </c>
      <c r="C91" s="6" t="s">
        <v>26</v>
      </c>
      <c r="D91" s="6" t="s">
        <v>15</v>
      </c>
    </row>
    <row r="92" spans="1:4" ht="12.75" x14ac:dyDescent="0.2">
      <c r="A92" s="11" t="s">
        <v>104</v>
      </c>
      <c r="B92" s="2">
        <v>45671</v>
      </c>
      <c r="C92" s="3" t="s">
        <v>10</v>
      </c>
      <c r="D92" s="3" t="s">
        <v>19</v>
      </c>
    </row>
    <row r="93" spans="1:4" ht="12.75" x14ac:dyDescent="0.2">
      <c r="A93" s="12" t="s">
        <v>105</v>
      </c>
      <c r="B93" s="5">
        <v>45670</v>
      </c>
      <c r="C93" s="6"/>
      <c r="D93" s="6"/>
    </row>
    <row r="94" spans="1:4" ht="12.75" x14ac:dyDescent="0.2">
      <c r="A94" s="13" t="s">
        <v>106</v>
      </c>
      <c r="B94" s="2">
        <v>45670</v>
      </c>
      <c r="C94" s="3"/>
      <c r="D94" s="3"/>
    </row>
    <row r="95" spans="1:4" ht="12.75" x14ac:dyDescent="0.2">
      <c r="A95" s="14" t="s">
        <v>107</v>
      </c>
      <c r="B95" s="5">
        <v>45667</v>
      </c>
      <c r="C95" s="6"/>
      <c r="D95" s="6"/>
    </row>
    <row r="96" spans="1:4" ht="12.75" x14ac:dyDescent="0.2">
      <c r="A96" s="13" t="s">
        <v>108</v>
      </c>
      <c r="B96" s="2">
        <v>45667</v>
      </c>
      <c r="C96" s="3"/>
      <c r="D96" s="3"/>
    </row>
    <row r="97" spans="1:4" ht="12.75" x14ac:dyDescent="0.2">
      <c r="A97" s="14" t="s">
        <v>109</v>
      </c>
      <c r="B97" s="5">
        <v>45665</v>
      </c>
      <c r="C97" s="6"/>
      <c r="D97" s="6"/>
    </row>
    <row r="98" spans="1:4" ht="12.75" x14ac:dyDescent="0.2">
      <c r="A98" s="13" t="s">
        <v>110</v>
      </c>
      <c r="B98" s="2">
        <v>45665</v>
      </c>
      <c r="C98" s="3"/>
      <c r="D98" s="3"/>
    </row>
    <row r="99" spans="1:4" ht="12.75" x14ac:dyDescent="0.2">
      <c r="A99" s="12" t="s">
        <v>111</v>
      </c>
      <c r="B99" s="5">
        <v>45665</v>
      </c>
      <c r="C99" s="6" t="s">
        <v>10</v>
      </c>
      <c r="D99" s="6" t="s">
        <v>6</v>
      </c>
    </row>
    <row r="100" spans="1:4" ht="12.75" x14ac:dyDescent="0.2">
      <c r="A100" s="13" t="s">
        <v>112</v>
      </c>
      <c r="B100" s="2">
        <v>45664</v>
      </c>
      <c r="C100" s="3"/>
      <c r="D100" s="3"/>
    </row>
    <row r="101" spans="1:4" ht="12.75" x14ac:dyDescent="0.2">
      <c r="A101" s="12" t="s">
        <v>113</v>
      </c>
      <c r="B101" s="5">
        <v>45664</v>
      </c>
      <c r="C101" s="6" t="s">
        <v>13</v>
      </c>
      <c r="D101" s="6" t="s">
        <v>6</v>
      </c>
    </row>
    <row r="102" spans="1:4" ht="12.75" x14ac:dyDescent="0.2">
      <c r="A102" s="13" t="s">
        <v>114</v>
      </c>
      <c r="B102" s="2">
        <v>45664</v>
      </c>
      <c r="C102" s="3"/>
      <c r="D102" s="3"/>
    </row>
    <row r="103" spans="1:4" ht="12.75" x14ac:dyDescent="0.2">
      <c r="A103" s="12" t="s">
        <v>115</v>
      </c>
      <c r="B103" s="5">
        <v>45663</v>
      </c>
      <c r="C103" s="6"/>
      <c r="D103" s="6"/>
    </row>
    <row r="104" spans="1:4" ht="12.75" x14ac:dyDescent="0.2">
      <c r="A104" s="11" t="s">
        <v>116</v>
      </c>
      <c r="B104" s="2">
        <v>45663</v>
      </c>
      <c r="C104" s="3" t="s">
        <v>13</v>
      </c>
      <c r="D104" s="3" t="s">
        <v>41</v>
      </c>
    </row>
    <row r="105" spans="1:4" ht="12.75" x14ac:dyDescent="0.2">
      <c r="A105" s="12" t="s">
        <v>117</v>
      </c>
      <c r="B105" s="5">
        <v>45660</v>
      </c>
      <c r="C105" s="6"/>
      <c r="D105" s="6"/>
    </row>
    <row r="106" spans="1:4" ht="12.75" x14ac:dyDescent="0.2">
      <c r="A106" s="13" t="s">
        <v>118</v>
      </c>
      <c r="B106" s="2">
        <v>45656</v>
      </c>
      <c r="C106" s="3"/>
      <c r="D106" s="3"/>
    </row>
    <row r="107" spans="1:4" ht="12.75" x14ac:dyDescent="0.2">
      <c r="A107" s="12" t="s">
        <v>119</v>
      </c>
      <c r="B107" s="5">
        <v>45646</v>
      </c>
      <c r="C107" s="6"/>
      <c r="D107" s="6"/>
    </row>
    <row r="108" spans="1:4" ht="12.75" x14ac:dyDescent="0.2">
      <c r="A108" s="13" t="s">
        <v>120</v>
      </c>
      <c r="B108" s="2">
        <v>45645</v>
      </c>
      <c r="C108" s="3"/>
      <c r="D108" s="3"/>
    </row>
    <row r="109" spans="1:4" ht="12.75" x14ac:dyDescent="0.2">
      <c r="A109" s="12" t="s">
        <v>121</v>
      </c>
      <c r="B109" s="5">
        <v>45644</v>
      </c>
      <c r="C109" s="6" t="s">
        <v>753</v>
      </c>
      <c r="D109" s="6" t="s">
        <v>15</v>
      </c>
    </row>
    <row r="110" spans="1:4" ht="12.75" x14ac:dyDescent="0.2">
      <c r="A110" s="11" t="s">
        <v>122</v>
      </c>
      <c r="B110" s="2">
        <v>45643</v>
      </c>
      <c r="C110" s="3" t="s">
        <v>13</v>
      </c>
      <c r="D110" s="3" t="s">
        <v>15</v>
      </c>
    </row>
    <row r="111" spans="1:4" ht="12.75" x14ac:dyDescent="0.2">
      <c r="A111" s="12" t="s">
        <v>922</v>
      </c>
      <c r="B111" s="5">
        <v>45635</v>
      </c>
      <c r="C111" s="6"/>
      <c r="D111" s="6"/>
    </row>
    <row r="112" spans="1:4" ht="12.75" x14ac:dyDescent="0.2">
      <c r="A112" s="13" t="s">
        <v>123</v>
      </c>
      <c r="B112" s="2">
        <v>45635</v>
      </c>
      <c r="C112" s="3"/>
      <c r="D112" s="3"/>
    </row>
    <row r="113" spans="1:4" ht="12.75" x14ac:dyDescent="0.2">
      <c r="A113" s="12" t="s">
        <v>124</v>
      </c>
      <c r="B113" s="5">
        <v>45630</v>
      </c>
      <c r="C113" s="6" t="s">
        <v>10</v>
      </c>
      <c r="D113" s="6" t="s">
        <v>6</v>
      </c>
    </row>
    <row r="114" spans="1:4" ht="12.75" x14ac:dyDescent="0.2">
      <c r="A114" s="11" t="s">
        <v>125</v>
      </c>
      <c r="B114" s="2">
        <v>45628</v>
      </c>
      <c r="C114" s="3" t="s">
        <v>35</v>
      </c>
      <c r="D114" s="3" t="s">
        <v>6</v>
      </c>
    </row>
    <row r="115" spans="1:4" ht="12.75" x14ac:dyDescent="0.2">
      <c r="A115" s="12" t="s">
        <v>126</v>
      </c>
      <c r="B115" s="5">
        <v>45623</v>
      </c>
      <c r="C115" s="6"/>
      <c r="D115" s="6"/>
    </row>
    <row r="116" spans="1:4" ht="12.75" x14ac:dyDescent="0.2">
      <c r="A116" s="13" t="s">
        <v>127</v>
      </c>
      <c r="B116" s="2">
        <v>45616</v>
      </c>
      <c r="C116" s="3" t="s">
        <v>13</v>
      </c>
      <c r="D116" s="3" t="s">
        <v>19</v>
      </c>
    </row>
    <row r="117" spans="1:4" ht="12.75" x14ac:dyDescent="0.2">
      <c r="A117" s="12" t="s">
        <v>128</v>
      </c>
      <c r="B117" s="5">
        <v>45614</v>
      </c>
      <c r="C117" s="6"/>
      <c r="D117" s="6"/>
    </row>
    <row r="118" spans="1:4" ht="12.75" x14ac:dyDescent="0.2">
      <c r="A118" s="11" t="s">
        <v>129</v>
      </c>
      <c r="B118" s="2">
        <v>45610</v>
      </c>
      <c r="C118" s="3" t="s">
        <v>26</v>
      </c>
      <c r="D118" s="3" t="s">
        <v>15</v>
      </c>
    </row>
    <row r="119" spans="1:4" ht="12.75" x14ac:dyDescent="0.2">
      <c r="A119" s="12" t="s">
        <v>130</v>
      </c>
      <c r="B119" s="5">
        <v>45608</v>
      </c>
      <c r="C119" s="6"/>
      <c r="D119" s="6"/>
    </row>
    <row r="120" spans="1:4" ht="12.75" x14ac:dyDescent="0.2">
      <c r="A120" s="13" t="s">
        <v>131</v>
      </c>
      <c r="B120" s="2">
        <v>45600</v>
      </c>
      <c r="C120" s="3" t="s">
        <v>13</v>
      </c>
      <c r="D120" s="3" t="s">
        <v>6</v>
      </c>
    </row>
    <row r="121" spans="1:4" ht="12.75" x14ac:dyDescent="0.2">
      <c r="A121" s="14" t="s">
        <v>132</v>
      </c>
      <c r="B121" s="5">
        <v>45597</v>
      </c>
      <c r="C121" s="6" t="s">
        <v>13</v>
      </c>
      <c r="D121" s="6" t="s">
        <v>6</v>
      </c>
    </row>
    <row r="122" spans="1:4" ht="12.75" x14ac:dyDescent="0.2">
      <c r="A122" s="13" t="s">
        <v>133</v>
      </c>
      <c r="B122" s="2">
        <v>45596</v>
      </c>
      <c r="C122" s="3" t="s">
        <v>13</v>
      </c>
      <c r="D122" s="3" t="s">
        <v>6</v>
      </c>
    </row>
    <row r="123" spans="1:4" ht="12.75" x14ac:dyDescent="0.2">
      <c r="A123" s="14" t="s">
        <v>134</v>
      </c>
      <c r="B123" s="5">
        <v>45595</v>
      </c>
      <c r="C123" s="6" t="s">
        <v>35</v>
      </c>
      <c r="D123" s="6" t="s">
        <v>41</v>
      </c>
    </row>
    <row r="124" spans="1:4" ht="12.75" x14ac:dyDescent="0.2">
      <c r="A124" s="11" t="s">
        <v>135</v>
      </c>
      <c r="B124" s="2">
        <v>45594</v>
      </c>
      <c r="C124" s="3"/>
      <c r="D124" s="3"/>
    </row>
    <row r="125" spans="1:4" ht="12.75" x14ac:dyDescent="0.2">
      <c r="A125" s="14" t="s">
        <v>136</v>
      </c>
      <c r="B125" s="5">
        <v>45589</v>
      </c>
      <c r="C125" s="6" t="s">
        <v>13</v>
      </c>
      <c r="D125" s="6" t="s">
        <v>15</v>
      </c>
    </row>
    <row r="126" spans="1:4" ht="12.75" x14ac:dyDescent="0.2">
      <c r="A126" s="13" t="s">
        <v>137</v>
      </c>
      <c r="B126" s="2">
        <v>45589</v>
      </c>
      <c r="C126" s="3" t="s">
        <v>13</v>
      </c>
      <c r="D126" s="3" t="s">
        <v>6</v>
      </c>
    </row>
    <row r="127" spans="1:4" ht="12.75" x14ac:dyDescent="0.2">
      <c r="A127" s="14" t="s">
        <v>138</v>
      </c>
      <c r="B127" s="5">
        <v>45589</v>
      </c>
      <c r="C127" s="6"/>
      <c r="D127" s="6"/>
    </row>
    <row r="128" spans="1:4" ht="12.75" x14ac:dyDescent="0.2">
      <c r="A128" s="11" t="s">
        <v>139</v>
      </c>
      <c r="B128" s="2">
        <v>45589</v>
      </c>
      <c r="C128" s="3"/>
      <c r="D128" s="3"/>
    </row>
    <row r="129" spans="1:4" ht="12.75" x14ac:dyDescent="0.2">
      <c r="A129" s="14" t="s">
        <v>140</v>
      </c>
      <c r="B129" s="5">
        <v>45588</v>
      </c>
      <c r="C129" s="6" t="s">
        <v>13</v>
      </c>
      <c r="D129" s="6" t="s">
        <v>6</v>
      </c>
    </row>
    <row r="130" spans="1:4" ht="12.75" x14ac:dyDescent="0.2">
      <c r="A130" s="13" t="s">
        <v>141</v>
      </c>
      <c r="B130" s="2">
        <v>45588</v>
      </c>
      <c r="C130" s="3"/>
      <c r="D130" s="3"/>
    </row>
    <row r="131" spans="1:4" ht="12.75" x14ac:dyDescent="0.2">
      <c r="A131" s="12" t="s">
        <v>142</v>
      </c>
      <c r="B131" s="5">
        <v>45587</v>
      </c>
      <c r="C131" s="6"/>
      <c r="D131" s="6"/>
    </row>
    <row r="132" spans="1:4" ht="12.75" x14ac:dyDescent="0.2">
      <c r="A132" s="13" t="s">
        <v>143</v>
      </c>
      <c r="B132" s="2">
        <v>45586</v>
      </c>
      <c r="C132" s="3"/>
      <c r="D132" s="3"/>
    </row>
    <row r="133" spans="1:4" ht="12.75" x14ac:dyDescent="0.2">
      <c r="A133" s="12" t="s">
        <v>144</v>
      </c>
      <c r="B133" s="5">
        <v>45586</v>
      </c>
      <c r="C133" s="6"/>
      <c r="D133" s="6"/>
    </row>
    <row r="134" spans="1:4" ht="12.75" x14ac:dyDescent="0.2">
      <c r="A134" s="13" t="s">
        <v>145</v>
      </c>
      <c r="B134" s="2">
        <v>45583</v>
      </c>
      <c r="C134" s="3"/>
      <c r="D134" s="3"/>
    </row>
    <row r="135" spans="1:4" ht="12.75" x14ac:dyDescent="0.2">
      <c r="A135" s="12" t="s">
        <v>146</v>
      </c>
      <c r="B135" s="5">
        <v>45583</v>
      </c>
      <c r="C135" s="6"/>
      <c r="D135" s="6"/>
    </row>
    <row r="136" spans="1:4" ht="12.75" x14ac:dyDescent="0.2">
      <c r="A136" s="13" t="s">
        <v>147</v>
      </c>
      <c r="B136" s="2">
        <v>45582</v>
      </c>
      <c r="C136" s="3"/>
      <c r="D136" s="3" t="s">
        <v>41</v>
      </c>
    </row>
    <row r="137" spans="1:4" ht="12.75" x14ac:dyDescent="0.2">
      <c r="A137" s="14" t="s">
        <v>148</v>
      </c>
      <c r="B137" s="5">
        <v>45582</v>
      </c>
      <c r="C137" s="6"/>
      <c r="D137" s="6"/>
    </row>
    <row r="138" spans="1:4" ht="12.75" x14ac:dyDescent="0.2">
      <c r="A138" s="11" t="s">
        <v>149</v>
      </c>
      <c r="B138" s="2">
        <v>45581</v>
      </c>
      <c r="C138" s="3"/>
      <c r="D138" s="3" t="s">
        <v>41</v>
      </c>
    </row>
    <row r="139" spans="1:4" ht="12.75" x14ac:dyDescent="0.2">
      <c r="A139" s="14" t="s">
        <v>150</v>
      </c>
      <c r="B139" s="5">
        <v>45581</v>
      </c>
      <c r="C139" s="6"/>
      <c r="D139" s="6" t="s">
        <v>6</v>
      </c>
    </row>
    <row r="140" spans="1:4" ht="12.75" x14ac:dyDescent="0.2">
      <c r="A140" s="13" t="s">
        <v>151</v>
      </c>
      <c r="B140" s="2">
        <v>45580</v>
      </c>
      <c r="C140" s="3"/>
      <c r="D140" s="3"/>
    </row>
    <row r="141" spans="1:4" ht="12.75" x14ac:dyDescent="0.2">
      <c r="A141" s="14" t="s">
        <v>152</v>
      </c>
      <c r="B141" s="5">
        <v>45580</v>
      </c>
      <c r="C141" s="6"/>
      <c r="D141" s="6" t="s">
        <v>19</v>
      </c>
    </row>
    <row r="142" spans="1:4" ht="12.75" x14ac:dyDescent="0.2">
      <c r="A142" s="11" t="s">
        <v>153</v>
      </c>
      <c r="B142" s="2">
        <v>45580</v>
      </c>
      <c r="C142" s="3"/>
      <c r="D142" s="3"/>
    </row>
    <row r="143" spans="1:4" ht="12.75" x14ac:dyDescent="0.2">
      <c r="A143" s="14" t="s">
        <v>154</v>
      </c>
      <c r="B143" s="5">
        <v>45579</v>
      </c>
      <c r="C143" s="6"/>
      <c r="D143" s="6" t="s">
        <v>19</v>
      </c>
    </row>
    <row r="144" spans="1:4" ht="12.75" x14ac:dyDescent="0.2">
      <c r="A144" s="13" t="s">
        <v>155</v>
      </c>
      <c r="B144" s="2">
        <v>45579</v>
      </c>
      <c r="C144" s="3"/>
      <c r="D144" s="3"/>
    </row>
    <row r="145" spans="1:4" ht="12.75" x14ac:dyDescent="0.2">
      <c r="A145" s="15" t="s">
        <v>156</v>
      </c>
      <c r="B145" s="5">
        <v>45576</v>
      </c>
      <c r="C145" s="6"/>
      <c r="D145" s="6"/>
    </row>
    <row r="146" spans="1:4" ht="12.75" x14ac:dyDescent="0.2">
      <c r="A146" s="11" t="s">
        <v>157</v>
      </c>
      <c r="B146" s="2">
        <v>45575</v>
      </c>
      <c r="C146" s="3"/>
      <c r="D146" s="3" t="s">
        <v>41</v>
      </c>
    </row>
    <row r="147" spans="1:4" ht="12.75" x14ac:dyDescent="0.2">
      <c r="A147" s="12" t="s">
        <v>158</v>
      </c>
      <c r="B147" s="5">
        <v>45575</v>
      </c>
      <c r="C147" s="6"/>
      <c r="D147" s="6"/>
    </row>
    <row r="148" spans="1:4" ht="12.75" x14ac:dyDescent="0.2">
      <c r="A148" s="11" t="s">
        <v>159</v>
      </c>
      <c r="B148" s="2">
        <v>45575</v>
      </c>
      <c r="C148" s="3"/>
      <c r="D148" s="3"/>
    </row>
    <row r="149" spans="1:4" ht="12.75" x14ac:dyDescent="0.2">
      <c r="A149" s="12" t="s">
        <v>160</v>
      </c>
      <c r="B149" s="5">
        <v>45574</v>
      </c>
      <c r="C149" s="6"/>
      <c r="D149" s="6"/>
    </row>
    <row r="150" spans="1:4" ht="12.75" x14ac:dyDescent="0.2">
      <c r="A150" s="13" t="s">
        <v>161</v>
      </c>
      <c r="B150" s="2">
        <v>45573</v>
      </c>
      <c r="C150" s="3"/>
      <c r="D150" s="3"/>
    </row>
    <row r="151" spans="1:4" ht="12.75" x14ac:dyDescent="0.2">
      <c r="A151" s="12" t="s">
        <v>162</v>
      </c>
      <c r="B151" s="5">
        <v>45573</v>
      </c>
      <c r="C151" s="6"/>
      <c r="D151" s="6" t="s">
        <v>6</v>
      </c>
    </row>
    <row r="152" spans="1:4" ht="12.75" x14ac:dyDescent="0.2">
      <c r="A152" s="11" t="s">
        <v>163</v>
      </c>
      <c r="B152" s="2">
        <v>45573</v>
      </c>
      <c r="C152" s="3"/>
      <c r="D152" s="3"/>
    </row>
    <row r="153" spans="1:4" ht="12.75" x14ac:dyDescent="0.2">
      <c r="A153" s="12" t="s">
        <v>164</v>
      </c>
      <c r="B153" s="5">
        <v>45572</v>
      </c>
      <c r="C153" s="6"/>
      <c r="D153" s="6"/>
    </row>
    <row r="154" spans="1:4" ht="12.75" x14ac:dyDescent="0.2">
      <c r="A154" s="13" t="s">
        <v>165</v>
      </c>
      <c r="B154" s="2">
        <v>45572</v>
      </c>
      <c r="C154" s="3"/>
      <c r="D154" s="3"/>
    </row>
    <row r="155" spans="1:4" ht="12.75" x14ac:dyDescent="0.2">
      <c r="A155" s="14" t="s">
        <v>166</v>
      </c>
      <c r="B155" s="5">
        <v>45572</v>
      </c>
      <c r="C155" s="6"/>
      <c r="D155" s="6"/>
    </row>
    <row r="156" spans="1:4" ht="12.75" x14ac:dyDescent="0.2">
      <c r="A156" s="13" t="s">
        <v>167</v>
      </c>
      <c r="B156" s="2">
        <v>45568</v>
      </c>
      <c r="C156" s="3"/>
      <c r="D156" s="3"/>
    </row>
    <row r="157" spans="1:4" ht="12.75" x14ac:dyDescent="0.2">
      <c r="A157" s="12" t="s">
        <v>168</v>
      </c>
      <c r="B157" s="5">
        <v>45567</v>
      </c>
      <c r="C157" s="6"/>
      <c r="D157" s="6"/>
    </row>
    <row r="158" spans="1:4" ht="12.75" x14ac:dyDescent="0.2">
      <c r="A158" s="11" t="s">
        <v>169</v>
      </c>
      <c r="B158" s="2">
        <v>45567</v>
      </c>
      <c r="C158" s="3"/>
      <c r="D158" s="3" t="s">
        <v>19</v>
      </c>
    </row>
    <row r="159" spans="1:4" ht="12.75" x14ac:dyDescent="0.2">
      <c r="A159" s="12" t="s">
        <v>170</v>
      </c>
      <c r="B159" s="5">
        <v>45566</v>
      </c>
      <c r="C159" s="6"/>
      <c r="D159" s="6"/>
    </row>
    <row r="160" spans="1:4" ht="12.75" x14ac:dyDescent="0.2">
      <c r="A160" s="13" t="s">
        <v>171</v>
      </c>
      <c r="B160" s="2">
        <v>45566</v>
      </c>
      <c r="C160" s="3"/>
      <c r="D160" s="3"/>
    </row>
    <row r="161" spans="1:4" ht="12.75" x14ac:dyDescent="0.2">
      <c r="A161" s="12" t="s">
        <v>172</v>
      </c>
      <c r="B161" s="5">
        <v>45561</v>
      </c>
      <c r="C161" s="6"/>
      <c r="D161" s="6"/>
    </row>
    <row r="162" spans="1:4" ht="12.75" x14ac:dyDescent="0.2">
      <c r="A162" s="13" t="s">
        <v>173</v>
      </c>
      <c r="B162" s="2">
        <v>45554</v>
      </c>
      <c r="C162" s="3"/>
      <c r="D162" s="3"/>
    </row>
    <row r="163" spans="1:4" ht="12.75" x14ac:dyDescent="0.2">
      <c r="A163" s="12" t="s">
        <v>174</v>
      </c>
      <c r="B163" s="5">
        <v>45553</v>
      </c>
      <c r="C163" s="6"/>
      <c r="D163" s="6"/>
    </row>
    <row r="164" spans="1:4" ht="12.75" x14ac:dyDescent="0.2">
      <c r="A164" s="13" t="s">
        <v>175</v>
      </c>
      <c r="B164" s="2">
        <v>45552</v>
      </c>
      <c r="C164" s="3"/>
      <c r="D164" s="3"/>
    </row>
    <row r="165" spans="1:4" ht="12.75" x14ac:dyDescent="0.2">
      <c r="A165" s="12" t="s">
        <v>176</v>
      </c>
      <c r="B165" s="5">
        <v>45545</v>
      </c>
      <c r="C165" s="6"/>
      <c r="D165" s="6"/>
    </row>
    <row r="166" spans="1:4" ht="12.75" x14ac:dyDescent="0.2">
      <c r="A166" s="11" t="s">
        <v>177</v>
      </c>
      <c r="B166" s="2">
        <v>45545</v>
      </c>
      <c r="C166" s="3"/>
      <c r="D166" s="3"/>
    </row>
    <row r="167" spans="1:4" ht="12.75" x14ac:dyDescent="0.2">
      <c r="A167" s="12" t="s">
        <v>178</v>
      </c>
      <c r="B167" s="5">
        <v>45540</v>
      </c>
      <c r="C167" s="6"/>
      <c r="D167" s="6"/>
    </row>
    <row r="168" spans="1:4" ht="12.75" x14ac:dyDescent="0.2">
      <c r="A168" s="11" t="s">
        <v>179</v>
      </c>
      <c r="B168" s="2">
        <v>45527</v>
      </c>
      <c r="C168" s="3"/>
      <c r="D168" s="3"/>
    </row>
    <row r="169" spans="1:4" ht="12.75" x14ac:dyDescent="0.2">
      <c r="A169" s="12" t="s">
        <v>180</v>
      </c>
      <c r="B169" s="5">
        <v>45518</v>
      </c>
      <c r="C169" s="6"/>
      <c r="D169" s="6"/>
    </row>
    <row r="170" spans="1:4" ht="12.75" x14ac:dyDescent="0.2">
      <c r="A170" s="13" t="s">
        <v>181</v>
      </c>
      <c r="B170" s="2">
        <v>45511</v>
      </c>
      <c r="C170" s="3"/>
      <c r="D170" s="3"/>
    </row>
    <row r="171" spans="1:4" ht="12.75" x14ac:dyDescent="0.2">
      <c r="A171" s="12" t="s">
        <v>182</v>
      </c>
      <c r="B171" s="5">
        <v>45506</v>
      </c>
      <c r="C171" s="6"/>
      <c r="D171" s="6"/>
    </row>
    <row r="172" spans="1:4" ht="12.75" x14ac:dyDescent="0.2">
      <c r="A172" s="13" t="s">
        <v>183</v>
      </c>
      <c r="B172" s="2">
        <v>45505</v>
      </c>
      <c r="C172" s="3"/>
      <c r="D172" s="3"/>
    </row>
    <row r="173" spans="1:4" ht="12.75" x14ac:dyDescent="0.2">
      <c r="A173" s="12" t="s">
        <v>184</v>
      </c>
      <c r="B173" s="5">
        <v>45503</v>
      </c>
      <c r="C173" s="6"/>
      <c r="D173" s="6"/>
    </row>
    <row r="174" spans="1:4" ht="12.75" x14ac:dyDescent="0.2">
      <c r="A174" s="13" t="s">
        <v>185</v>
      </c>
      <c r="B174" s="2">
        <v>45499</v>
      </c>
      <c r="C174" s="3"/>
      <c r="D174" s="3"/>
    </row>
    <row r="175" spans="1:4" ht="12.75" x14ac:dyDescent="0.2">
      <c r="A175" s="12" t="s">
        <v>186</v>
      </c>
      <c r="B175" s="5">
        <v>45498</v>
      </c>
      <c r="C175" s="6"/>
      <c r="D175" s="6"/>
    </row>
    <row r="176" spans="1:4" ht="12.75" x14ac:dyDescent="0.2">
      <c r="A176" s="13" t="s">
        <v>187</v>
      </c>
      <c r="B176" s="2">
        <v>45498</v>
      </c>
      <c r="C176" s="3"/>
      <c r="D176" s="3"/>
    </row>
    <row r="177" spans="1:4" ht="12.75" x14ac:dyDescent="0.2">
      <c r="A177" s="12" t="s">
        <v>188</v>
      </c>
      <c r="B177" s="5">
        <v>45498</v>
      </c>
      <c r="C177" s="6"/>
      <c r="D177" s="6"/>
    </row>
    <row r="178" spans="1:4" ht="12.75" x14ac:dyDescent="0.2">
      <c r="A178" s="13" t="s">
        <v>189</v>
      </c>
      <c r="B178" s="2">
        <v>45498</v>
      </c>
      <c r="C178" s="3"/>
      <c r="D178" s="3"/>
    </row>
    <row r="179" spans="1:4" ht="12.75" x14ac:dyDescent="0.2">
      <c r="A179" s="12" t="s">
        <v>190</v>
      </c>
      <c r="B179" s="5">
        <v>45498</v>
      </c>
      <c r="C179" s="6"/>
      <c r="D179" s="6"/>
    </row>
    <row r="180" spans="1:4" ht="12.75" x14ac:dyDescent="0.2">
      <c r="A180" s="13" t="s">
        <v>191</v>
      </c>
      <c r="B180" s="2">
        <v>45497</v>
      </c>
      <c r="C180" s="3"/>
      <c r="D180" s="3"/>
    </row>
    <row r="181" spans="1:4" ht="12.75" x14ac:dyDescent="0.2">
      <c r="A181" s="12" t="s">
        <v>192</v>
      </c>
      <c r="B181" s="5">
        <v>45496</v>
      </c>
      <c r="C181" s="6"/>
      <c r="D181" s="6"/>
    </row>
    <row r="182" spans="1:4" ht="12.75" x14ac:dyDescent="0.2">
      <c r="A182" s="13" t="s">
        <v>193</v>
      </c>
      <c r="B182" s="2">
        <v>45496</v>
      </c>
      <c r="C182" s="3"/>
      <c r="D182" s="3"/>
    </row>
    <row r="183" spans="1:4" ht="12.75" x14ac:dyDescent="0.2">
      <c r="A183" s="12" t="s">
        <v>194</v>
      </c>
      <c r="B183" s="5">
        <v>45496</v>
      </c>
      <c r="C183" s="6"/>
      <c r="D183" s="6"/>
    </row>
    <row r="184" spans="1:4" ht="12.75" x14ac:dyDescent="0.2">
      <c r="A184" s="13" t="s">
        <v>195</v>
      </c>
      <c r="B184" s="2">
        <v>45495</v>
      </c>
      <c r="C184" s="3"/>
      <c r="D184" s="3"/>
    </row>
    <row r="185" spans="1:4" ht="12.75" x14ac:dyDescent="0.2">
      <c r="A185" s="12" t="s">
        <v>196</v>
      </c>
      <c r="B185" s="5">
        <v>45495</v>
      </c>
      <c r="C185" s="6"/>
      <c r="D185" s="6"/>
    </row>
    <row r="186" spans="1:4" ht="12.75" x14ac:dyDescent="0.2">
      <c r="A186" s="13" t="s">
        <v>197</v>
      </c>
      <c r="B186" s="2">
        <v>45495</v>
      </c>
      <c r="C186" s="3"/>
      <c r="D186" s="3"/>
    </row>
    <row r="187" spans="1:4" ht="12.75" x14ac:dyDescent="0.2">
      <c r="A187" s="12" t="s">
        <v>198</v>
      </c>
      <c r="B187" s="5">
        <v>45492</v>
      </c>
      <c r="C187" s="6"/>
      <c r="D187" s="6"/>
    </row>
    <row r="188" spans="1:4" ht="12.75" x14ac:dyDescent="0.2">
      <c r="A188" s="13" t="s">
        <v>199</v>
      </c>
      <c r="B188" s="2">
        <v>45492</v>
      </c>
      <c r="C188" s="3"/>
      <c r="D188" s="3"/>
    </row>
    <row r="189" spans="1:4" ht="12.75" x14ac:dyDescent="0.2">
      <c r="A189" s="12" t="s">
        <v>200</v>
      </c>
      <c r="B189" s="5">
        <v>45491</v>
      </c>
      <c r="C189" s="6"/>
      <c r="D189" s="6" t="s">
        <v>19</v>
      </c>
    </row>
    <row r="190" spans="1:4" ht="12.75" x14ac:dyDescent="0.2">
      <c r="A190" s="13" t="s">
        <v>201</v>
      </c>
      <c r="B190" s="2">
        <v>45491</v>
      </c>
      <c r="C190" s="3"/>
      <c r="D190" s="3"/>
    </row>
    <row r="191" spans="1:4" ht="12.75" x14ac:dyDescent="0.2">
      <c r="A191" s="12" t="s">
        <v>202</v>
      </c>
      <c r="B191" s="5">
        <v>45490</v>
      </c>
      <c r="C191" s="6"/>
      <c r="D191" s="6" t="s">
        <v>6</v>
      </c>
    </row>
    <row r="192" spans="1:4" ht="12.75" x14ac:dyDescent="0.2">
      <c r="A192" s="13" t="s">
        <v>203</v>
      </c>
      <c r="B192" s="2">
        <v>45490</v>
      </c>
      <c r="C192" s="3"/>
      <c r="D192" s="3"/>
    </row>
    <row r="193" spans="1:4" ht="12.75" x14ac:dyDescent="0.2">
      <c r="A193" s="12" t="s">
        <v>204</v>
      </c>
      <c r="B193" s="5">
        <v>45490</v>
      </c>
      <c r="C193" s="6"/>
      <c r="D193" s="6"/>
    </row>
    <row r="194" spans="1:4" ht="12.75" x14ac:dyDescent="0.2">
      <c r="A194" s="13" t="s">
        <v>205</v>
      </c>
      <c r="B194" s="2">
        <v>45489</v>
      </c>
      <c r="C194" s="3"/>
      <c r="D194" s="3"/>
    </row>
    <row r="195" spans="1:4" ht="12.75" x14ac:dyDescent="0.2">
      <c r="A195" s="12" t="s">
        <v>206</v>
      </c>
      <c r="B195" s="5">
        <v>45489</v>
      </c>
      <c r="C195" s="6"/>
      <c r="D195" s="6"/>
    </row>
    <row r="196" spans="1:4" ht="12.75" x14ac:dyDescent="0.2">
      <c r="A196" s="13" t="s">
        <v>207</v>
      </c>
      <c r="B196" s="2">
        <v>45488</v>
      </c>
      <c r="C196" s="3"/>
      <c r="D196" s="3"/>
    </row>
    <row r="197" spans="1:4" ht="12.75" x14ac:dyDescent="0.2">
      <c r="A197" s="12" t="s">
        <v>208</v>
      </c>
      <c r="B197" s="5">
        <v>45488</v>
      </c>
      <c r="C197" s="6"/>
      <c r="D197" s="6"/>
    </row>
    <row r="198" spans="1:4" ht="12.75" x14ac:dyDescent="0.2">
      <c r="A198" s="13" t="s">
        <v>209</v>
      </c>
      <c r="B198" s="2">
        <v>45488</v>
      </c>
      <c r="C198" s="3"/>
      <c r="D198" s="3"/>
    </row>
    <row r="199" spans="1:4" ht="12.75" x14ac:dyDescent="0.2">
      <c r="A199" s="12" t="s">
        <v>210</v>
      </c>
      <c r="B199" s="5">
        <v>45485</v>
      </c>
      <c r="C199" s="6"/>
      <c r="D199" s="6"/>
    </row>
    <row r="200" spans="1:4" ht="12.75" x14ac:dyDescent="0.2">
      <c r="A200" s="13" t="s">
        <v>211</v>
      </c>
      <c r="B200" s="2">
        <v>45485</v>
      </c>
      <c r="C200" s="3"/>
      <c r="D200" s="3"/>
    </row>
    <row r="201" spans="1:4" ht="12.75" x14ac:dyDescent="0.2">
      <c r="A201" s="12" t="s">
        <v>107</v>
      </c>
      <c r="B201" s="5">
        <v>45484</v>
      </c>
      <c r="C201" s="6"/>
      <c r="D201" s="6"/>
    </row>
    <row r="202" spans="1:4" ht="12.75" x14ac:dyDescent="0.2">
      <c r="A202" s="13" t="s">
        <v>212</v>
      </c>
      <c r="B202" s="2">
        <v>45483</v>
      </c>
      <c r="C202" s="3"/>
      <c r="D202" s="3"/>
    </row>
    <row r="203" spans="1:4" ht="12.75" x14ac:dyDescent="0.2">
      <c r="A203" s="12" t="s">
        <v>213</v>
      </c>
      <c r="B203" s="5">
        <v>45483</v>
      </c>
      <c r="C203" s="6"/>
      <c r="D203" s="6"/>
    </row>
    <row r="204" spans="1:4" ht="12.75" x14ac:dyDescent="0.2">
      <c r="A204" s="13" t="s">
        <v>214</v>
      </c>
      <c r="B204" s="2">
        <v>45482</v>
      </c>
      <c r="C204" s="3"/>
      <c r="D204" s="3"/>
    </row>
    <row r="205" spans="1:4" ht="12.75" x14ac:dyDescent="0.2">
      <c r="A205" s="12" t="s">
        <v>215</v>
      </c>
      <c r="B205" s="5">
        <v>45475</v>
      </c>
      <c r="C205" s="6"/>
      <c r="D205" s="6"/>
    </row>
    <row r="206" spans="1:4" ht="12.75" x14ac:dyDescent="0.2">
      <c r="A206" s="13" t="s">
        <v>216</v>
      </c>
      <c r="B206" s="2">
        <v>45475</v>
      </c>
      <c r="C206" s="3"/>
      <c r="D206" s="3"/>
    </row>
    <row r="207" spans="1:4" ht="12.75" x14ac:dyDescent="0.2">
      <c r="A207" s="12" t="s">
        <v>217</v>
      </c>
      <c r="B207" s="5">
        <v>45475</v>
      </c>
      <c r="C207" s="6"/>
      <c r="D207" s="6"/>
    </row>
    <row r="208" spans="1:4" ht="12.75" x14ac:dyDescent="0.2">
      <c r="A208" s="13" t="s">
        <v>218</v>
      </c>
      <c r="B208" s="2">
        <v>45474</v>
      </c>
      <c r="C208" s="3"/>
      <c r="D208" s="3"/>
    </row>
    <row r="209" spans="1:4" ht="12.75" x14ac:dyDescent="0.2">
      <c r="A209" s="12" t="s">
        <v>219</v>
      </c>
      <c r="B209" s="5">
        <v>45471</v>
      </c>
      <c r="C209" s="6"/>
      <c r="D209" s="6"/>
    </row>
    <row r="210" spans="1:4" ht="12.75" x14ac:dyDescent="0.2">
      <c r="A210" s="13" t="s">
        <v>220</v>
      </c>
      <c r="B210" s="2">
        <v>45470</v>
      </c>
      <c r="C210" s="3"/>
      <c r="D210" s="3"/>
    </row>
    <row r="211" spans="1:4" ht="12.75" x14ac:dyDescent="0.2">
      <c r="A211" s="12" t="s">
        <v>221</v>
      </c>
      <c r="B211" s="5">
        <v>45467</v>
      </c>
      <c r="C211" s="6"/>
      <c r="D211" s="6"/>
    </row>
    <row r="212" spans="1:4" ht="12.75" x14ac:dyDescent="0.2">
      <c r="A212" s="13" t="s">
        <v>222</v>
      </c>
      <c r="B212" s="2">
        <v>45467</v>
      </c>
      <c r="C212" s="3"/>
      <c r="D212" s="3"/>
    </row>
    <row r="213" spans="1:4" ht="12.75" x14ac:dyDescent="0.2">
      <c r="A213" s="12" t="s">
        <v>223</v>
      </c>
      <c r="B213" s="5">
        <v>45463</v>
      </c>
      <c r="C213" s="6"/>
      <c r="D213" s="6"/>
    </row>
    <row r="214" spans="1:4" ht="12.75" x14ac:dyDescent="0.2">
      <c r="A214" s="13" t="s">
        <v>224</v>
      </c>
      <c r="B214" s="2">
        <v>45454</v>
      </c>
      <c r="C214" s="3"/>
      <c r="D214" s="3"/>
    </row>
    <row r="215" spans="1:4" ht="12.75" x14ac:dyDescent="0.2">
      <c r="A215" s="12" t="s">
        <v>225</v>
      </c>
      <c r="B215" s="5">
        <v>45441</v>
      </c>
      <c r="C215" s="6"/>
      <c r="D215" s="6"/>
    </row>
    <row r="216" spans="1:4" ht="12.75" x14ac:dyDescent="0.2">
      <c r="A216" s="13" t="s">
        <v>226</v>
      </c>
      <c r="B216" s="2">
        <v>45440</v>
      </c>
      <c r="C216" s="3"/>
      <c r="D216" s="3"/>
    </row>
    <row r="217" spans="1:4" ht="12.75" x14ac:dyDescent="0.2">
      <c r="A217" s="12" t="s">
        <v>227</v>
      </c>
      <c r="B217" s="5">
        <v>45434</v>
      </c>
      <c r="C217" s="6"/>
      <c r="D217" s="6"/>
    </row>
    <row r="218" spans="1:4" ht="12.75" x14ac:dyDescent="0.2">
      <c r="A218" s="13" t="s">
        <v>228</v>
      </c>
      <c r="B218" s="2">
        <v>45434</v>
      </c>
      <c r="C218" s="3"/>
      <c r="D218" s="3"/>
    </row>
    <row r="219" spans="1:4" ht="12.75" x14ac:dyDescent="0.2">
      <c r="A219" s="12" t="s">
        <v>229</v>
      </c>
      <c r="B219" s="5">
        <v>45429</v>
      </c>
      <c r="C219" s="6"/>
      <c r="D219" s="6"/>
    </row>
    <row r="220" spans="1:4" ht="12.75" x14ac:dyDescent="0.2">
      <c r="A220" s="13" t="s">
        <v>230</v>
      </c>
      <c r="B220" s="2">
        <v>45428</v>
      </c>
      <c r="C220" s="3"/>
      <c r="D220" s="3"/>
    </row>
    <row r="221" spans="1:4" ht="12.75" x14ac:dyDescent="0.2">
      <c r="A221" s="12" t="s">
        <v>231</v>
      </c>
      <c r="B221" s="5">
        <v>45421</v>
      </c>
      <c r="C221" s="6"/>
      <c r="D221" s="6"/>
    </row>
    <row r="222" spans="1:4" ht="12.75" x14ac:dyDescent="0.2">
      <c r="A222" s="13" t="s">
        <v>232</v>
      </c>
      <c r="B222" s="2">
        <v>45414</v>
      </c>
      <c r="C222" s="3"/>
      <c r="D222" s="3"/>
    </row>
    <row r="223" spans="1:4" ht="12.75" x14ac:dyDescent="0.2">
      <c r="A223" s="12" t="s">
        <v>233</v>
      </c>
      <c r="B223" s="5">
        <v>45412</v>
      </c>
      <c r="C223" s="6"/>
      <c r="D223" s="6"/>
    </row>
    <row r="224" spans="1:4" ht="12.75" x14ac:dyDescent="0.2">
      <c r="A224" s="13" t="s">
        <v>234</v>
      </c>
      <c r="B224" s="2">
        <v>45412</v>
      </c>
      <c r="C224" s="3"/>
      <c r="D224" s="3"/>
    </row>
    <row r="225" spans="1:4" ht="12.75" x14ac:dyDescent="0.2">
      <c r="A225" s="12" t="s">
        <v>235</v>
      </c>
      <c r="B225" s="5">
        <v>45412</v>
      </c>
      <c r="C225" s="6"/>
      <c r="D225" s="6"/>
    </row>
    <row r="226" spans="1:4" ht="12.75" x14ac:dyDescent="0.2">
      <c r="A226" s="13" t="s">
        <v>236</v>
      </c>
      <c r="B226" s="2">
        <v>45411</v>
      </c>
      <c r="C226" s="3"/>
      <c r="D226" s="3"/>
    </row>
    <row r="227" spans="1:4" ht="12.75" x14ac:dyDescent="0.2">
      <c r="A227" s="12" t="s">
        <v>237</v>
      </c>
      <c r="B227" s="5">
        <v>45408</v>
      </c>
      <c r="C227" s="6"/>
      <c r="D227" s="6"/>
    </row>
    <row r="228" spans="1:4" ht="12.75" x14ac:dyDescent="0.2">
      <c r="A228" s="13" t="s">
        <v>238</v>
      </c>
      <c r="B228" s="2">
        <v>45407</v>
      </c>
      <c r="C228" s="3"/>
      <c r="D228" s="3"/>
    </row>
    <row r="229" spans="1:4" ht="12.75" x14ac:dyDescent="0.2">
      <c r="A229" s="12" t="s">
        <v>239</v>
      </c>
      <c r="B229" s="5">
        <v>45407</v>
      </c>
      <c r="C229" s="6"/>
      <c r="D229" s="6"/>
    </row>
    <row r="230" spans="1:4" ht="12.75" x14ac:dyDescent="0.2">
      <c r="A230" s="13" t="s">
        <v>240</v>
      </c>
      <c r="B230" s="2">
        <v>45405</v>
      </c>
      <c r="C230" s="3"/>
      <c r="D230" s="3"/>
    </row>
    <row r="231" spans="1:4" ht="12.75" x14ac:dyDescent="0.2">
      <c r="A231" s="12" t="s">
        <v>241</v>
      </c>
      <c r="B231" s="5">
        <v>45404</v>
      </c>
      <c r="C231" s="6"/>
      <c r="D231" s="6"/>
    </row>
    <row r="232" spans="1:4" ht="12.75" x14ac:dyDescent="0.2">
      <c r="A232" s="13" t="s">
        <v>242</v>
      </c>
      <c r="B232" s="2">
        <v>45401</v>
      </c>
      <c r="C232" s="3"/>
      <c r="D232" s="3"/>
    </row>
    <row r="233" spans="1:4" ht="12.75" x14ac:dyDescent="0.2">
      <c r="A233" s="12" t="s">
        <v>243</v>
      </c>
      <c r="B233" s="5">
        <v>45400</v>
      </c>
      <c r="C233" s="6"/>
      <c r="D233" s="6"/>
    </row>
    <row r="234" spans="1:4" ht="12.75" x14ac:dyDescent="0.2">
      <c r="A234" s="13" t="s">
        <v>244</v>
      </c>
      <c r="B234" s="2">
        <v>45400</v>
      </c>
      <c r="C234" s="3"/>
      <c r="D234" s="3" t="s">
        <v>19</v>
      </c>
    </row>
    <row r="235" spans="1:4" ht="12.75" x14ac:dyDescent="0.2">
      <c r="A235" s="12" t="s">
        <v>245</v>
      </c>
      <c r="B235" s="5">
        <v>45399</v>
      </c>
      <c r="C235" s="6"/>
      <c r="D235" s="6"/>
    </row>
    <row r="236" spans="1:4" ht="12.75" x14ac:dyDescent="0.2">
      <c r="A236" s="13" t="s">
        <v>246</v>
      </c>
      <c r="B236" s="2">
        <v>45399</v>
      </c>
      <c r="C236" s="3"/>
      <c r="D236" s="3"/>
    </row>
    <row r="237" spans="1:4" ht="12.75" x14ac:dyDescent="0.2">
      <c r="A237" s="12" t="s">
        <v>247</v>
      </c>
      <c r="B237" s="5">
        <v>45398</v>
      </c>
      <c r="C237" s="6"/>
      <c r="D237" s="6"/>
    </row>
    <row r="238" spans="1:4" ht="12.75" x14ac:dyDescent="0.2">
      <c r="A238" s="13" t="s">
        <v>248</v>
      </c>
      <c r="B238" s="2">
        <v>45397</v>
      </c>
      <c r="C238" s="3"/>
      <c r="D238" s="3"/>
    </row>
    <row r="239" spans="1:4" ht="12.75" x14ac:dyDescent="0.2">
      <c r="A239" s="12" t="s">
        <v>249</v>
      </c>
      <c r="B239" s="5">
        <v>45394</v>
      </c>
      <c r="C239" s="6"/>
      <c r="D239" s="6"/>
    </row>
    <row r="240" spans="1:4" ht="12.75" x14ac:dyDescent="0.2">
      <c r="A240" s="13" t="s">
        <v>250</v>
      </c>
      <c r="B240" s="2">
        <v>45392</v>
      </c>
      <c r="C240" s="3"/>
      <c r="D240" s="3"/>
    </row>
    <row r="241" spans="1:4" ht="12.75" x14ac:dyDescent="0.2">
      <c r="A241" s="12" t="s">
        <v>251</v>
      </c>
      <c r="B241" s="5">
        <v>45390</v>
      </c>
      <c r="C241" s="6"/>
      <c r="D241" s="6"/>
    </row>
    <row r="242" spans="1:4" ht="12.75" x14ac:dyDescent="0.2">
      <c r="A242" s="13" t="s">
        <v>252</v>
      </c>
      <c r="B242" s="2">
        <v>45385</v>
      </c>
      <c r="C242" s="3"/>
      <c r="D242" s="3"/>
    </row>
    <row r="243" spans="1:4" ht="12.75" x14ac:dyDescent="0.2">
      <c r="A243" s="12" t="s">
        <v>253</v>
      </c>
      <c r="B243" s="5">
        <v>45384</v>
      </c>
      <c r="C243" s="6"/>
      <c r="D243" s="6"/>
    </row>
    <row r="244" spans="1:4" ht="12.75" x14ac:dyDescent="0.2">
      <c r="A244" s="13" t="s">
        <v>254</v>
      </c>
      <c r="B244" s="2">
        <v>45384</v>
      </c>
      <c r="C244" s="3"/>
      <c r="D244" s="3"/>
    </row>
    <row r="245" spans="1:4" ht="12.75" x14ac:dyDescent="0.2">
      <c r="A245" s="12" t="s">
        <v>255</v>
      </c>
      <c r="B245" s="5">
        <v>45377</v>
      </c>
      <c r="C245" s="6"/>
      <c r="D245" s="6"/>
    </row>
    <row r="246" spans="1:4" ht="12.75" x14ac:dyDescent="0.2">
      <c r="A246" s="13" t="s">
        <v>256</v>
      </c>
      <c r="B246" s="2">
        <v>45377</v>
      </c>
      <c r="C246" s="3"/>
      <c r="D246" s="3"/>
    </row>
    <row r="247" spans="1:4" ht="12.75" x14ac:dyDescent="0.2">
      <c r="A247" s="12" t="s">
        <v>257</v>
      </c>
      <c r="B247" s="5">
        <v>45372</v>
      </c>
      <c r="C247" s="6"/>
      <c r="D247" s="6"/>
    </row>
    <row r="248" spans="1:4" ht="12.75" x14ac:dyDescent="0.2">
      <c r="A248" s="13" t="s">
        <v>258</v>
      </c>
      <c r="B248" s="2">
        <v>45370</v>
      </c>
      <c r="C248" s="3"/>
      <c r="D248" s="3"/>
    </row>
    <row r="249" spans="1:4" ht="12.75" x14ac:dyDescent="0.2">
      <c r="A249" s="12" t="s">
        <v>259</v>
      </c>
      <c r="B249" s="5">
        <v>45357</v>
      </c>
      <c r="C249" s="6"/>
      <c r="D249" s="6"/>
    </row>
    <row r="250" spans="1:4" ht="12.75" x14ac:dyDescent="0.2">
      <c r="A250" s="13" t="s">
        <v>260</v>
      </c>
      <c r="B250" s="2">
        <v>45350</v>
      </c>
      <c r="C250" s="3"/>
      <c r="D250" s="3"/>
    </row>
    <row r="251" spans="1:4" ht="12.75" x14ac:dyDescent="0.2">
      <c r="A251" s="12" t="s">
        <v>261</v>
      </c>
      <c r="B251" s="5">
        <v>45348</v>
      </c>
      <c r="C251" s="6"/>
      <c r="D251" s="6"/>
    </row>
    <row r="252" spans="1:4" ht="12.75" x14ac:dyDescent="0.2">
      <c r="A252" s="13" t="s">
        <v>262</v>
      </c>
      <c r="B252" s="2">
        <v>45345</v>
      </c>
      <c r="C252" s="3"/>
      <c r="D252" s="3"/>
    </row>
    <row r="253" spans="1:4" ht="12.75" x14ac:dyDescent="0.2">
      <c r="A253" s="12" t="s">
        <v>263</v>
      </c>
      <c r="B253" s="5">
        <v>45343</v>
      </c>
      <c r="C253" s="6"/>
      <c r="D253" s="6"/>
    </row>
    <row r="254" spans="1:4" ht="12.75" x14ac:dyDescent="0.2">
      <c r="A254" s="13" t="s">
        <v>264</v>
      </c>
      <c r="B254" s="2">
        <v>45342</v>
      </c>
      <c r="C254" s="3"/>
      <c r="D254" s="3"/>
    </row>
    <row r="255" spans="1:4" ht="12.75" x14ac:dyDescent="0.2">
      <c r="A255" s="12" t="s">
        <v>265</v>
      </c>
      <c r="B255" s="5">
        <v>45337</v>
      </c>
      <c r="C255" s="6"/>
      <c r="D255" s="6"/>
    </row>
    <row r="256" spans="1:4" ht="12.75" x14ac:dyDescent="0.2">
      <c r="A256" s="13" t="s">
        <v>266</v>
      </c>
      <c r="B256" s="2">
        <v>45337</v>
      </c>
      <c r="C256" s="3"/>
      <c r="D256" s="3"/>
    </row>
    <row r="257" spans="1:4" ht="12.75" x14ac:dyDescent="0.2">
      <c r="A257" s="12" t="s">
        <v>267</v>
      </c>
      <c r="B257" s="5">
        <v>45334</v>
      </c>
      <c r="C257" s="6"/>
      <c r="D257" s="6"/>
    </row>
    <row r="258" spans="1:4" ht="12.75" x14ac:dyDescent="0.2">
      <c r="A258" s="13" t="s">
        <v>268</v>
      </c>
      <c r="B258" s="2">
        <v>45334</v>
      </c>
      <c r="C258" s="3"/>
      <c r="D258" s="3"/>
    </row>
    <row r="259" spans="1:4" ht="12.75" x14ac:dyDescent="0.2">
      <c r="A259" s="12" t="s">
        <v>269</v>
      </c>
      <c r="B259" s="5">
        <v>45330</v>
      </c>
      <c r="C259" s="6"/>
      <c r="D259" s="6"/>
    </row>
    <row r="260" spans="1:4" ht="12.75" x14ac:dyDescent="0.2">
      <c r="A260" s="13" t="s">
        <v>270</v>
      </c>
      <c r="B260" s="2">
        <v>45329</v>
      </c>
      <c r="C260" s="3"/>
      <c r="D260" s="3"/>
    </row>
    <row r="261" spans="1:4" ht="12.75" x14ac:dyDescent="0.2">
      <c r="A261" s="12" t="s">
        <v>271</v>
      </c>
      <c r="B261" s="5">
        <v>45323</v>
      </c>
      <c r="C261" s="6"/>
      <c r="D261" s="6"/>
    </row>
    <row r="262" spans="1:4" ht="12.75" x14ac:dyDescent="0.2">
      <c r="A262" s="13" t="s">
        <v>272</v>
      </c>
      <c r="B262" s="2">
        <v>45321</v>
      </c>
      <c r="C262" s="3"/>
      <c r="D262" s="3"/>
    </row>
    <row r="263" spans="1:4" ht="12.75" x14ac:dyDescent="0.2">
      <c r="A263" s="12" t="s">
        <v>273</v>
      </c>
      <c r="B263" s="5">
        <v>45317</v>
      </c>
      <c r="C263" s="6"/>
      <c r="D263" s="6"/>
    </row>
    <row r="264" spans="1:4" ht="12.75" x14ac:dyDescent="0.2">
      <c r="A264" s="13" t="s">
        <v>274</v>
      </c>
      <c r="B264" s="2">
        <v>45315</v>
      </c>
      <c r="C264" s="3"/>
      <c r="D264" s="3"/>
    </row>
    <row r="265" spans="1:4" ht="12.75" x14ac:dyDescent="0.2">
      <c r="A265" s="12" t="s">
        <v>275</v>
      </c>
      <c r="B265" s="5">
        <v>45315</v>
      </c>
      <c r="C265" s="6"/>
      <c r="D265" s="6"/>
    </row>
    <row r="266" spans="1:4" ht="12.75" x14ac:dyDescent="0.2">
      <c r="A266" s="13" t="s">
        <v>276</v>
      </c>
      <c r="B266" s="2">
        <v>45315</v>
      </c>
      <c r="C266" s="3"/>
      <c r="D266" s="3"/>
    </row>
    <row r="267" spans="1:4" ht="12.75" x14ac:dyDescent="0.2">
      <c r="A267" s="12" t="s">
        <v>277</v>
      </c>
      <c r="B267" s="5">
        <v>45314</v>
      </c>
      <c r="C267" s="6"/>
      <c r="D267" s="6"/>
    </row>
    <row r="268" spans="1:4" ht="12.75" x14ac:dyDescent="0.2">
      <c r="A268" s="13" t="s">
        <v>278</v>
      </c>
      <c r="B268" s="2">
        <v>45314</v>
      </c>
      <c r="C268" s="3"/>
      <c r="D268" s="3"/>
    </row>
    <row r="269" spans="1:4" ht="12.75" x14ac:dyDescent="0.2">
      <c r="A269" s="12" t="s">
        <v>279</v>
      </c>
      <c r="B269" s="5">
        <v>45313</v>
      </c>
      <c r="C269" s="6"/>
      <c r="D269" s="6" t="s">
        <v>27</v>
      </c>
    </row>
    <row r="270" spans="1:4" ht="12.75" x14ac:dyDescent="0.2">
      <c r="A270" s="13" t="s">
        <v>280</v>
      </c>
      <c r="B270" s="2">
        <v>45309</v>
      </c>
      <c r="C270" s="3"/>
      <c r="D270" s="3"/>
    </row>
    <row r="271" spans="1:4" ht="12.75" x14ac:dyDescent="0.2">
      <c r="A271" s="12" t="s">
        <v>281</v>
      </c>
      <c r="B271" s="5">
        <v>45309</v>
      </c>
      <c r="C271" s="6"/>
      <c r="D271" s="6"/>
    </row>
    <row r="272" spans="1:4" ht="12.75" x14ac:dyDescent="0.2">
      <c r="A272" s="13" t="s">
        <v>282</v>
      </c>
      <c r="B272" s="2">
        <v>45302</v>
      </c>
      <c r="C272" s="3"/>
      <c r="D272" s="3"/>
    </row>
    <row r="273" spans="1:4" ht="12.75" x14ac:dyDescent="0.2">
      <c r="A273" s="12" t="s">
        <v>283</v>
      </c>
      <c r="B273" s="5">
        <v>45302</v>
      </c>
      <c r="C273" s="6"/>
      <c r="D273" s="6"/>
    </row>
    <row r="274" spans="1:4" ht="12.75" x14ac:dyDescent="0.2">
      <c r="A274" s="13" t="s">
        <v>284</v>
      </c>
      <c r="B274" s="2">
        <v>45300</v>
      </c>
      <c r="C274" s="3"/>
      <c r="D274" s="3"/>
    </row>
    <row r="275" spans="1:4" ht="12.75" x14ac:dyDescent="0.2">
      <c r="A275" s="16" t="s">
        <v>285</v>
      </c>
      <c r="B275" s="17">
        <v>45299</v>
      </c>
      <c r="C275" s="18"/>
      <c r="D275" s="18"/>
    </row>
  </sheetData>
  <customSheetViews>
    <customSheetView guid="{2F0FEB54-CCB0-4A5E-A762-77F91D362100}" filter="1" showAutoFilter="1">
      <pageMargins left="0.7" right="0.7" top="0.75" bottom="0.75" header="0.3" footer="0.3"/>
      <autoFilter ref="A2:I280" xr:uid="{5A35C949-2D28-42B7-A331-0713E8F8D621}">
        <sortState xmlns:xlrd2="http://schemas.microsoft.com/office/spreadsheetml/2017/richdata2" ref="A2:I280">
          <sortCondition descending="1" ref="B2:B280"/>
        </sortState>
      </autoFilter>
    </customSheetView>
  </customSheetViews>
  <dataValidations count="4">
    <dataValidation type="custom" allowBlank="1" showDropDown="1" sqref="B2:B275" xr:uid="{00000000-0002-0000-0000-000003000000}">
      <formula1>OR(NOT(ISERROR(DATEVALUE(B2))), AND(ISNUMBER(B2), LEFT(CELL("format", B2))="D"))</formula1>
    </dataValidation>
    <dataValidation allowBlank="1" showDropDown="1" sqref="A2:A275" xr:uid="{00000000-0002-0000-0000-000004000000}"/>
    <dataValidation type="list" allowBlank="1" sqref="D2:D275" xr:uid="{00000000-0002-0000-0000-000005000000}">
      <formula1>"Bearish,Inflection to Bearish,Neutral - Cautious Outlook,Neutral,Neutral - Bullish Outlook,Inflection to Bullish,Bullish"</formula1>
    </dataValidation>
    <dataValidation type="list" allowBlank="1" sqref="C2:C275" xr:uid="{00000000-0002-0000-0000-000006000000}">
      <formula1>"Consumer,Financials,Hardware,Healthcare,Ind/Transportation,Ind/Housing,Ind/Building Products,Software,TMT,Utilities"</formula1>
    </dataValidation>
  </dataValidations>
  <pageMargins left="0.7" right="0.7" top="0.75" bottom="0.75" header="0.3" footer="0.3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00FF"/>
    <outlinePr summaryBelow="0" summaryRight="0"/>
  </sheetPr>
  <dimension ref="A1:H1016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51.140625" customWidth="1"/>
    <col min="2" max="2" width="19.42578125" customWidth="1"/>
    <col min="3" max="3" width="22.42578125" customWidth="1"/>
    <col min="4" max="4" width="18.42578125" customWidth="1"/>
    <col min="5" max="5" width="20.42578125" customWidth="1"/>
    <col min="6" max="6" width="18.42578125" customWidth="1"/>
  </cols>
  <sheetData>
    <row r="1" spans="1:8" x14ac:dyDescent="0.2">
      <c r="A1" s="19" t="s">
        <v>286</v>
      </c>
      <c r="B1" s="20" t="s">
        <v>287</v>
      </c>
      <c r="C1" s="20" t="s">
        <v>288</v>
      </c>
      <c r="D1" s="20" t="s">
        <v>289</v>
      </c>
      <c r="E1" s="20" t="s">
        <v>290</v>
      </c>
      <c r="F1" s="20" t="s">
        <v>291</v>
      </c>
      <c r="G1" s="20" t="s">
        <v>292</v>
      </c>
      <c r="H1" s="21" t="s">
        <v>293</v>
      </c>
    </row>
    <row r="2" spans="1:8" x14ac:dyDescent="0.2">
      <c r="A2" s="22" t="s">
        <v>294</v>
      </c>
      <c r="B2" s="23" t="s">
        <v>7</v>
      </c>
      <c r="C2" s="3" t="s">
        <v>295</v>
      </c>
      <c r="D2" s="24" t="s">
        <v>296</v>
      </c>
      <c r="E2" s="3" t="s">
        <v>297</v>
      </c>
      <c r="F2" s="3" t="s">
        <v>295</v>
      </c>
      <c r="G2" s="25"/>
      <c r="H2" s="26">
        <v>45860</v>
      </c>
    </row>
    <row r="3" spans="1:8" x14ac:dyDescent="0.2">
      <c r="A3" s="27" t="s">
        <v>298</v>
      </c>
      <c r="B3" s="28" t="s">
        <v>7</v>
      </c>
      <c r="C3" s="6" t="s">
        <v>295</v>
      </c>
      <c r="D3" s="29" t="s">
        <v>299</v>
      </c>
      <c r="E3" s="6" t="s">
        <v>297</v>
      </c>
      <c r="F3" s="6" t="s">
        <v>295</v>
      </c>
      <c r="G3" s="30"/>
      <c r="H3" s="31">
        <v>45797</v>
      </c>
    </row>
    <row r="4" spans="1:8" x14ac:dyDescent="0.2">
      <c r="A4" s="22" t="s">
        <v>294</v>
      </c>
      <c r="B4" s="23" t="s">
        <v>7</v>
      </c>
      <c r="C4" s="3" t="s">
        <v>295</v>
      </c>
      <c r="D4" s="24" t="s">
        <v>300</v>
      </c>
      <c r="E4" s="3" t="s">
        <v>297</v>
      </c>
      <c r="F4" s="3" t="s">
        <v>295</v>
      </c>
      <c r="G4" s="25"/>
      <c r="H4" s="26">
        <v>45785</v>
      </c>
    </row>
    <row r="5" spans="1:8" x14ac:dyDescent="0.2">
      <c r="A5" s="27" t="s">
        <v>301</v>
      </c>
      <c r="B5" s="28" t="s">
        <v>7</v>
      </c>
      <c r="C5" s="6" t="s">
        <v>295</v>
      </c>
      <c r="D5" s="29" t="s">
        <v>302</v>
      </c>
      <c r="E5" s="6" t="s">
        <v>297</v>
      </c>
      <c r="F5" s="6" t="s">
        <v>295</v>
      </c>
      <c r="G5" s="30"/>
      <c r="H5" s="31">
        <v>45784</v>
      </c>
    </row>
    <row r="6" spans="1:8" x14ac:dyDescent="0.2">
      <c r="A6" s="22" t="s">
        <v>303</v>
      </c>
      <c r="B6" s="23" t="s">
        <v>7</v>
      </c>
      <c r="C6" s="3" t="s">
        <v>295</v>
      </c>
      <c r="D6" s="24" t="s">
        <v>304</v>
      </c>
      <c r="E6" s="3" t="s">
        <v>297</v>
      </c>
      <c r="F6" s="3" t="s">
        <v>295</v>
      </c>
      <c r="G6" s="25"/>
      <c r="H6" s="26">
        <v>45783</v>
      </c>
    </row>
    <row r="7" spans="1:8" x14ac:dyDescent="0.2">
      <c r="A7" s="27" t="s">
        <v>305</v>
      </c>
      <c r="B7" s="28" t="s">
        <v>7</v>
      </c>
      <c r="C7" s="6" t="s">
        <v>295</v>
      </c>
      <c r="D7" s="29" t="s">
        <v>306</v>
      </c>
      <c r="E7" s="6" t="s">
        <v>297</v>
      </c>
      <c r="F7" s="6" t="s">
        <v>295</v>
      </c>
      <c r="G7" s="30"/>
      <c r="H7" s="31">
        <v>45783</v>
      </c>
    </row>
    <row r="8" spans="1:8" x14ac:dyDescent="0.2">
      <c r="A8" s="22" t="s">
        <v>307</v>
      </c>
      <c r="B8" s="23" t="s">
        <v>7</v>
      </c>
      <c r="C8" s="3" t="s">
        <v>308</v>
      </c>
      <c r="D8" s="24" t="s">
        <v>309</v>
      </c>
      <c r="E8" s="3" t="s">
        <v>310</v>
      </c>
      <c r="F8" s="3" t="s">
        <v>295</v>
      </c>
      <c r="G8" s="25">
        <v>45763</v>
      </c>
      <c r="H8" s="26">
        <v>45771</v>
      </c>
    </row>
    <row r="9" spans="1:8" x14ac:dyDescent="0.2">
      <c r="A9" s="27" t="s">
        <v>311</v>
      </c>
      <c r="B9" s="28" t="s">
        <v>7</v>
      </c>
      <c r="C9" s="6" t="s">
        <v>312</v>
      </c>
      <c r="D9" s="29" t="s">
        <v>313</v>
      </c>
      <c r="E9" s="6" t="s">
        <v>310</v>
      </c>
      <c r="F9" s="6" t="s">
        <v>295</v>
      </c>
      <c r="G9" s="30">
        <v>45761</v>
      </c>
      <c r="H9" s="31">
        <v>45770</v>
      </c>
    </row>
    <row r="10" spans="1:8" x14ac:dyDescent="0.2">
      <c r="A10" s="22" t="s">
        <v>314</v>
      </c>
      <c r="B10" s="23" t="s">
        <v>7</v>
      </c>
      <c r="C10" s="3" t="s">
        <v>295</v>
      </c>
      <c r="D10" s="24" t="s">
        <v>315</v>
      </c>
      <c r="E10" s="3" t="s">
        <v>316</v>
      </c>
      <c r="F10" s="3" t="s">
        <v>295</v>
      </c>
      <c r="G10" s="25"/>
      <c r="H10" s="26">
        <v>45770</v>
      </c>
    </row>
    <row r="11" spans="1:8" x14ac:dyDescent="0.2">
      <c r="A11" s="27" t="s">
        <v>317</v>
      </c>
      <c r="B11" s="28" t="s">
        <v>7</v>
      </c>
      <c r="C11" s="6" t="s">
        <v>312</v>
      </c>
      <c r="D11" s="29" t="s">
        <v>318</v>
      </c>
      <c r="E11" s="6" t="s">
        <v>310</v>
      </c>
      <c r="F11" s="6" t="s">
        <v>295</v>
      </c>
      <c r="G11" s="30">
        <v>45762</v>
      </c>
      <c r="H11" s="31">
        <v>45770</v>
      </c>
    </row>
    <row r="12" spans="1:8" x14ac:dyDescent="0.2">
      <c r="A12" s="22" t="s">
        <v>319</v>
      </c>
      <c r="B12" s="23" t="s">
        <v>7</v>
      </c>
      <c r="C12" s="3" t="s">
        <v>312</v>
      </c>
      <c r="D12" s="24" t="s">
        <v>320</v>
      </c>
      <c r="E12" s="3" t="s">
        <v>310</v>
      </c>
      <c r="F12" s="3" t="s">
        <v>295</v>
      </c>
      <c r="G12" s="25">
        <v>45758</v>
      </c>
      <c r="H12" s="26">
        <v>45769</v>
      </c>
    </row>
    <row r="13" spans="1:8" x14ac:dyDescent="0.2">
      <c r="A13" s="27" t="s">
        <v>321</v>
      </c>
      <c r="B13" s="28" t="s">
        <v>7</v>
      </c>
      <c r="C13" s="6" t="s">
        <v>312</v>
      </c>
      <c r="D13" s="29" t="s">
        <v>322</v>
      </c>
      <c r="E13" s="6" t="s">
        <v>310</v>
      </c>
      <c r="F13" s="6" t="s">
        <v>295</v>
      </c>
      <c r="G13" s="30">
        <v>45757</v>
      </c>
      <c r="H13" s="31">
        <v>45769</v>
      </c>
    </row>
    <row r="14" spans="1:8" x14ac:dyDescent="0.2">
      <c r="A14" s="22" t="s">
        <v>323</v>
      </c>
      <c r="B14" s="23" t="s">
        <v>7</v>
      </c>
      <c r="C14" s="3" t="s">
        <v>295</v>
      </c>
      <c r="D14" s="24" t="s">
        <v>324</v>
      </c>
      <c r="E14" s="3" t="s">
        <v>316</v>
      </c>
      <c r="F14" s="3" t="s">
        <v>295</v>
      </c>
      <c r="G14" s="25"/>
      <c r="H14" s="26">
        <v>45764</v>
      </c>
    </row>
    <row r="15" spans="1:8" x14ac:dyDescent="0.2">
      <c r="A15" s="27" t="s">
        <v>298</v>
      </c>
      <c r="B15" s="28" t="s">
        <v>7</v>
      </c>
      <c r="C15" s="6" t="s">
        <v>312</v>
      </c>
      <c r="D15" s="29" t="s">
        <v>325</v>
      </c>
      <c r="E15" s="6" t="s">
        <v>310</v>
      </c>
      <c r="F15" s="6" t="s">
        <v>295</v>
      </c>
      <c r="G15" s="30">
        <v>45750</v>
      </c>
      <c r="H15" s="31">
        <v>45764</v>
      </c>
    </row>
    <row r="16" spans="1:8" x14ac:dyDescent="0.2">
      <c r="A16" s="22" t="s">
        <v>326</v>
      </c>
      <c r="B16" s="23" t="s">
        <v>7</v>
      </c>
      <c r="C16" s="3" t="s">
        <v>295</v>
      </c>
      <c r="D16" s="24" t="s">
        <v>327</v>
      </c>
      <c r="E16" s="3" t="s">
        <v>310</v>
      </c>
      <c r="F16" s="3" t="s">
        <v>295</v>
      </c>
      <c r="G16" s="25">
        <v>45750</v>
      </c>
      <c r="H16" s="26">
        <v>45762</v>
      </c>
    </row>
    <row r="17" spans="1:8" x14ac:dyDescent="0.2">
      <c r="A17" s="27" t="s">
        <v>328</v>
      </c>
      <c r="B17" s="28" t="s">
        <v>17</v>
      </c>
      <c r="C17" s="6" t="s">
        <v>312</v>
      </c>
      <c r="D17" s="29" t="s">
        <v>329</v>
      </c>
      <c r="E17" s="6" t="s">
        <v>310</v>
      </c>
      <c r="F17" s="6" t="s">
        <v>330</v>
      </c>
      <c r="G17" s="30">
        <v>45734</v>
      </c>
      <c r="H17" s="31">
        <v>45737</v>
      </c>
    </row>
    <row r="18" spans="1:8" x14ac:dyDescent="0.2">
      <c r="A18" s="22" t="s">
        <v>331</v>
      </c>
      <c r="B18" s="23" t="s">
        <v>17</v>
      </c>
      <c r="C18" s="3" t="s">
        <v>308</v>
      </c>
      <c r="D18" s="24" t="s">
        <v>332</v>
      </c>
      <c r="E18" s="3" t="s">
        <v>310</v>
      </c>
      <c r="F18" s="3" t="s">
        <v>330</v>
      </c>
      <c r="G18" s="25">
        <v>45747</v>
      </c>
      <c r="H18" s="26">
        <v>45770</v>
      </c>
    </row>
    <row r="19" spans="1:8" x14ac:dyDescent="0.2">
      <c r="A19" s="27" t="s">
        <v>333</v>
      </c>
      <c r="B19" s="28" t="s">
        <v>17</v>
      </c>
      <c r="C19" s="6" t="s">
        <v>295</v>
      </c>
      <c r="D19" s="29" t="s">
        <v>334</v>
      </c>
      <c r="E19" s="6" t="s">
        <v>316</v>
      </c>
      <c r="F19" s="6" t="s">
        <v>295</v>
      </c>
      <c r="G19" s="6" t="s">
        <v>335</v>
      </c>
      <c r="H19" s="31">
        <v>45770</v>
      </c>
    </row>
    <row r="20" spans="1:8" x14ac:dyDescent="0.2">
      <c r="A20" s="22" t="s">
        <v>336</v>
      </c>
      <c r="B20" s="23" t="s">
        <v>17</v>
      </c>
      <c r="C20" s="3" t="s">
        <v>312</v>
      </c>
      <c r="D20" s="24" t="s">
        <v>337</v>
      </c>
      <c r="E20" s="3" t="s">
        <v>310</v>
      </c>
      <c r="F20" s="3" t="s">
        <v>330</v>
      </c>
      <c r="G20" s="25">
        <v>45754</v>
      </c>
      <c r="H20" s="32" t="s">
        <v>338</v>
      </c>
    </row>
    <row r="21" spans="1:8" x14ac:dyDescent="0.2">
      <c r="A21" s="27" t="s">
        <v>339</v>
      </c>
      <c r="B21" s="28" t="s">
        <v>17</v>
      </c>
      <c r="C21" s="6" t="s">
        <v>295</v>
      </c>
      <c r="D21" s="29" t="s">
        <v>340</v>
      </c>
      <c r="E21" s="6" t="s">
        <v>316</v>
      </c>
      <c r="F21" s="6" t="s">
        <v>295</v>
      </c>
      <c r="G21" s="6" t="s">
        <v>341</v>
      </c>
      <c r="H21" s="33" t="s">
        <v>342</v>
      </c>
    </row>
    <row r="22" spans="1:8" x14ac:dyDescent="0.2">
      <c r="A22" s="22" t="s">
        <v>343</v>
      </c>
      <c r="B22" s="23" t="s">
        <v>17</v>
      </c>
      <c r="C22" s="3" t="s">
        <v>312</v>
      </c>
      <c r="D22" s="24" t="s">
        <v>344</v>
      </c>
      <c r="E22" s="3" t="s">
        <v>310</v>
      </c>
      <c r="F22" s="3" t="s">
        <v>345</v>
      </c>
      <c r="G22" s="3" t="s">
        <v>346</v>
      </c>
      <c r="H22" s="26">
        <v>45771</v>
      </c>
    </row>
    <row r="23" spans="1:8" x14ac:dyDescent="0.2">
      <c r="A23" s="27" t="s">
        <v>347</v>
      </c>
      <c r="B23" s="28" t="s">
        <v>17</v>
      </c>
      <c r="C23" s="6" t="s">
        <v>312</v>
      </c>
      <c r="D23" s="29" t="s">
        <v>348</v>
      </c>
      <c r="E23" s="6" t="s">
        <v>310</v>
      </c>
      <c r="F23" s="6" t="s">
        <v>330</v>
      </c>
      <c r="G23" s="30">
        <v>45729</v>
      </c>
      <c r="H23" s="31">
        <v>45691</v>
      </c>
    </row>
    <row r="24" spans="1:8" x14ac:dyDescent="0.2">
      <c r="A24" s="22" t="s">
        <v>349</v>
      </c>
      <c r="B24" s="23" t="s">
        <v>17</v>
      </c>
      <c r="C24" s="3" t="s">
        <v>312</v>
      </c>
      <c r="D24" s="24" t="s">
        <v>350</v>
      </c>
      <c r="E24" s="3" t="s">
        <v>310</v>
      </c>
      <c r="F24" s="3" t="s">
        <v>330</v>
      </c>
      <c r="G24" s="25">
        <v>45737</v>
      </c>
      <c r="H24" s="32" t="s">
        <v>351</v>
      </c>
    </row>
    <row r="25" spans="1:8" x14ac:dyDescent="0.2">
      <c r="A25" s="27" t="s">
        <v>352</v>
      </c>
      <c r="B25" s="28" t="s">
        <v>17</v>
      </c>
      <c r="C25" s="6" t="s">
        <v>308</v>
      </c>
      <c r="D25" s="29" t="s">
        <v>353</v>
      </c>
      <c r="E25" s="6" t="s">
        <v>310</v>
      </c>
      <c r="F25" s="6" t="s">
        <v>354</v>
      </c>
      <c r="G25" s="30">
        <v>45775</v>
      </c>
      <c r="H25" s="31">
        <v>45779</v>
      </c>
    </row>
    <row r="26" spans="1:8" x14ac:dyDescent="0.2">
      <c r="A26" s="22"/>
      <c r="B26" s="24"/>
      <c r="C26" s="3"/>
      <c r="D26" s="24"/>
      <c r="E26" s="3"/>
      <c r="F26" s="3"/>
      <c r="G26" s="25"/>
      <c r="H26" s="26"/>
    </row>
    <row r="27" spans="1:8" x14ac:dyDescent="0.2">
      <c r="A27" s="27"/>
      <c r="B27" s="29"/>
      <c r="C27" s="6"/>
      <c r="D27" s="29"/>
      <c r="E27" s="6"/>
      <c r="F27" s="6"/>
      <c r="G27" s="30"/>
      <c r="H27" s="31"/>
    </row>
    <row r="28" spans="1:8" x14ac:dyDescent="0.2">
      <c r="A28" s="22"/>
      <c r="B28" s="24"/>
      <c r="C28" s="3"/>
      <c r="D28" s="24"/>
      <c r="E28" s="3"/>
      <c r="F28" s="3"/>
      <c r="G28" s="25"/>
      <c r="H28" s="26"/>
    </row>
    <row r="29" spans="1:8" x14ac:dyDescent="0.2">
      <c r="A29" s="27"/>
      <c r="B29" s="29"/>
      <c r="C29" s="6"/>
      <c r="D29" s="29"/>
      <c r="E29" s="6"/>
      <c r="F29" s="6"/>
      <c r="G29" s="30"/>
      <c r="H29" s="31"/>
    </row>
    <row r="30" spans="1:8" x14ac:dyDescent="0.2">
      <c r="A30" s="22"/>
      <c r="B30" s="24"/>
      <c r="C30" s="3"/>
      <c r="D30" s="24"/>
      <c r="E30" s="3"/>
      <c r="F30" s="3"/>
      <c r="G30" s="25"/>
      <c r="H30" s="26"/>
    </row>
    <row r="31" spans="1:8" x14ac:dyDescent="0.2">
      <c r="A31" s="27"/>
      <c r="B31" s="29"/>
      <c r="C31" s="6"/>
      <c r="D31" s="29"/>
      <c r="E31" s="6"/>
      <c r="F31" s="6"/>
      <c r="G31" s="30"/>
      <c r="H31" s="31"/>
    </row>
    <row r="32" spans="1:8" x14ac:dyDescent="0.2">
      <c r="A32" s="22"/>
      <c r="B32" s="24"/>
      <c r="C32" s="3"/>
      <c r="D32" s="24"/>
      <c r="E32" s="3"/>
      <c r="F32" s="3"/>
      <c r="G32" s="25"/>
      <c r="H32" s="26"/>
    </row>
    <row r="33" spans="1:8" x14ac:dyDescent="0.2">
      <c r="A33" s="27"/>
      <c r="B33" s="29"/>
      <c r="C33" s="6"/>
      <c r="D33" s="29"/>
      <c r="E33" s="6"/>
      <c r="F33" s="6"/>
      <c r="G33" s="30"/>
      <c r="H33" s="31"/>
    </row>
    <row r="34" spans="1:8" x14ac:dyDescent="0.2">
      <c r="A34" s="22"/>
      <c r="B34" s="24"/>
      <c r="C34" s="3"/>
      <c r="D34" s="24"/>
      <c r="E34" s="3"/>
      <c r="F34" s="3"/>
      <c r="G34" s="25"/>
      <c r="H34" s="26"/>
    </row>
    <row r="35" spans="1:8" x14ac:dyDescent="0.2">
      <c r="A35" s="27"/>
      <c r="B35" s="29"/>
      <c r="C35" s="6"/>
      <c r="D35" s="29"/>
      <c r="E35" s="6"/>
      <c r="F35" s="6"/>
      <c r="G35" s="30"/>
      <c r="H35" s="31"/>
    </row>
    <row r="36" spans="1:8" x14ac:dyDescent="0.2">
      <c r="A36" s="22"/>
      <c r="B36" s="24"/>
      <c r="C36" s="3"/>
      <c r="D36" s="24"/>
      <c r="E36" s="3"/>
      <c r="F36" s="3"/>
      <c r="G36" s="25"/>
      <c r="H36" s="26"/>
    </row>
    <row r="37" spans="1:8" x14ac:dyDescent="0.2">
      <c r="A37" s="27"/>
      <c r="B37" s="29"/>
      <c r="C37" s="6"/>
      <c r="D37" s="29"/>
      <c r="E37" s="6"/>
      <c r="F37" s="6"/>
      <c r="G37" s="30"/>
      <c r="H37" s="31"/>
    </row>
    <row r="38" spans="1:8" x14ac:dyDescent="0.2">
      <c r="A38" s="22"/>
      <c r="B38" s="24"/>
      <c r="C38" s="3"/>
      <c r="D38" s="24"/>
      <c r="E38" s="3"/>
      <c r="F38" s="3"/>
      <c r="G38" s="25"/>
      <c r="H38" s="26"/>
    </row>
    <row r="39" spans="1:8" x14ac:dyDescent="0.2">
      <c r="A39" s="27"/>
      <c r="B39" s="29"/>
      <c r="C39" s="6"/>
      <c r="D39" s="29"/>
      <c r="E39" s="6"/>
      <c r="F39" s="6"/>
      <c r="G39" s="30"/>
      <c r="H39" s="31"/>
    </row>
    <row r="40" spans="1:8" x14ac:dyDescent="0.2">
      <c r="A40" s="22"/>
      <c r="B40" s="24"/>
      <c r="C40" s="3"/>
      <c r="D40" s="24"/>
      <c r="E40" s="3"/>
      <c r="F40" s="3"/>
      <c r="G40" s="25"/>
      <c r="H40" s="26"/>
    </row>
    <row r="41" spans="1:8" x14ac:dyDescent="0.2">
      <c r="A41" s="27"/>
      <c r="B41" s="29"/>
      <c r="C41" s="6"/>
      <c r="D41" s="29"/>
      <c r="E41" s="6"/>
      <c r="F41" s="6"/>
      <c r="G41" s="30"/>
      <c r="H41" s="31"/>
    </row>
    <row r="42" spans="1:8" x14ac:dyDescent="0.2">
      <c r="A42" s="22"/>
      <c r="B42" s="24"/>
      <c r="C42" s="3"/>
      <c r="D42" s="24"/>
      <c r="E42" s="3"/>
      <c r="F42" s="3"/>
      <c r="G42" s="25"/>
      <c r="H42" s="26"/>
    </row>
    <row r="43" spans="1:8" x14ac:dyDescent="0.2">
      <c r="A43" s="27"/>
      <c r="B43" s="29"/>
      <c r="C43" s="6"/>
      <c r="D43" s="29"/>
      <c r="E43" s="6"/>
      <c r="F43" s="6"/>
      <c r="G43" s="30"/>
      <c r="H43" s="31"/>
    </row>
    <row r="44" spans="1:8" x14ac:dyDescent="0.2">
      <c r="A44" s="22"/>
      <c r="B44" s="24"/>
      <c r="C44" s="3"/>
      <c r="D44" s="24"/>
      <c r="E44" s="3"/>
      <c r="F44" s="3"/>
      <c r="G44" s="25"/>
      <c r="H44" s="26"/>
    </row>
    <row r="45" spans="1:8" x14ac:dyDescent="0.2">
      <c r="A45" s="27"/>
      <c r="B45" s="29"/>
      <c r="C45" s="6"/>
      <c r="D45" s="29"/>
      <c r="E45" s="6"/>
      <c r="F45" s="6"/>
      <c r="G45" s="30"/>
      <c r="H45" s="31"/>
    </row>
    <row r="46" spans="1:8" x14ac:dyDescent="0.2">
      <c r="A46" s="22"/>
      <c r="B46" s="24"/>
      <c r="C46" s="3"/>
      <c r="D46" s="24"/>
      <c r="E46" s="3"/>
      <c r="F46" s="3"/>
      <c r="G46" s="25"/>
      <c r="H46" s="26"/>
    </row>
    <row r="47" spans="1:8" x14ac:dyDescent="0.2">
      <c r="A47" s="27"/>
      <c r="B47" s="29"/>
      <c r="C47" s="6"/>
      <c r="D47" s="29"/>
      <c r="E47" s="6"/>
      <c r="F47" s="6"/>
      <c r="G47" s="30"/>
      <c r="H47" s="31"/>
    </row>
    <row r="48" spans="1:8" x14ac:dyDescent="0.2">
      <c r="A48" s="22"/>
      <c r="B48" s="24"/>
      <c r="C48" s="3"/>
      <c r="D48" s="24"/>
      <c r="E48" s="3"/>
      <c r="F48" s="3"/>
      <c r="G48" s="25"/>
      <c r="H48" s="26"/>
    </row>
    <row r="49" spans="1:8" x14ac:dyDescent="0.2">
      <c r="A49" s="27"/>
      <c r="B49" s="29"/>
      <c r="C49" s="6"/>
      <c r="D49" s="29"/>
      <c r="E49" s="6"/>
      <c r="F49" s="6"/>
      <c r="G49" s="30"/>
      <c r="H49" s="31"/>
    </row>
    <row r="50" spans="1:8" x14ac:dyDescent="0.2">
      <c r="A50" s="22"/>
      <c r="B50" s="24"/>
      <c r="C50" s="3"/>
      <c r="D50" s="24"/>
      <c r="E50" s="3"/>
      <c r="F50" s="3"/>
      <c r="G50" s="25"/>
      <c r="H50" s="26"/>
    </row>
    <row r="51" spans="1:8" x14ac:dyDescent="0.2">
      <c r="A51" s="27"/>
      <c r="B51" s="29"/>
      <c r="C51" s="6"/>
      <c r="D51" s="29"/>
      <c r="E51" s="6"/>
      <c r="F51" s="6"/>
      <c r="G51" s="30"/>
      <c r="H51" s="31"/>
    </row>
    <row r="52" spans="1:8" x14ac:dyDescent="0.2">
      <c r="A52" s="22"/>
      <c r="B52" s="24"/>
      <c r="C52" s="3"/>
      <c r="D52" s="24"/>
      <c r="E52" s="3"/>
      <c r="F52" s="3"/>
      <c r="G52" s="25"/>
      <c r="H52" s="26"/>
    </row>
    <row r="53" spans="1:8" x14ac:dyDescent="0.2">
      <c r="A53" s="27"/>
      <c r="B53" s="29"/>
      <c r="C53" s="6"/>
      <c r="D53" s="29"/>
      <c r="E53" s="6"/>
      <c r="F53" s="6"/>
      <c r="G53" s="30"/>
      <c r="H53" s="31"/>
    </row>
    <row r="54" spans="1:8" x14ac:dyDescent="0.2">
      <c r="A54" s="22"/>
      <c r="B54" s="24"/>
      <c r="C54" s="3"/>
      <c r="D54" s="24"/>
      <c r="E54" s="3"/>
      <c r="F54" s="3"/>
      <c r="G54" s="25"/>
      <c r="H54" s="26"/>
    </row>
    <row r="55" spans="1:8" x14ac:dyDescent="0.2">
      <c r="A55" s="27"/>
      <c r="B55" s="29"/>
      <c r="C55" s="6"/>
      <c r="D55" s="29"/>
      <c r="E55" s="6"/>
      <c r="F55" s="6"/>
      <c r="G55" s="30"/>
      <c r="H55" s="31"/>
    </row>
    <row r="56" spans="1:8" x14ac:dyDescent="0.2">
      <c r="A56" s="22"/>
      <c r="B56" s="24"/>
      <c r="C56" s="3"/>
      <c r="D56" s="24"/>
      <c r="E56" s="3"/>
      <c r="F56" s="3"/>
      <c r="G56" s="25"/>
      <c r="H56" s="26"/>
    </row>
    <row r="57" spans="1:8" x14ac:dyDescent="0.2">
      <c r="A57" s="27"/>
      <c r="B57" s="29"/>
      <c r="C57" s="6"/>
      <c r="D57" s="29"/>
      <c r="E57" s="6"/>
      <c r="F57" s="6"/>
      <c r="G57" s="30"/>
      <c r="H57" s="31"/>
    </row>
    <row r="58" spans="1:8" x14ac:dyDescent="0.2">
      <c r="A58" s="22"/>
      <c r="B58" s="24"/>
      <c r="C58" s="3"/>
      <c r="D58" s="24"/>
      <c r="E58" s="3"/>
      <c r="F58" s="3"/>
      <c r="G58" s="25"/>
      <c r="H58" s="26"/>
    </row>
    <row r="59" spans="1:8" x14ac:dyDescent="0.2">
      <c r="A59" s="27"/>
      <c r="B59" s="29"/>
      <c r="C59" s="6"/>
      <c r="D59" s="29"/>
      <c r="E59" s="6"/>
      <c r="F59" s="6"/>
      <c r="G59" s="30"/>
      <c r="H59" s="31"/>
    </row>
    <row r="60" spans="1:8" x14ac:dyDescent="0.2">
      <c r="A60" s="22"/>
      <c r="B60" s="24"/>
      <c r="C60" s="3"/>
      <c r="D60" s="24"/>
      <c r="E60" s="3"/>
      <c r="F60" s="3"/>
      <c r="G60" s="25"/>
      <c r="H60" s="26"/>
    </row>
    <row r="61" spans="1:8" x14ac:dyDescent="0.2">
      <c r="A61" s="27"/>
      <c r="B61" s="29"/>
      <c r="C61" s="6"/>
      <c r="D61" s="29"/>
      <c r="E61" s="6"/>
      <c r="F61" s="6"/>
      <c r="G61" s="30"/>
      <c r="H61" s="31"/>
    </row>
    <row r="62" spans="1:8" x14ac:dyDescent="0.2">
      <c r="A62" s="22"/>
      <c r="B62" s="24"/>
      <c r="C62" s="3"/>
      <c r="D62" s="24"/>
      <c r="E62" s="3"/>
      <c r="F62" s="3"/>
      <c r="G62" s="25"/>
      <c r="H62" s="26"/>
    </row>
    <row r="63" spans="1:8" x14ac:dyDescent="0.2">
      <c r="A63" s="27"/>
      <c r="B63" s="29"/>
      <c r="C63" s="6"/>
      <c r="D63" s="29"/>
      <c r="E63" s="6"/>
      <c r="F63" s="6"/>
      <c r="G63" s="30"/>
      <c r="H63" s="31"/>
    </row>
    <row r="64" spans="1:8" x14ac:dyDescent="0.2">
      <c r="A64" s="22"/>
      <c r="B64" s="24"/>
      <c r="C64" s="3"/>
      <c r="D64" s="24"/>
      <c r="E64" s="3"/>
      <c r="F64" s="3"/>
      <c r="G64" s="25"/>
      <c r="H64" s="26"/>
    </row>
    <row r="65" spans="1:8" x14ac:dyDescent="0.2">
      <c r="A65" s="27"/>
      <c r="B65" s="29"/>
      <c r="C65" s="6"/>
      <c r="D65" s="29"/>
      <c r="E65" s="6"/>
      <c r="F65" s="6"/>
      <c r="G65" s="30"/>
      <c r="H65" s="31"/>
    </row>
    <row r="66" spans="1:8" x14ac:dyDescent="0.2">
      <c r="A66" s="22"/>
      <c r="B66" s="24"/>
      <c r="C66" s="3"/>
      <c r="D66" s="24"/>
      <c r="E66" s="3"/>
      <c r="F66" s="3"/>
      <c r="G66" s="25"/>
      <c r="H66" s="26"/>
    </row>
    <row r="67" spans="1:8" x14ac:dyDescent="0.2">
      <c r="A67" s="27"/>
      <c r="B67" s="29"/>
      <c r="C67" s="6"/>
      <c r="D67" s="29"/>
      <c r="E67" s="6"/>
      <c r="F67" s="6"/>
      <c r="G67" s="30"/>
      <c r="H67" s="31"/>
    </row>
    <row r="68" spans="1:8" x14ac:dyDescent="0.2">
      <c r="A68" s="22"/>
      <c r="B68" s="24"/>
      <c r="C68" s="3"/>
      <c r="D68" s="24"/>
      <c r="E68" s="3"/>
      <c r="F68" s="3"/>
      <c r="G68" s="25"/>
      <c r="H68" s="26"/>
    </row>
    <row r="69" spans="1:8" x14ac:dyDescent="0.2">
      <c r="A69" s="27"/>
      <c r="B69" s="29"/>
      <c r="C69" s="6"/>
      <c r="D69" s="29"/>
      <c r="E69" s="6"/>
      <c r="F69" s="6"/>
      <c r="G69" s="30"/>
      <c r="H69" s="31"/>
    </row>
    <row r="70" spans="1:8" x14ac:dyDescent="0.2">
      <c r="A70" s="22"/>
      <c r="B70" s="24"/>
      <c r="C70" s="3"/>
      <c r="D70" s="24"/>
      <c r="E70" s="3"/>
      <c r="F70" s="3"/>
      <c r="G70" s="25"/>
      <c r="H70" s="26"/>
    </row>
    <row r="71" spans="1:8" x14ac:dyDescent="0.2">
      <c r="A71" s="27"/>
      <c r="B71" s="29"/>
      <c r="C71" s="6"/>
      <c r="D71" s="29"/>
      <c r="E71" s="6"/>
      <c r="F71" s="6"/>
      <c r="G71" s="30"/>
      <c r="H71" s="31"/>
    </row>
    <row r="72" spans="1:8" x14ac:dyDescent="0.2">
      <c r="A72" s="22"/>
      <c r="B72" s="24"/>
      <c r="C72" s="3"/>
      <c r="D72" s="24"/>
      <c r="E72" s="3"/>
      <c r="F72" s="3"/>
      <c r="G72" s="25"/>
      <c r="H72" s="26"/>
    </row>
    <row r="73" spans="1:8" x14ac:dyDescent="0.2">
      <c r="A73" s="27"/>
      <c r="B73" s="29"/>
      <c r="C73" s="6"/>
      <c r="D73" s="29"/>
      <c r="E73" s="6"/>
      <c r="F73" s="6"/>
      <c r="G73" s="30"/>
      <c r="H73" s="31"/>
    </row>
    <row r="74" spans="1:8" x14ac:dyDescent="0.2">
      <c r="A74" s="22"/>
      <c r="B74" s="24"/>
      <c r="C74" s="3"/>
      <c r="D74" s="24"/>
      <c r="E74" s="3"/>
      <c r="F74" s="3"/>
      <c r="G74" s="25"/>
      <c r="H74" s="26"/>
    </row>
    <row r="75" spans="1:8" x14ac:dyDescent="0.2">
      <c r="A75" s="27"/>
      <c r="B75" s="29"/>
      <c r="C75" s="6"/>
      <c r="D75" s="29"/>
      <c r="E75" s="6"/>
      <c r="F75" s="6"/>
      <c r="G75" s="30"/>
      <c r="H75" s="31"/>
    </row>
    <row r="76" spans="1:8" x14ac:dyDescent="0.2">
      <c r="A76" s="22"/>
      <c r="B76" s="24"/>
      <c r="C76" s="3"/>
      <c r="D76" s="24"/>
      <c r="E76" s="3"/>
      <c r="F76" s="3"/>
      <c r="G76" s="25"/>
      <c r="H76" s="26"/>
    </row>
    <row r="77" spans="1:8" x14ac:dyDescent="0.2">
      <c r="A77" s="27"/>
      <c r="B77" s="29"/>
      <c r="C77" s="6"/>
      <c r="D77" s="29"/>
      <c r="E77" s="6"/>
      <c r="F77" s="6"/>
      <c r="G77" s="30"/>
      <c r="H77" s="31"/>
    </row>
    <row r="78" spans="1:8" x14ac:dyDescent="0.2">
      <c r="A78" s="22"/>
      <c r="B78" s="24"/>
      <c r="C78" s="3"/>
      <c r="D78" s="24"/>
      <c r="E78" s="3"/>
      <c r="F78" s="3"/>
      <c r="G78" s="25"/>
      <c r="H78" s="26"/>
    </row>
    <row r="79" spans="1:8" x14ac:dyDescent="0.2">
      <c r="A79" s="27"/>
      <c r="B79" s="29"/>
      <c r="C79" s="6"/>
      <c r="D79" s="29"/>
      <c r="E79" s="6"/>
      <c r="F79" s="6"/>
      <c r="G79" s="30"/>
      <c r="H79" s="31"/>
    </row>
    <row r="80" spans="1:8" x14ac:dyDescent="0.2">
      <c r="A80" s="22"/>
      <c r="B80" s="24"/>
      <c r="C80" s="3"/>
      <c r="D80" s="24"/>
      <c r="E80" s="3"/>
      <c r="F80" s="3"/>
      <c r="G80" s="25"/>
      <c r="H80" s="26"/>
    </row>
    <row r="81" spans="1:8" x14ac:dyDescent="0.2">
      <c r="A81" s="27"/>
      <c r="B81" s="29"/>
      <c r="C81" s="6"/>
      <c r="D81" s="29"/>
      <c r="E81" s="6"/>
      <c r="F81" s="6"/>
      <c r="G81" s="30"/>
      <c r="H81" s="31"/>
    </row>
    <row r="82" spans="1:8" x14ac:dyDescent="0.2">
      <c r="A82" s="22"/>
      <c r="B82" s="24"/>
      <c r="C82" s="3"/>
      <c r="D82" s="24"/>
      <c r="E82" s="3"/>
      <c r="F82" s="3"/>
      <c r="G82" s="25"/>
      <c r="H82" s="26"/>
    </row>
    <row r="83" spans="1:8" x14ac:dyDescent="0.2">
      <c r="A83" s="27"/>
      <c r="B83" s="29"/>
      <c r="C83" s="6"/>
      <c r="D83" s="29"/>
      <c r="E83" s="6"/>
      <c r="F83" s="6"/>
      <c r="G83" s="30"/>
      <c r="H83" s="31"/>
    </row>
    <row r="84" spans="1:8" x14ac:dyDescent="0.2">
      <c r="A84" s="22"/>
      <c r="B84" s="24"/>
      <c r="C84" s="3"/>
      <c r="D84" s="24"/>
      <c r="E84" s="3"/>
      <c r="F84" s="3"/>
      <c r="G84" s="25"/>
      <c r="H84" s="26"/>
    </row>
    <row r="85" spans="1:8" x14ac:dyDescent="0.2">
      <c r="A85" s="27"/>
      <c r="B85" s="29"/>
      <c r="C85" s="6"/>
      <c r="D85" s="29"/>
      <c r="E85" s="6"/>
      <c r="F85" s="6"/>
      <c r="G85" s="30"/>
      <c r="H85" s="31"/>
    </row>
    <row r="86" spans="1:8" x14ac:dyDescent="0.2">
      <c r="A86" s="22"/>
      <c r="B86" s="24"/>
      <c r="C86" s="3"/>
      <c r="D86" s="24"/>
      <c r="E86" s="3"/>
      <c r="F86" s="3"/>
      <c r="G86" s="25"/>
      <c r="H86" s="26"/>
    </row>
    <row r="87" spans="1:8" x14ac:dyDescent="0.2">
      <c r="A87" s="27"/>
      <c r="B87" s="29"/>
      <c r="C87" s="6"/>
      <c r="D87" s="29"/>
      <c r="E87" s="6"/>
      <c r="F87" s="6"/>
      <c r="G87" s="30"/>
      <c r="H87" s="31"/>
    </row>
    <row r="88" spans="1:8" x14ac:dyDescent="0.2">
      <c r="A88" s="22"/>
      <c r="B88" s="24"/>
      <c r="C88" s="3"/>
      <c r="D88" s="24"/>
      <c r="E88" s="3"/>
      <c r="F88" s="3"/>
      <c r="G88" s="25"/>
      <c r="H88" s="26"/>
    </row>
    <row r="89" spans="1:8" x14ac:dyDescent="0.2">
      <c r="A89" s="27"/>
      <c r="B89" s="29"/>
      <c r="C89" s="6"/>
      <c r="D89" s="29"/>
      <c r="E89" s="6"/>
      <c r="F89" s="6"/>
      <c r="G89" s="30"/>
      <c r="H89" s="31"/>
    </row>
    <row r="90" spans="1:8" x14ac:dyDescent="0.2">
      <c r="A90" s="22"/>
      <c r="B90" s="24"/>
      <c r="C90" s="3"/>
      <c r="D90" s="24"/>
      <c r="E90" s="3"/>
      <c r="F90" s="3"/>
      <c r="G90" s="25"/>
      <c r="H90" s="26"/>
    </row>
    <row r="91" spans="1:8" x14ac:dyDescent="0.2">
      <c r="A91" s="27"/>
      <c r="B91" s="29"/>
      <c r="C91" s="6"/>
      <c r="D91" s="29"/>
      <c r="E91" s="6"/>
      <c r="F91" s="6"/>
      <c r="G91" s="30"/>
      <c r="H91" s="31"/>
    </row>
    <row r="92" spans="1:8" x14ac:dyDescent="0.2">
      <c r="A92" s="22"/>
      <c r="B92" s="24"/>
      <c r="C92" s="3"/>
      <c r="D92" s="24"/>
      <c r="E92" s="3"/>
      <c r="F92" s="3"/>
      <c r="G92" s="25"/>
      <c r="H92" s="26"/>
    </row>
    <row r="93" spans="1:8" x14ac:dyDescent="0.2">
      <c r="A93" s="27"/>
      <c r="B93" s="29"/>
      <c r="C93" s="6"/>
      <c r="D93" s="29"/>
      <c r="E93" s="6"/>
      <c r="F93" s="6"/>
      <c r="G93" s="30"/>
      <c r="H93" s="31"/>
    </row>
    <row r="94" spans="1:8" x14ac:dyDescent="0.2">
      <c r="A94" s="22"/>
      <c r="B94" s="24"/>
      <c r="C94" s="3"/>
      <c r="D94" s="24"/>
      <c r="E94" s="3"/>
      <c r="F94" s="3"/>
      <c r="G94" s="25"/>
      <c r="H94" s="26"/>
    </row>
    <row r="95" spans="1:8" x14ac:dyDescent="0.2">
      <c r="A95" s="27"/>
      <c r="B95" s="29"/>
      <c r="C95" s="6"/>
      <c r="D95" s="29"/>
      <c r="E95" s="6"/>
      <c r="F95" s="6"/>
      <c r="G95" s="30"/>
      <c r="H95" s="31"/>
    </row>
    <row r="96" spans="1:8" x14ac:dyDescent="0.2">
      <c r="A96" s="22"/>
      <c r="B96" s="24"/>
      <c r="C96" s="3"/>
      <c r="D96" s="24"/>
      <c r="E96" s="3"/>
      <c r="F96" s="3"/>
      <c r="G96" s="25"/>
      <c r="H96" s="26"/>
    </row>
    <row r="97" spans="1:8" x14ac:dyDescent="0.2">
      <c r="A97" s="27"/>
      <c r="B97" s="29"/>
      <c r="C97" s="6"/>
      <c r="D97" s="29"/>
      <c r="E97" s="6"/>
      <c r="F97" s="6"/>
      <c r="G97" s="30"/>
      <c r="H97" s="31"/>
    </row>
    <row r="98" spans="1:8" x14ac:dyDescent="0.2">
      <c r="A98" s="22"/>
      <c r="B98" s="24"/>
      <c r="C98" s="3"/>
      <c r="D98" s="24"/>
      <c r="E98" s="3"/>
      <c r="F98" s="3"/>
      <c r="G98" s="25"/>
      <c r="H98" s="26"/>
    </row>
    <row r="99" spans="1:8" x14ac:dyDescent="0.2">
      <c r="A99" s="27"/>
      <c r="B99" s="29"/>
      <c r="C99" s="6"/>
      <c r="D99" s="29"/>
      <c r="E99" s="6"/>
      <c r="F99" s="6"/>
      <c r="G99" s="30"/>
      <c r="H99" s="31"/>
    </row>
    <row r="100" spans="1:8" x14ac:dyDescent="0.2">
      <c r="A100" s="22"/>
      <c r="B100" s="24"/>
      <c r="C100" s="3"/>
      <c r="D100" s="24"/>
      <c r="E100" s="3"/>
      <c r="F100" s="3"/>
      <c r="G100" s="25"/>
      <c r="H100" s="26"/>
    </row>
    <row r="101" spans="1:8" x14ac:dyDescent="0.2">
      <c r="A101" s="27"/>
      <c r="B101" s="29"/>
      <c r="C101" s="6"/>
      <c r="D101" s="29"/>
      <c r="E101" s="6"/>
      <c r="F101" s="6"/>
      <c r="G101" s="30"/>
      <c r="H101" s="31"/>
    </row>
    <row r="102" spans="1:8" x14ac:dyDescent="0.2">
      <c r="A102" s="22"/>
      <c r="B102" s="24"/>
      <c r="C102" s="3"/>
      <c r="D102" s="24"/>
      <c r="E102" s="3"/>
      <c r="F102" s="3"/>
      <c r="G102" s="25"/>
      <c r="H102" s="26"/>
    </row>
    <row r="103" spans="1:8" x14ac:dyDescent="0.2">
      <c r="A103" s="27"/>
      <c r="B103" s="29"/>
      <c r="C103" s="6"/>
      <c r="D103" s="29"/>
      <c r="E103" s="6"/>
      <c r="F103" s="6"/>
      <c r="G103" s="30"/>
      <c r="H103" s="31"/>
    </row>
    <row r="104" spans="1:8" x14ac:dyDescent="0.2">
      <c r="A104" s="22"/>
      <c r="B104" s="24"/>
      <c r="C104" s="3"/>
      <c r="D104" s="24"/>
      <c r="E104" s="3"/>
      <c r="F104" s="3"/>
      <c r="G104" s="25"/>
      <c r="H104" s="26"/>
    </row>
    <row r="105" spans="1:8" x14ac:dyDescent="0.2">
      <c r="A105" s="27"/>
      <c r="B105" s="29"/>
      <c r="C105" s="6"/>
      <c r="D105" s="29"/>
      <c r="E105" s="6"/>
      <c r="F105" s="6"/>
      <c r="G105" s="30"/>
      <c r="H105" s="31"/>
    </row>
    <row r="106" spans="1:8" x14ac:dyDescent="0.2">
      <c r="A106" s="22"/>
      <c r="B106" s="24"/>
      <c r="C106" s="3"/>
      <c r="D106" s="24"/>
      <c r="E106" s="3"/>
      <c r="F106" s="3"/>
      <c r="G106" s="25"/>
      <c r="H106" s="26"/>
    </row>
    <row r="107" spans="1:8" x14ac:dyDescent="0.2">
      <c r="A107" s="27"/>
      <c r="B107" s="29"/>
      <c r="C107" s="6"/>
      <c r="D107" s="29"/>
      <c r="E107" s="6"/>
      <c r="F107" s="6"/>
      <c r="G107" s="30"/>
      <c r="H107" s="31"/>
    </row>
    <row r="108" spans="1:8" x14ac:dyDescent="0.2">
      <c r="A108" s="22"/>
      <c r="B108" s="24"/>
      <c r="C108" s="3"/>
      <c r="D108" s="24"/>
      <c r="E108" s="3"/>
      <c r="F108" s="3"/>
      <c r="G108" s="25"/>
      <c r="H108" s="26"/>
    </row>
    <row r="109" spans="1:8" x14ac:dyDescent="0.2">
      <c r="A109" s="27"/>
      <c r="B109" s="29"/>
      <c r="C109" s="6"/>
      <c r="D109" s="29"/>
      <c r="E109" s="6"/>
      <c r="F109" s="6"/>
      <c r="G109" s="30"/>
      <c r="H109" s="31"/>
    </row>
    <row r="110" spans="1:8" x14ac:dyDescent="0.2">
      <c r="A110" s="22"/>
      <c r="B110" s="24"/>
      <c r="C110" s="3"/>
      <c r="D110" s="24"/>
      <c r="E110" s="3"/>
      <c r="F110" s="3"/>
      <c r="G110" s="25"/>
      <c r="H110" s="26"/>
    </row>
    <row r="111" spans="1:8" x14ac:dyDescent="0.2">
      <c r="A111" s="27"/>
      <c r="B111" s="29"/>
      <c r="C111" s="6"/>
      <c r="D111" s="29"/>
      <c r="E111" s="6"/>
      <c r="F111" s="6"/>
      <c r="G111" s="30"/>
      <c r="H111" s="31"/>
    </row>
    <row r="112" spans="1:8" x14ac:dyDescent="0.2">
      <c r="A112" s="22"/>
      <c r="B112" s="24"/>
      <c r="C112" s="3"/>
      <c r="D112" s="24"/>
      <c r="E112" s="3"/>
      <c r="F112" s="3"/>
      <c r="G112" s="25"/>
      <c r="H112" s="26"/>
    </row>
    <row r="113" spans="1:8" x14ac:dyDescent="0.2">
      <c r="A113" s="27"/>
      <c r="B113" s="29"/>
      <c r="C113" s="6"/>
      <c r="D113" s="29"/>
      <c r="E113" s="6"/>
      <c r="F113" s="6"/>
      <c r="G113" s="30"/>
      <c r="H113" s="31"/>
    </row>
    <row r="114" spans="1:8" x14ac:dyDescent="0.2">
      <c r="A114" s="22"/>
      <c r="B114" s="24"/>
      <c r="C114" s="3"/>
      <c r="D114" s="24"/>
      <c r="E114" s="3"/>
      <c r="F114" s="3"/>
      <c r="G114" s="25"/>
      <c r="H114" s="26"/>
    </row>
    <row r="115" spans="1:8" x14ac:dyDescent="0.2">
      <c r="A115" s="27"/>
      <c r="B115" s="29"/>
      <c r="C115" s="6"/>
      <c r="D115" s="29"/>
      <c r="E115" s="6"/>
      <c r="F115" s="6"/>
      <c r="G115" s="30"/>
      <c r="H115" s="31"/>
    </row>
    <row r="116" spans="1:8" x14ac:dyDescent="0.2">
      <c r="A116" s="22"/>
      <c r="B116" s="24"/>
      <c r="C116" s="3"/>
      <c r="D116" s="24"/>
      <c r="E116" s="3"/>
      <c r="F116" s="3"/>
      <c r="G116" s="25"/>
      <c r="H116" s="26"/>
    </row>
    <row r="117" spans="1:8" x14ac:dyDescent="0.2">
      <c r="A117" s="27"/>
      <c r="B117" s="29"/>
      <c r="C117" s="6"/>
      <c r="D117" s="29"/>
      <c r="E117" s="6"/>
      <c r="F117" s="6"/>
      <c r="G117" s="30"/>
      <c r="H117" s="31"/>
    </row>
    <row r="118" spans="1:8" x14ac:dyDescent="0.2">
      <c r="A118" s="22"/>
      <c r="B118" s="24"/>
      <c r="C118" s="3"/>
      <c r="D118" s="24"/>
      <c r="E118" s="3"/>
      <c r="F118" s="3"/>
      <c r="G118" s="25"/>
      <c r="H118" s="26"/>
    </row>
    <row r="119" spans="1:8" x14ac:dyDescent="0.2">
      <c r="A119" s="27"/>
      <c r="B119" s="29"/>
      <c r="C119" s="6"/>
      <c r="D119" s="29"/>
      <c r="E119" s="6"/>
      <c r="F119" s="6"/>
      <c r="G119" s="30"/>
      <c r="H119" s="31"/>
    </row>
    <row r="120" spans="1:8" x14ac:dyDescent="0.2">
      <c r="A120" s="22"/>
      <c r="B120" s="24"/>
      <c r="C120" s="3"/>
      <c r="D120" s="24"/>
      <c r="E120" s="3"/>
      <c r="F120" s="3"/>
      <c r="G120" s="25"/>
      <c r="H120" s="26"/>
    </row>
    <row r="121" spans="1:8" x14ac:dyDescent="0.2">
      <c r="A121" s="27"/>
      <c r="B121" s="29"/>
      <c r="C121" s="6"/>
      <c r="D121" s="29"/>
      <c r="E121" s="6"/>
      <c r="F121" s="6"/>
      <c r="G121" s="30"/>
      <c r="H121" s="31"/>
    </row>
    <row r="122" spans="1:8" x14ac:dyDescent="0.2">
      <c r="A122" s="22"/>
      <c r="B122" s="24"/>
      <c r="C122" s="3"/>
      <c r="D122" s="24"/>
      <c r="E122" s="3"/>
      <c r="F122" s="3"/>
      <c r="G122" s="25"/>
      <c r="H122" s="26"/>
    </row>
    <row r="123" spans="1:8" x14ac:dyDescent="0.2">
      <c r="A123" s="27"/>
      <c r="B123" s="29"/>
      <c r="C123" s="6"/>
      <c r="D123" s="29"/>
      <c r="E123" s="6"/>
      <c r="F123" s="6"/>
      <c r="G123" s="30"/>
      <c r="H123" s="31"/>
    </row>
    <row r="124" spans="1:8" x14ac:dyDescent="0.2">
      <c r="A124" s="22"/>
      <c r="B124" s="24"/>
      <c r="C124" s="3"/>
      <c r="D124" s="24"/>
      <c r="E124" s="3"/>
      <c r="F124" s="3"/>
      <c r="G124" s="25"/>
      <c r="H124" s="26"/>
    </row>
    <row r="125" spans="1:8" x14ac:dyDescent="0.2">
      <c r="A125" s="27"/>
      <c r="B125" s="29"/>
      <c r="C125" s="6"/>
      <c r="D125" s="29"/>
      <c r="E125" s="6"/>
      <c r="F125" s="6"/>
      <c r="G125" s="30"/>
      <c r="H125" s="31"/>
    </row>
    <row r="126" spans="1:8" x14ac:dyDescent="0.2">
      <c r="A126" s="22"/>
      <c r="B126" s="24"/>
      <c r="C126" s="3"/>
      <c r="D126" s="24"/>
      <c r="E126" s="3"/>
      <c r="F126" s="3"/>
      <c r="G126" s="25"/>
      <c r="H126" s="26"/>
    </row>
    <row r="127" spans="1:8" x14ac:dyDescent="0.2">
      <c r="A127" s="27"/>
      <c r="B127" s="29"/>
      <c r="C127" s="6"/>
      <c r="D127" s="29"/>
      <c r="E127" s="6"/>
      <c r="F127" s="6"/>
      <c r="G127" s="30"/>
      <c r="H127" s="31"/>
    </row>
    <row r="128" spans="1:8" x14ac:dyDescent="0.2">
      <c r="A128" s="22"/>
      <c r="B128" s="24"/>
      <c r="C128" s="3"/>
      <c r="D128" s="24"/>
      <c r="E128" s="3"/>
      <c r="F128" s="3"/>
      <c r="G128" s="25"/>
      <c r="H128" s="26"/>
    </row>
    <row r="129" spans="1:8" x14ac:dyDescent="0.2">
      <c r="A129" s="27"/>
      <c r="B129" s="29"/>
      <c r="C129" s="6"/>
      <c r="D129" s="29"/>
      <c r="E129" s="6"/>
      <c r="F129" s="6"/>
      <c r="G129" s="30"/>
      <c r="H129" s="31"/>
    </row>
    <row r="130" spans="1:8" x14ac:dyDescent="0.2">
      <c r="A130" s="22"/>
      <c r="B130" s="24"/>
      <c r="C130" s="3"/>
      <c r="D130" s="24"/>
      <c r="E130" s="3"/>
      <c r="F130" s="3"/>
      <c r="G130" s="25"/>
      <c r="H130" s="26"/>
    </row>
    <row r="131" spans="1:8" x14ac:dyDescent="0.2">
      <c r="A131" s="27"/>
      <c r="B131" s="29"/>
      <c r="C131" s="6"/>
      <c r="D131" s="29"/>
      <c r="E131" s="6"/>
      <c r="F131" s="6"/>
      <c r="G131" s="30"/>
      <c r="H131" s="31"/>
    </row>
    <row r="132" spans="1:8" x14ac:dyDescent="0.2">
      <c r="A132" s="22"/>
      <c r="B132" s="24"/>
      <c r="C132" s="3"/>
      <c r="D132" s="24"/>
      <c r="E132" s="3"/>
      <c r="F132" s="3"/>
      <c r="G132" s="25"/>
      <c r="H132" s="26"/>
    </row>
    <row r="133" spans="1:8" x14ac:dyDescent="0.2">
      <c r="A133" s="27"/>
      <c r="B133" s="29"/>
      <c r="C133" s="6"/>
      <c r="D133" s="29"/>
      <c r="E133" s="6"/>
      <c r="F133" s="6"/>
      <c r="G133" s="30"/>
      <c r="H133" s="31"/>
    </row>
    <row r="134" spans="1:8" x14ac:dyDescent="0.2">
      <c r="A134" s="22"/>
      <c r="B134" s="24"/>
      <c r="C134" s="3"/>
      <c r="D134" s="24"/>
      <c r="E134" s="3"/>
      <c r="F134" s="3"/>
      <c r="G134" s="25"/>
      <c r="H134" s="26"/>
    </row>
    <row r="135" spans="1:8" x14ac:dyDescent="0.2">
      <c r="A135" s="27"/>
      <c r="B135" s="29"/>
      <c r="C135" s="6"/>
      <c r="D135" s="29"/>
      <c r="E135" s="6"/>
      <c r="F135" s="6"/>
      <c r="G135" s="30"/>
      <c r="H135" s="31"/>
    </row>
    <row r="136" spans="1:8" x14ac:dyDescent="0.2">
      <c r="A136" s="22"/>
      <c r="B136" s="24"/>
      <c r="C136" s="3"/>
      <c r="D136" s="24"/>
      <c r="E136" s="3"/>
      <c r="F136" s="3"/>
      <c r="G136" s="25"/>
      <c r="H136" s="26"/>
    </row>
    <row r="137" spans="1:8" x14ac:dyDescent="0.2">
      <c r="A137" s="27"/>
      <c r="B137" s="29"/>
      <c r="C137" s="6"/>
      <c r="D137" s="29"/>
      <c r="E137" s="6"/>
      <c r="F137" s="6"/>
      <c r="G137" s="30"/>
      <c r="H137" s="31"/>
    </row>
    <row r="138" spans="1:8" x14ac:dyDescent="0.2">
      <c r="A138" s="22"/>
      <c r="B138" s="24"/>
      <c r="C138" s="3"/>
      <c r="D138" s="24"/>
      <c r="E138" s="3"/>
      <c r="F138" s="3"/>
      <c r="G138" s="25"/>
      <c r="H138" s="26"/>
    </row>
    <row r="139" spans="1:8" x14ac:dyDescent="0.2">
      <c r="A139" s="27"/>
      <c r="B139" s="29"/>
      <c r="C139" s="6"/>
      <c r="D139" s="29"/>
      <c r="E139" s="6"/>
      <c r="F139" s="6"/>
      <c r="G139" s="30"/>
      <c r="H139" s="31"/>
    </row>
    <row r="140" spans="1:8" x14ac:dyDescent="0.2">
      <c r="A140" s="22"/>
      <c r="B140" s="24"/>
      <c r="C140" s="3"/>
      <c r="D140" s="24"/>
      <c r="E140" s="3"/>
      <c r="F140" s="3"/>
      <c r="G140" s="25"/>
      <c r="H140" s="26"/>
    </row>
    <row r="141" spans="1:8" x14ac:dyDescent="0.2">
      <c r="A141" s="27"/>
      <c r="B141" s="29"/>
      <c r="C141" s="6"/>
      <c r="D141" s="29"/>
      <c r="E141" s="6"/>
      <c r="F141" s="6"/>
      <c r="G141" s="30"/>
      <c r="H141" s="31"/>
    </row>
    <row r="142" spans="1:8" x14ac:dyDescent="0.2">
      <c r="A142" s="22"/>
      <c r="B142" s="24"/>
      <c r="C142" s="3"/>
      <c r="D142" s="24"/>
      <c r="E142" s="3"/>
      <c r="F142" s="3"/>
      <c r="G142" s="25"/>
      <c r="H142" s="26"/>
    </row>
    <row r="143" spans="1:8" x14ac:dyDescent="0.2">
      <c r="A143" s="27"/>
      <c r="B143" s="29"/>
      <c r="C143" s="6"/>
      <c r="D143" s="29"/>
      <c r="E143" s="6"/>
      <c r="F143" s="6"/>
      <c r="G143" s="30"/>
      <c r="H143" s="31"/>
    </row>
    <row r="144" spans="1:8" x14ac:dyDescent="0.2">
      <c r="A144" s="22"/>
      <c r="B144" s="24"/>
      <c r="C144" s="3"/>
      <c r="D144" s="24"/>
      <c r="E144" s="3"/>
      <c r="F144" s="3"/>
      <c r="G144" s="25"/>
      <c r="H144" s="26"/>
    </row>
    <row r="145" spans="1:8" x14ac:dyDescent="0.2">
      <c r="A145" s="27"/>
      <c r="B145" s="29"/>
      <c r="C145" s="6"/>
      <c r="D145" s="29"/>
      <c r="E145" s="6"/>
      <c r="F145" s="6"/>
      <c r="G145" s="30"/>
      <c r="H145" s="31"/>
    </row>
    <row r="146" spans="1:8" x14ac:dyDescent="0.2">
      <c r="A146" s="22"/>
      <c r="B146" s="24"/>
      <c r="C146" s="3"/>
      <c r="D146" s="24"/>
      <c r="E146" s="3"/>
      <c r="F146" s="3"/>
      <c r="G146" s="25"/>
      <c r="H146" s="26"/>
    </row>
    <row r="147" spans="1:8" x14ac:dyDescent="0.2">
      <c r="A147" s="27"/>
      <c r="B147" s="29"/>
      <c r="C147" s="6"/>
      <c r="D147" s="29"/>
      <c r="E147" s="6"/>
      <c r="F147" s="6"/>
      <c r="G147" s="30"/>
      <c r="H147" s="31"/>
    </row>
    <row r="148" spans="1:8" x14ac:dyDescent="0.2">
      <c r="A148" s="22"/>
      <c r="B148" s="24"/>
      <c r="C148" s="3"/>
      <c r="D148" s="24"/>
      <c r="E148" s="3"/>
      <c r="F148" s="3"/>
      <c r="G148" s="25"/>
      <c r="H148" s="26"/>
    </row>
    <row r="149" spans="1:8" x14ac:dyDescent="0.2">
      <c r="A149" s="27"/>
      <c r="B149" s="29"/>
      <c r="C149" s="6"/>
      <c r="D149" s="29"/>
      <c r="E149" s="6"/>
      <c r="F149" s="6"/>
      <c r="G149" s="30"/>
      <c r="H149" s="31"/>
    </row>
    <row r="150" spans="1:8" x14ac:dyDescent="0.2">
      <c r="A150" s="22"/>
      <c r="B150" s="24"/>
      <c r="C150" s="3"/>
      <c r="D150" s="24"/>
      <c r="E150" s="3"/>
      <c r="F150" s="3"/>
      <c r="G150" s="25"/>
      <c r="H150" s="26"/>
    </row>
    <row r="151" spans="1:8" x14ac:dyDescent="0.2">
      <c r="A151" s="27"/>
      <c r="B151" s="29"/>
      <c r="C151" s="6"/>
      <c r="D151" s="29"/>
      <c r="E151" s="6"/>
      <c r="F151" s="6"/>
      <c r="G151" s="30"/>
      <c r="H151" s="31"/>
    </row>
    <row r="152" spans="1:8" x14ac:dyDescent="0.2">
      <c r="A152" s="22"/>
      <c r="B152" s="24"/>
      <c r="C152" s="3"/>
      <c r="D152" s="24"/>
      <c r="E152" s="3"/>
      <c r="F152" s="3"/>
      <c r="G152" s="25"/>
      <c r="H152" s="26"/>
    </row>
    <row r="153" spans="1:8" x14ac:dyDescent="0.2">
      <c r="A153" s="27"/>
      <c r="B153" s="29"/>
      <c r="C153" s="6"/>
      <c r="D153" s="29"/>
      <c r="E153" s="6"/>
      <c r="F153" s="6"/>
      <c r="G153" s="30"/>
      <c r="H153" s="31"/>
    </row>
    <row r="154" spans="1:8" x14ac:dyDescent="0.2">
      <c r="A154" s="22"/>
      <c r="B154" s="24"/>
      <c r="C154" s="3"/>
      <c r="D154" s="24"/>
      <c r="E154" s="3"/>
      <c r="F154" s="3"/>
      <c r="G154" s="25"/>
      <c r="H154" s="26"/>
    </row>
    <row r="155" spans="1:8" x14ac:dyDescent="0.2">
      <c r="A155" s="27"/>
      <c r="B155" s="29"/>
      <c r="C155" s="6"/>
      <c r="D155" s="29"/>
      <c r="E155" s="6"/>
      <c r="F155" s="6"/>
      <c r="G155" s="30"/>
      <c r="H155" s="31"/>
    </row>
    <row r="156" spans="1:8" x14ac:dyDescent="0.2">
      <c r="A156" s="22"/>
      <c r="B156" s="24"/>
      <c r="C156" s="3"/>
      <c r="D156" s="24"/>
      <c r="E156" s="3"/>
      <c r="F156" s="3"/>
      <c r="G156" s="25"/>
      <c r="H156" s="26"/>
    </row>
    <row r="157" spans="1:8" x14ac:dyDescent="0.2">
      <c r="A157" s="27"/>
      <c r="B157" s="29"/>
      <c r="C157" s="6"/>
      <c r="D157" s="29"/>
      <c r="E157" s="6"/>
      <c r="F157" s="6"/>
      <c r="G157" s="30"/>
      <c r="H157" s="31"/>
    </row>
    <row r="158" spans="1:8" x14ac:dyDescent="0.2">
      <c r="A158" s="22"/>
      <c r="B158" s="24"/>
      <c r="C158" s="3"/>
      <c r="D158" s="24"/>
      <c r="E158" s="3"/>
      <c r="F158" s="3"/>
      <c r="G158" s="25"/>
      <c r="H158" s="26"/>
    </row>
    <row r="159" spans="1:8" x14ac:dyDescent="0.2">
      <c r="A159" s="27"/>
      <c r="B159" s="29"/>
      <c r="C159" s="6"/>
      <c r="D159" s="29"/>
      <c r="E159" s="6"/>
      <c r="F159" s="6"/>
      <c r="G159" s="30"/>
      <c r="H159" s="31"/>
    </row>
    <row r="160" spans="1:8" x14ac:dyDescent="0.2">
      <c r="A160" s="22"/>
      <c r="B160" s="24"/>
      <c r="C160" s="3"/>
      <c r="D160" s="24"/>
      <c r="E160" s="3"/>
      <c r="F160" s="3"/>
      <c r="G160" s="25"/>
      <c r="H160" s="26"/>
    </row>
    <row r="161" spans="1:8" x14ac:dyDescent="0.2">
      <c r="A161" s="27"/>
      <c r="B161" s="29"/>
      <c r="C161" s="6"/>
      <c r="D161" s="29"/>
      <c r="E161" s="6"/>
      <c r="F161" s="6"/>
      <c r="G161" s="30"/>
      <c r="H161" s="31"/>
    </row>
    <row r="162" spans="1:8" x14ac:dyDescent="0.2">
      <c r="A162" s="22"/>
      <c r="B162" s="24"/>
      <c r="C162" s="3"/>
      <c r="D162" s="24"/>
      <c r="E162" s="3"/>
      <c r="F162" s="3"/>
      <c r="G162" s="25"/>
      <c r="H162" s="26"/>
    </row>
    <row r="163" spans="1:8" x14ac:dyDescent="0.2">
      <c r="A163" s="27"/>
      <c r="B163" s="29"/>
      <c r="C163" s="6"/>
      <c r="D163" s="29"/>
      <c r="E163" s="6"/>
      <c r="F163" s="6"/>
      <c r="G163" s="30"/>
      <c r="H163" s="31"/>
    </row>
    <row r="164" spans="1:8" x14ac:dyDescent="0.2">
      <c r="A164" s="22"/>
      <c r="B164" s="24"/>
      <c r="C164" s="3"/>
      <c r="D164" s="24"/>
      <c r="E164" s="3"/>
      <c r="F164" s="3"/>
      <c r="G164" s="25"/>
      <c r="H164" s="26"/>
    </row>
    <row r="165" spans="1:8" x14ac:dyDescent="0.2">
      <c r="A165" s="27"/>
      <c r="B165" s="29"/>
      <c r="C165" s="6"/>
      <c r="D165" s="29"/>
      <c r="E165" s="6"/>
      <c r="F165" s="6"/>
      <c r="G165" s="30"/>
      <c r="H165" s="31"/>
    </row>
    <row r="166" spans="1:8" x14ac:dyDescent="0.2">
      <c r="A166" s="22"/>
      <c r="B166" s="24"/>
      <c r="C166" s="3"/>
      <c r="D166" s="24"/>
      <c r="E166" s="3"/>
      <c r="F166" s="3"/>
      <c r="G166" s="25"/>
      <c r="H166" s="26"/>
    </row>
    <row r="167" spans="1:8" x14ac:dyDescent="0.2">
      <c r="A167" s="27"/>
      <c r="B167" s="29"/>
      <c r="C167" s="6"/>
      <c r="D167" s="29"/>
      <c r="E167" s="6"/>
      <c r="F167" s="6"/>
      <c r="G167" s="30"/>
      <c r="H167" s="31"/>
    </row>
    <row r="168" spans="1:8" x14ac:dyDescent="0.2">
      <c r="A168" s="22"/>
      <c r="B168" s="24"/>
      <c r="C168" s="3"/>
      <c r="D168" s="24"/>
      <c r="E168" s="3"/>
      <c r="F168" s="3"/>
      <c r="G168" s="25"/>
      <c r="H168" s="26"/>
    </row>
    <row r="169" spans="1:8" x14ac:dyDescent="0.2">
      <c r="A169" s="27"/>
      <c r="B169" s="29"/>
      <c r="C169" s="6"/>
      <c r="D169" s="29"/>
      <c r="E169" s="6"/>
      <c r="F169" s="6"/>
      <c r="G169" s="30"/>
      <c r="H169" s="31"/>
    </row>
    <row r="170" spans="1:8" x14ac:dyDescent="0.2">
      <c r="A170" s="22"/>
      <c r="B170" s="24"/>
      <c r="C170" s="3"/>
      <c r="D170" s="24"/>
      <c r="E170" s="3"/>
      <c r="F170" s="3"/>
      <c r="G170" s="25"/>
      <c r="H170" s="26"/>
    </row>
    <row r="171" spans="1:8" x14ac:dyDescent="0.2">
      <c r="A171" s="27"/>
      <c r="B171" s="29"/>
      <c r="C171" s="6"/>
      <c r="D171" s="29"/>
      <c r="E171" s="6"/>
      <c r="F171" s="6"/>
      <c r="G171" s="30"/>
      <c r="H171" s="31"/>
    </row>
    <row r="172" spans="1:8" x14ac:dyDescent="0.2">
      <c r="A172" s="22"/>
      <c r="B172" s="24"/>
      <c r="C172" s="3"/>
      <c r="D172" s="24"/>
      <c r="E172" s="3"/>
      <c r="F172" s="3"/>
      <c r="G172" s="25"/>
      <c r="H172" s="26"/>
    </row>
    <row r="173" spans="1:8" x14ac:dyDescent="0.2">
      <c r="A173" s="27"/>
      <c r="B173" s="29"/>
      <c r="C173" s="6"/>
      <c r="D173" s="29"/>
      <c r="E173" s="6"/>
      <c r="F173" s="6"/>
      <c r="G173" s="30"/>
      <c r="H173" s="31"/>
    </row>
    <row r="174" spans="1:8" x14ac:dyDescent="0.2">
      <c r="A174" s="22"/>
      <c r="B174" s="24"/>
      <c r="C174" s="3"/>
      <c r="D174" s="24"/>
      <c r="E174" s="3"/>
      <c r="F174" s="3"/>
      <c r="G174" s="25"/>
      <c r="H174" s="26"/>
    </row>
    <row r="175" spans="1:8" x14ac:dyDescent="0.2">
      <c r="A175" s="27"/>
      <c r="B175" s="29"/>
      <c r="C175" s="6"/>
      <c r="D175" s="29"/>
      <c r="E175" s="6"/>
      <c r="F175" s="6"/>
      <c r="G175" s="30"/>
      <c r="H175" s="31"/>
    </row>
    <row r="176" spans="1:8" x14ac:dyDescent="0.2">
      <c r="A176" s="22"/>
      <c r="B176" s="24"/>
      <c r="C176" s="3"/>
      <c r="D176" s="24"/>
      <c r="E176" s="3"/>
      <c r="F176" s="3"/>
      <c r="G176" s="25"/>
      <c r="H176" s="26"/>
    </row>
    <row r="177" spans="1:8" x14ac:dyDescent="0.2">
      <c r="A177" s="27"/>
      <c r="B177" s="29"/>
      <c r="C177" s="6"/>
      <c r="D177" s="29"/>
      <c r="E177" s="6"/>
      <c r="F177" s="6"/>
      <c r="G177" s="30"/>
      <c r="H177" s="31"/>
    </row>
    <row r="178" spans="1:8" x14ac:dyDescent="0.2">
      <c r="A178" s="22"/>
      <c r="B178" s="24"/>
      <c r="C178" s="3"/>
      <c r="D178" s="24"/>
      <c r="E178" s="3"/>
      <c r="F178" s="3"/>
      <c r="G178" s="25"/>
      <c r="H178" s="26"/>
    </row>
    <row r="179" spans="1:8" x14ac:dyDescent="0.2">
      <c r="A179" s="27"/>
      <c r="B179" s="29"/>
      <c r="C179" s="6"/>
      <c r="D179" s="29"/>
      <c r="E179" s="6"/>
      <c r="F179" s="6"/>
      <c r="G179" s="30"/>
      <c r="H179" s="31"/>
    </row>
    <row r="180" spans="1:8" x14ac:dyDescent="0.2">
      <c r="A180" s="22"/>
      <c r="B180" s="24"/>
      <c r="C180" s="3"/>
      <c r="D180" s="24"/>
      <c r="E180" s="3"/>
      <c r="F180" s="3"/>
      <c r="G180" s="25"/>
      <c r="H180" s="26"/>
    </row>
    <row r="181" spans="1:8" x14ac:dyDescent="0.2">
      <c r="A181" s="27"/>
      <c r="B181" s="29"/>
      <c r="C181" s="6"/>
      <c r="D181" s="29"/>
      <c r="E181" s="6"/>
      <c r="F181" s="6"/>
      <c r="G181" s="30"/>
      <c r="H181" s="31"/>
    </row>
    <row r="182" spans="1:8" x14ac:dyDescent="0.2">
      <c r="A182" s="22"/>
      <c r="B182" s="24"/>
      <c r="C182" s="3"/>
      <c r="D182" s="24"/>
      <c r="E182" s="3"/>
      <c r="F182" s="3"/>
      <c r="G182" s="25"/>
      <c r="H182" s="26"/>
    </row>
    <row r="183" spans="1:8" x14ac:dyDescent="0.2">
      <c r="A183" s="27"/>
      <c r="B183" s="29"/>
      <c r="C183" s="6"/>
      <c r="D183" s="29"/>
      <c r="E183" s="6"/>
      <c r="F183" s="6"/>
      <c r="G183" s="30"/>
      <c r="H183" s="31"/>
    </row>
    <row r="184" spans="1:8" x14ac:dyDescent="0.2">
      <c r="A184" s="22"/>
      <c r="B184" s="24"/>
      <c r="C184" s="3"/>
      <c r="D184" s="24"/>
      <c r="E184" s="3"/>
      <c r="F184" s="3"/>
      <c r="G184" s="25"/>
      <c r="H184" s="26"/>
    </row>
    <row r="185" spans="1:8" x14ac:dyDescent="0.2">
      <c r="A185" s="27"/>
      <c r="B185" s="29"/>
      <c r="C185" s="6"/>
      <c r="D185" s="29"/>
      <c r="E185" s="6"/>
      <c r="F185" s="6"/>
      <c r="G185" s="30"/>
      <c r="H185" s="31"/>
    </row>
    <row r="186" spans="1:8" x14ac:dyDescent="0.2">
      <c r="A186" s="22"/>
      <c r="B186" s="24"/>
      <c r="C186" s="3"/>
      <c r="D186" s="24"/>
      <c r="E186" s="3"/>
      <c r="F186" s="3"/>
      <c r="G186" s="25"/>
      <c r="H186" s="26"/>
    </row>
    <row r="187" spans="1:8" x14ac:dyDescent="0.2">
      <c r="A187" s="27"/>
      <c r="B187" s="29"/>
      <c r="C187" s="6"/>
      <c r="D187" s="29"/>
      <c r="E187" s="6"/>
      <c r="F187" s="6"/>
      <c r="G187" s="30"/>
      <c r="H187" s="31"/>
    </row>
    <row r="188" spans="1:8" x14ac:dyDescent="0.2">
      <c r="A188" s="22"/>
      <c r="B188" s="24"/>
      <c r="C188" s="3"/>
      <c r="D188" s="24"/>
      <c r="E188" s="3"/>
      <c r="F188" s="3"/>
      <c r="G188" s="25"/>
      <c r="H188" s="26"/>
    </row>
    <row r="189" spans="1:8" x14ac:dyDescent="0.2">
      <c r="A189" s="27"/>
      <c r="B189" s="29"/>
      <c r="C189" s="6"/>
      <c r="D189" s="29"/>
      <c r="E189" s="6"/>
      <c r="F189" s="6"/>
      <c r="G189" s="30"/>
      <c r="H189" s="31"/>
    </row>
    <row r="190" spans="1:8" x14ac:dyDescent="0.2">
      <c r="A190" s="22"/>
      <c r="B190" s="24"/>
      <c r="C190" s="3"/>
      <c r="D190" s="24"/>
      <c r="E190" s="3"/>
      <c r="F190" s="3"/>
      <c r="G190" s="25"/>
      <c r="H190" s="26"/>
    </row>
    <row r="191" spans="1:8" x14ac:dyDescent="0.2">
      <c r="A191" s="27"/>
      <c r="B191" s="29"/>
      <c r="C191" s="6"/>
      <c r="D191" s="29"/>
      <c r="E191" s="6"/>
      <c r="F191" s="6"/>
      <c r="G191" s="30"/>
      <c r="H191" s="31"/>
    </row>
    <row r="192" spans="1:8" x14ac:dyDescent="0.2">
      <c r="A192" s="22"/>
      <c r="B192" s="24"/>
      <c r="C192" s="3"/>
      <c r="D192" s="24"/>
      <c r="E192" s="3"/>
      <c r="F192" s="3"/>
      <c r="G192" s="25"/>
      <c r="H192" s="26"/>
    </row>
    <row r="193" spans="1:8" x14ac:dyDescent="0.2">
      <c r="A193" s="27"/>
      <c r="B193" s="29"/>
      <c r="C193" s="6"/>
      <c r="D193" s="29"/>
      <c r="E193" s="6"/>
      <c r="F193" s="6"/>
      <c r="G193" s="30"/>
      <c r="H193" s="31"/>
    </row>
    <row r="194" spans="1:8" x14ac:dyDescent="0.2">
      <c r="A194" s="22"/>
      <c r="B194" s="24"/>
      <c r="C194" s="3"/>
      <c r="D194" s="24"/>
      <c r="E194" s="3"/>
      <c r="F194" s="3"/>
      <c r="G194" s="25"/>
      <c r="H194" s="26"/>
    </row>
    <row r="195" spans="1:8" x14ac:dyDescent="0.2">
      <c r="A195" s="27"/>
      <c r="B195" s="29"/>
      <c r="C195" s="6"/>
      <c r="D195" s="29"/>
      <c r="E195" s="6"/>
      <c r="F195" s="6"/>
      <c r="G195" s="30"/>
      <c r="H195" s="31"/>
    </row>
    <row r="196" spans="1:8" x14ac:dyDescent="0.2">
      <c r="A196" s="22"/>
      <c r="B196" s="24"/>
      <c r="C196" s="3"/>
      <c r="D196" s="24"/>
      <c r="E196" s="3"/>
      <c r="F196" s="3"/>
      <c r="G196" s="25"/>
      <c r="H196" s="26"/>
    </row>
    <row r="197" spans="1:8" x14ac:dyDescent="0.2">
      <c r="A197" s="27"/>
      <c r="B197" s="29"/>
      <c r="C197" s="6"/>
      <c r="D197" s="29"/>
      <c r="E197" s="6"/>
      <c r="F197" s="6"/>
      <c r="G197" s="30"/>
      <c r="H197" s="31"/>
    </row>
    <row r="198" spans="1:8" x14ac:dyDescent="0.2">
      <c r="A198" s="22"/>
      <c r="B198" s="24"/>
      <c r="C198" s="3"/>
      <c r="D198" s="24"/>
      <c r="E198" s="3"/>
      <c r="F198" s="3"/>
      <c r="G198" s="25"/>
      <c r="H198" s="26"/>
    </row>
    <row r="199" spans="1:8" x14ac:dyDescent="0.2">
      <c r="A199" s="27"/>
      <c r="B199" s="29"/>
      <c r="C199" s="6"/>
      <c r="D199" s="29"/>
      <c r="E199" s="6"/>
      <c r="F199" s="6"/>
      <c r="G199" s="30"/>
      <c r="H199" s="31"/>
    </row>
    <row r="200" spans="1:8" x14ac:dyDescent="0.2">
      <c r="A200" s="22"/>
      <c r="B200" s="24"/>
      <c r="C200" s="3"/>
      <c r="D200" s="24"/>
      <c r="E200" s="3"/>
      <c r="F200" s="3"/>
      <c r="G200" s="25"/>
      <c r="H200" s="26"/>
    </row>
    <row r="201" spans="1:8" x14ac:dyDescent="0.2">
      <c r="A201" s="27"/>
      <c r="B201" s="29"/>
      <c r="C201" s="6"/>
      <c r="D201" s="29"/>
      <c r="E201" s="6"/>
      <c r="F201" s="6"/>
      <c r="G201" s="30"/>
      <c r="H201" s="31"/>
    </row>
    <row r="202" spans="1:8" x14ac:dyDescent="0.2">
      <c r="A202" s="22"/>
      <c r="B202" s="24"/>
      <c r="C202" s="3"/>
      <c r="D202" s="24"/>
      <c r="E202" s="3"/>
      <c r="F202" s="3"/>
      <c r="G202" s="25"/>
      <c r="H202" s="26"/>
    </row>
    <row r="203" spans="1:8" x14ac:dyDescent="0.2">
      <c r="A203" s="27"/>
      <c r="B203" s="29"/>
      <c r="C203" s="6"/>
      <c r="D203" s="29"/>
      <c r="E203" s="6"/>
      <c r="F203" s="6"/>
      <c r="G203" s="30"/>
      <c r="H203" s="31"/>
    </row>
    <row r="204" spans="1:8" x14ac:dyDescent="0.2">
      <c r="A204" s="22"/>
      <c r="B204" s="24"/>
      <c r="C204" s="3"/>
      <c r="D204" s="24"/>
      <c r="E204" s="3"/>
      <c r="F204" s="3"/>
      <c r="G204" s="25"/>
      <c r="H204" s="26"/>
    </row>
    <row r="205" spans="1:8" x14ac:dyDescent="0.2">
      <c r="A205" s="27"/>
      <c r="B205" s="29"/>
      <c r="C205" s="6"/>
      <c r="D205" s="29"/>
      <c r="E205" s="6"/>
      <c r="F205" s="6"/>
      <c r="G205" s="30"/>
      <c r="H205" s="31"/>
    </row>
    <row r="206" spans="1:8" x14ac:dyDescent="0.2">
      <c r="A206" s="22"/>
      <c r="B206" s="24"/>
      <c r="C206" s="3"/>
      <c r="D206" s="24"/>
      <c r="E206" s="3"/>
      <c r="F206" s="3"/>
      <c r="G206" s="25"/>
      <c r="H206" s="26"/>
    </row>
    <row r="207" spans="1:8" x14ac:dyDescent="0.2">
      <c r="A207" s="27"/>
      <c r="B207" s="29"/>
      <c r="C207" s="6"/>
      <c r="D207" s="29"/>
      <c r="E207" s="6"/>
      <c r="F207" s="6"/>
      <c r="G207" s="30"/>
      <c r="H207" s="31"/>
    </row>
    <row r="208" spans="1:8" x14ac:dyDescent="0.2">
      <c r="A208" s="22"/>
      <c r="B208" s="24"/>
      <c r="C208" s="3"/>
      <c r="D208" s="24"/>
      <c r="E208" s="3"/>
      <c r="F208" s="3"/>
      <c r="G208" s="25"/>
      <c r="H208" s="26"/>
    </row>
    <row r="209" spans="1:8" x14ac:dyDescent="0.2">
      <c r="A209" s="27"/>
      <c r="B209" s="29"/>
      <c r="C209" s="6"/>
      <c r="D209" s="29"/>
      <c r="E209" s="6"/>
      <c r="F209" s="6"/>
      <c r="G209" s="30"/>
      <c r="H209" s="31"/>
    </row>
    <row r="210" spans="1:8" x14ac:dyDescent="0.2">
      <c r="A210" s="22"/>
      <c r="B210" s="24"/>
      <c r="C210" s="3"/>
      <c r="D210" s="24"/>
      <c r="E210" s="3"/>
      <c r="F210" s="3"/>
      <c r="G210" s="25"/>
      <c r="H210" s="26"/>
    </row>
    <row r="211" spans="1:8" x14ac:dyDescent="0.2">
      <c r="A211" s="27"/>
      <c r="B211" s="29"/>
      <c r="C211" s="6"/>
      <c r="D211" s="29"/>
      <c r="E211" s="6"/>
      <c r="F211" s="6"/>
      <c r="G211" s="30"/>
      <c r="H211" s="31"/>
    </row>
    <row r="212" spans="1:8" x14ac:dyDescent="0.2">
      <c r="A212" s="22"/>
      <c r="B212" s="24"/>
      <c r="C212" s="3"/>
      <c r="D212" s="24"/>
      <c r="E212" s="3"/>
      <c r="F212" s="3"/>
      <c r="G212" s="25"/>
      <c r="H212" s="26"/>
    </row>
    <row r="213" spans="1:8" x14ac:dyDescent="0.2">
      <c r="A213" s="27"/>
      <c r="B213" s="29"/>
      <c r="C213" s="6"/>
      <c r="D213" s="29"/>
      <c r="E213" s="6"/>
      <c r="F213" s="6"/>
      <c r="G213" s="30"/>
      <c r="H213" s="31"/>
    </row>
    <row r="214" spans="1:8" x14ac:dyDescent="0.2">
      <c r="A214" s="22"/>
      <c r="B214" s="24"/>
      <c r="C214" s="3"/>
      <c r="D214" s="24"/>
      <c r="E214" s="3"/>
      <c r="F214" s="3"/>
      <c r="G214" s="25"/>
      <c r="H214" s="26"/>
    </row>
    <row r="215" spans="1:8" x14ac:dyDescent="0.2">
      <c r="A215" s="27"/>
      <c r="B215" s="29"/>
      <c r="C215" s="6"/>
      <c r="D215" s="29"/>
      <c r="E215" s="6"/>
      <c r="F215" s="6"/>
      <c r="G215" s="30"/>
      <c r="H215" s="31"/>
    </row>
    <row r="216" spans="1:8" x14ac:dyDescent="0.2">
      <c r="A216" s="22"/>
      <c r="B216" s="24"/>
      <c r="C216" s="3"/>
      <c r="D216" s="24"/>
      <c r="E216" s="3"/>
      <c r="F216" s="3"/>
      <c r="G216" s="25"/>
      <c r="H216" s="26"/>
    </row>
    <row r="217" spans="1:8" x14ac:dyDescent="0.2">
      <c r="A217" s="27"/>
      <c r="B217" s="29"/>
      <c r="C217" s="6"/>
      <c r="D217" s="29"/>
      <c r="E217" s="6"/>
      <c r="F217" s="6"/>
      <c r="G217" s="30"/>
      <c r="H217" s="31"/>
    </row>
    <row r="218" spans="1:8" x14ac:dyDescent="0.2">
      <c r="A218" s="22"/>
      <c r="B218" s="24"/>
      <c r="C218" s="3"/>
      <c r="D218" s="24"/>
      <c r="E218" s="3"/>
      <c r="F218" s="3"/>
      <c r="G218" s="25"/>
      <c r="H218" s="26"/>
    </row>
    <row r="219" spans="1:8" x14ac:dyDescent="0.2">
      <c r="A219" s="27"/>
      <c r="B219" s="29"/>
      <c r="C219" s="6"/>
      <c r="D219" s="29"/>
      <c r="E219" s="6"/>
      <c r="F219" s="6"/>
      <c r="G219" s="30"/>
      <c r="H219" s="31"/>
    </row>
    <row r="220" spans="1:8" x14ac:dyDescent="0.2">
      <c r="A220" s="22"/>
      <c r="B220" s="24"/>
      <c r="C220" s="3"/>
      <c r="D220" s="24"/>
      <c r="E220" s="3"/>
      <c r="F220" s="3"/>
      <c r="G220" s="25"/>
      <c r="H220" s="26"/>
    </row>
    <row r="221" spans="1:8" x14ac:dyDescent="0.2">
      <c r="A221" s="27"/>
      <c r="B221" s="29"/>
      <c r="C221" s="6"/>
      <c r="D221" s="29"/>
      <c r="E221" s="6"/>
      <c r="F221" s="6"/>
      <c r="G221" s="30"/>
      <c r="H221" s="31"/>
    </row>
    <row r="222" spans="1:8" x14ac:dyDescent="0.2">
      <c r="A222" s="22"/>
      <c r="B222" s="24"/>
      <c r="C222" s="3"/>
      <c r="D222" s="24"/>
      <c r="E222" s="3"/>
      <c r="F222" s="3"/>
      <c r="G222" s="25"/>
      <c r="H222" s="26"/>
    </row>
    <row r="223" spans="1:8" x14ac:dyDescent="0.2">
      <c r="A223" s="27"/>
      <c r="B223" s="29"/>
      <c r="C223" s="6"/>
      <c r="D223" s="29"/>
      <c r="E223" s="6"/>
      <c r="F223" s="6"/>
      <c r="G223" s="30"/>
      <c r="H223" s="31"/>
    </row>
    <row r="224" spans="1:8" x14ac:dyDescent="0.2">
      <c r="A224" s="22"/>
      <c r="B224" s="24"/>
      <c r="C224" s="3"/>
      <c r="D224" s="24"/>
      <c r="E224" s="3"/>
      <c r="F224" s="3"/>
      <c r="G224" s="25"/>
      <c r="H224" s="26"/>
    </row>
    <row r="225" spans="1:8" x14ac:dyDescent="0.2">
      <c r="A225" s="27"/>
      <c r="B225" s="29"/>
      <c r="C225" s="6"/>
      <c r="D225" s="29"/>
      <c r="E225" s="6"/>
      <c r="F225" s="6"/>
      <c r="G225" s="30"/>
      <c r="H225" s="31"/>
    </row>
    <row r="226" spans="1:8" x14ac:dyDescent="0.2">
      <c r="A226" s="22"/>
      <c r="B226" s="24"/>
      <c r="C226" s="3"/>
      <c r="D226" s="24"/>
      <c r="E226" s="3"/>
      <c r="F226" s="3"/>
      <c r="G226" s="25"/>
      <c r="H226" s="26"/>
    </row>
    <row r="227" spans="1:8" x14ac:dyDescent="0.2">
      <c r="A227" s="27"/>
      <c r="B227" s="29"/>
      <c r="C227" s="6"/>
      <c r="D227" s="29"/>
      <c r="E227" s="6"/>
      <c r="F227" s="6"/>
      <c r="G227" s="30"/>
      <c r="H227" s="31"/>
    </row>
    <row r="228" spans="1:8" x14ac:dyDescent="0.2">
      <c r="A228" s="22"/>
      <c r="B228" s="24"/>
      <c r="C228" s="3"/>
      <c r="D228" s="24"/>
      <c r="E228" s="3"/>
      <c r="F228" s="3"/>
      <c r="G228" s="25"/>
      <c r="H228" s="26"/>
    </row>
    <row r="229" spans="1:8" x14ac:dyDescent="0.2">
      <c r="A229" s="27"/>
      <c r="B229" s="29"/>
      <c r="C229" s="6"/>
      <c r="D229" s="29"/>
      <c r="E229" s="6"/>
      <c r="F229" s="6"/>
      <c r="G229" s="30"/>
      <c r="H229" s="31"/>
    </row>
    <row r="230" spans="1:8" x14ac:dyDescent="0.2">
      <c r="A230" s="22"/>
      <c r="B230" s="24"/>
      <c r="C230" s="3"/>
      <c r="D230" s="24"/>
      <c r="E230" s="3"/>
      <c r="F230" s="3"/>
      <c r="G230" s="25"/>
      <c r="H230" s="26"/>
    </row>
    <row r="231" spans="1:8" x14ac:dyDescent="0.2">
      <c r="A231" s="27"/>
      <c r="B231" s="29"/>
      <c r="C231" s="6"/>
      <c r="D231" s="29"/>
      <c r="E231" s="6"/>
      <c r="F231" s="6"/>
      <c r="G231" s="30"/>
      <c r="H231" s="31"/>
    </row>
    <row r="232" spans="1:8" x14ac:dyDescent="0.2">
      <c r="A232" s="22"/>
      <c r="B232" s="24"/>
      <c r="C232" s="3"/>
      <c r="D232" s="24"/>
      <c r="E232" s="3"/>
      <c r="F232" s="3"/>
      <c r="G232" s="25"/>
      <c r="H232" s="26"/>
    </row>
    <row r="233" spans="1:8" x14ac:dyDescent="0.2">
      <c r="A233" s="27"/>
      <c r="B233" s="29"/>
      <c r="C233" s="6"/>
      <c r="D233" s="29"/>
      <c r="E233" s="6"/>
      <c r="F233" s="6"/>
      <c r="G233" s="30"/>
      <c r="H233" s="31"/>
    </row>
    <row r="234" spans="1:8" x14ac:dyDescent="0.2">
      <c r="A234" s="22"/>
      <c r="B234" s="24"/>
      <c r="C234" s="3"/>
      <c r="D234" s="24"/>
      <c r="E234" s="3"/>
      <c r="F234" s="3"/>
      <c r="G234" s="25"/>
      <c r="H234" s="26"/>
    </row>
    <row r="235" spans="1:8" x14ac:dyDescent="0.2">
      <c r="A235" s="27"/>
      <c r="B235" s="29"/>
      <c r="C235" s="6"/>
      <c r="D235" s="29"/>
      <c r="E235" s="6"/>
      <c r="F235" s="6"/>
      <c r="G235" s="30"/>
      <c r="H235" s="31"/>
    </row>
    <row r="236" spans="1:8" x14ac:dyDescent="0.2">
      <c r="A236" s="22"/>
      <c r="B236" s="24"/>
      <c r="C236" s="3"/>
      <c r="D236" s="24"/>
      <c r="E236" s="3"/>
      <c r="F236" s="3"/>
      <c r="G236" s="25"/>
      <c r="H236" s="26"/>
    </row>
    <row r="237" spans="1:8" x14ac:dyDescent="0.2">
      <c r="A237" s="27"/>
      <c r="B237" s="29"/>
      <c r="C237" s="6"/>
      <c r="D237" s="29"/>
      <c r="E237" s="6"/>
      <c r="F237" s="6"/>
      <c r="G237" s="30"/>
      <c r="H237" s="31"/>
    </row>
    <row r="238" spans="1:8" x14ac:dyDescent="0.2">
      <c r="A238" s="22"/>
      <c r="B238" s="24"/>
      <c r="C238" s="3"/>
      <c r="D238" s="24"/>
      <c r="E238" s="3"/>
      <c r="F238" s="3"/>
      <c r="G238" s="25"/>
      <c r="H238" s="26"/>
    </row>
    <row r="239" spans="1:8" x14ac:dyDescent="0.2">
      <c r="A239" s="27"/>
      <c r="B239" s="29"/>
      <c r="C239" s="6"/>
      <c r="D239" s="29"/>
      <c r="E239" s="6"/>
      <c r="F239" s="6"/>
      <c r="G239" s="30"/>
      <c r="H239" s="31"/>
    </row>
    <row r="240" spans="1:8" x14ac:dyDescent="0.2">
      <c r="A240" s="22"/>
      <c r="B240" s="24"/>
      <c r="C240" s="3"/>
      <c r="D240" s="24"/>
      <c r="E240" s="3"/>
      <c r="F240" s="3"/>
      <c r="G240" s="25"/>
      <c r="H240" s="26"/>
    </row>
    <row r="241" spans="1:8" x14ac:dyDescent="0.2">
      <c r="A241" s="27"/>
      <c r="B241" s="29"/>
      <c r="C241" s="6"/>
      <c r="D241" s="29"/>
      <c r="E241" s="6"/>
      <c r="F241" s="6"/>
      <c r="G241" s="30"/>
      <c r="H241" s="31"/>
    </row>
    <row r="242" spans="1:8" x14ac:dyDescent="0.2">
      <c r="A242" s="22"/>
      <c r="B242" s="24"/>
      <c r="C242" s="3"/>
      <c r="D242" s="24"/>
      <c r="E242" s="3"/>
      <c r="F242" s="3"/>
      <c r="G242" s="25"/>
      <c r="H242" s="26"/>
    </row>
    <row r="243" spans="1:8" x14ac:dyDescent="0.2">
      <c r="A243" s="27"/>
      <c r="B243" s="29"/>
      <c r="C243" s="6"/>
      <c r="D243" s="29"/>
      <c r="E243" s="6"/>
      <c r="F243" s="6"/>
      <c r="G243" s="30"/>
      <c r="H243" s="31"/>
    </row>
    <row r="244" spans="1:8" x14ac:dyDescent="0.2">
      <c r="A244" s="22"/>
      <c r="B244" s="24"/>
      <c r="C244" s="3"/>
      <c r="D244" s="24"/>
      <c r="E244" s="3"/>
      <c r="F244" s="3"/>
      <c r="G244" s="25"/>
      <c r="H244" s="26"/>
    </row>
    <row r="245" spans="1:8" x14ac:dyDescent="0.2">
      <c r="A245" s="27"/>
      <c r="B245" s="29"/>
      <c r="C245" s="6"/>
      <c r="D245" s="29"/>
      <c r="E245" s="6"/>
      <c r="F245" s="6"/>
      <c r="G245" s="30"/>
      <c r="H245" s="31"/>
    </row>
    <row r="246" spans="1:8" x14ac:dyDescent="0.2">
      <c r="A246" s="22"/>
      <c r="B246" s="24"/>
      <c r="C246" s="3"/>
      <c r="D246" s="24"/>
      <c r="E246" s="3"/>
      <c r="F246" s="3"/>
      <c r="G246" s="25"/>
      <c r="H246" s="26"/>
    </row>
    <row r="247" spans="1:8" x14ac:dyDescent="0.2">
      <c r="A247" s="27"/>
      <c r="B247" s="29"/>
      <c r="C247" s="6"/>
      <c r="D247" s="29"/>
      <c r="E247" s="6"/>
      <c r="F247" s="6"/>
      <c r="G247" s="30"/>
      <c r="H247" s="31"/>
    </row>
    <row r="248" spans="1:8" x14ac:dyDescent="0.2">
      <c r="A248" s="22"/>
      <c r="B248" s="24"/>
      <c r="C248" s="3"/>
      <c r="D248" s="24"/>
      <c r="E248" s="3"/>
      <c r="F248" s="3"/>
      <c r="G248" s="25"/>
      <c r="H248" s="26"/>
    </row>
    <row r="249" spans="1:8" x14ac:dyDescent="0.2">
      <c r="A249" s="27"/>
      <c r="B249" s="29"/>
      <c r="C249" s="6"/>
      <c r="D249" s="29"/>
      <c r="E249" s="6"/>
      <c r="F249" s="6"/>
      <c r="G249" s="30"/>
      <c r="H249" s="31"/>
    </row>
    <row r="250" spans="1:8" x14ac:dyDescent="0.2">
      <c r="A250" s="22"/>
      <c r="B250" s="24"/>
      <c r="C250" s="3"/>
      <c r="D250" s="24"/>
      <c r="E250" s="3"/>
      <c r="F250" s="3"/>
      <c r="G250" s="25"/>
      <c r="H250" s="26"/>
    </row>
    <row r="251" spans="1:8" x14ac:dyDescent="0.2">
      <c r="A251" s="27"/>
      <c r="B251" s="29"/>
      <c r="C251" s="6"/>
      <c r="D251" s="29"/>
      <c r="E251" s="6"/>
      <c r="F251" s="6"/>
      <c r="G251" s="30"/>
      <c r="H251" s="31"/>
    </row>
    <row r="252" spans="1:8" x14ac:dyDescent="0.2">
      <c r="A252" s="22"/>
      <c r="B252" s="24"/>
      <c r="C252" s="3"/>
      <c r="D252" s="24"/>
      <c r="E252" s="3"/>
      <c r="F252" s="3"/>
      <c r="G252" s="25"/>
      <c r="H252" s="26"/>
    </row>
    <row r="253" spans="1:8" x14ac:dyDescent="0.2">
      <c r="A253" s="27"/>
      <c r="B253" s="29"/>
      <c r="C253" s="6"/>
      <c r="D253" s="29"/>
      <c r="E253" s="6"/>
      <c r="F253" s="6"/>
      <c r="G253" s="30"/>
      <c r="H253" s="31"/>
    </row>
    <row r="254" spans="1:8" x14ac:dyDescent="0.2">
      <c r="A254" s="22"/>
      <c r="B254" s="24"/>
      <c r="C254" s="3"/>
      <c r="D254" s="24"/>
      <c r="E254" s="3"/>
      <c r="F254" s="3"/>
      <c r="G254" s="25"/>
      <c r="H254" s="26"/>
    </row>
    <row r="255" spans="1:8" x14ac:dyDescent="0.2">
      <c r="A255" s="27"/>
      <c r="B255" s="29"/>
      <c r="C255" s="6"/>
      <c r="D255" s="29"/>
      <c r="E255" s="6"/>
      <c r="F255" s="6"/>
      <c r="G255" s="30"/>
      <c r="H255" s="31"/>
    </row>
    <row r="256" spans="1:8" x14ac:dyDescent="0.2">
      <c r="A256" s="22"/>
      <c r="B256" s="24"/>
      <c r="C256" s="3"/>
      <c r="D256" s="24"/>
      <c r="E256" s="3"/>
      <c r="F256" s="3"/>
      <c r="G256" s="25"/>
      <c r="H256" s="26"/>
    </row>
    <row r="257" spans="1:8" x14ac:dyDescent="0.2">
      <c r="A257" s="27"/>
      <c r="B257" s="29"/>
      <c r="C257" s="6"/>
      <c r="D257" s="29"/>
      <c r="E257" s="6"/>
      <c r="F257" s="6"/>
      <c r="G257" s="30"/>
      <c r="H257" s="31"/>
    </row>
    <row r="258" spans="1:8" x14ac:dyDescent="0.2">
      <c r="A258" s="22"/>
      <c r="B258" s="24"/>
      <c r="C258" s="3"/>
      <c r="D258" s="24"/>
      <c r="E258" s="3"/>
      <c r="F258" s="3"/>
      <c r="G258" s="25"/>
      <c r="H258" s="26"/>
    </row>
    <row r="259" spans="1:8" x14ac:dyDescent="0.2">
      <c r="A259" s="27"/>
      <c r="B259" s="29"/>
      <c r="C259" s="6"/>
      <c r="D259" s="29"/>
      <c r="E259" s="6"/>
      <c r="F259" s="6"/>
      <c r="G259" s="30"/>
      <c r="H259" s="31"/>
    </row>
    <row r="260" spans="1:8" x14ac:dyDescent="0.2">
      <c r="A260" s="22"/>
      <c r="B260" s="24"/>
      <c r="C260" s="3"/>
      <c r="D260" s="24"/>
      <c r="E260" s="3"/>
      <c r="F260" s="3"/>
      <c r="G260" s="25"/>
      <c r="H260" s="26"/>
    </row>
    <row r="261" spans="1:8" x14ac:dyDescent="0.2">
      <c r="A261" s="27"/>
      <c r="B261" s="29"/>
      <c r="C261" s="6"/>
      <c r="D261" s="29"/>
      <c r="E261" s="6"/>
      <c r="F261" s="6"/>
      <c r="G261" s="30"/>
      <c r="H261" s="31"/>
    </row>
    <row r="262" spans="1:8" x14ac:dyDescent="0.2">
      <c r="A262" s="22"/>
      <c r="B262" s="24"/>
      <c r="C262" s="3"/>
      <c r="D262" s="24"/>
      <c r="E262" s="3"/>
      <c r="F262" s="3"/>
      <c r="G262" s="25"/>
      <c r="H262" s="26"/>
    </row>
    <row r="263" spans="1:8" x14ac:dyDescent="0.2">
      <c r="A263" s="27"/>
      <c r="B263" s="29"/>
      <c r="C263" s="6"/>
      <c r="D263" s="29"/>
      <c r="E263" s="6"/>
      <c r="F263" s="6"/>
      <c r="G263" s="30"/>
      <c r="H263" s="31"/>
    </row>
    <row r="264" spans="1:8" x14ac:dyDescent="0.2">
      <c r="A264" s="22"/>
      <c r="B264" s="24"/>
      <c r="C264" s="3"/>
      <c r="D264" s="24"/>
      <c r="E264" s="3"/>
      <c r="F264" s="3"/>
      <c r="G264" s="25"/>
      <c r="H264" s="26"/>
    </row>
    <row r="265" spans="1:8" x14ac:dyDescent="0.2">
      <c r="A265" s="27"/>
      <c r="B265" s="29"/>
      <c r="C265" s="6"/>
      <c r="D265" s="29"/>
      <c r="E265" s="6"/>
      <c r="F265" s="6"/>
      <c r="G265" s="30"/>
      <c r="H265" s="31"/>
    </row>
    <row r="266" spans="1:8" x14ac:dyDescent="0.2">
      <c r="A266" s="22"/>
      <c r="B266" s="24"/>
      <c r="C266" s="3"/>
      <c r="D266" s="24"/>
      <c r="E266" s="3"/>
      <c r="F266" s="3"/>
      <c r="G266" s="25"/>
      <c r="H266" s="26"/>
    </row>
    <row r="267" spans="1:8" x14ac:dyDescent="0.2">
      <c r="A267" s="27"/>
      <c r="B267" s="29"/>
      <c r="C267" s="6"/>
      <c r="D267" s="29"/>
      <c r="E267" s="6"/>
      <c r="F267" s="6"/>
      <c r="G267" s="30"/>
      <c r="H267" s="31"/>
    </row>
    <row r="268" spans="1:8" x14ac:dyDescent="0.2">
      <c r="A268" s="22"/>
      <c r="B268" s="24"/>
      <c r="C268" s="3"/>
      <c r="D268" s="24"/>
      <c r="E268" s="3"/>
      <c r="F268" s="3"/>
      <c r="G268" s="25"/>
      <c r="H268" s="26"/>
    </row>
    <row r="269" spans="1:8" x14ac:dyDescent="0.2">
      <c r="A269" s="27"/>
      <c r="B269" s="29"/>
      <c r="C269" s="6"/>
      <c r="D269" s="29"/>
      <c r="E269" s="6"/>
      <c r="F269" s="6"/>
      <c r="G269" s="30"/>
      <c r="H269" s="31"/>
    </row>
    <row r="270" spans="1:8" x14ac:dyDescent="0.2">
      <c r="A270" s="22"/>
      <c r="B270" s="24"/>
      <c r="C270" s="3"/>
      <c r="D270" s="24"/>
      <c r="E270" s="3"/>
      <c r="F270" s="3"/>
      <c r="G270" s="25"/>
      <c r="H270" s="26"/>
    </row>
    <row r="271" spans="1:8" x14ac:dyDescent="0.2">
      <c r="A271" s="27"/>
      <c r="B271" s="29"/>
      <c r="C271" s="6"/>
      <c r="D271" s="29"/>
      <c r="E271" s="6"/>
      <c r="F271" s="6"/>
      <c r="G271" s="30"/>
      <c r="H271" s="31"/>
    </row>
    <row r="272" spans="1:8" x14ac:dyDescent="0.2">
      <c r="A272" s="22"/>
      <c r="B272" s="24"/>
      <c r="C272" s="3"/>
      <c r="D272" s="24"/>
      <c r="E272" s="3"/>
      <c r="F272" s="3"/>
      <c r="G272" s="25"/>
      <c r="H272" s="26"/>
    </row>
    <row r="273" spans="1:8" x14ac:dyDescent="0.2">
      <c r="A273" s="27"/>
      <c r="B273" s="29"/>
      <c r="C273" s="6"/>
      <c r="D273" s="29"/>
      <c r="E273" s="6"/>
      <c r="F273" s="6"/>
      <c r="G273" s="30"/>
      <c r="H273" s="31"/>
    </row>
    <row r="274" spans="1:8" x14ac:dyDescent="0.2">
      <c r="A274" s="22"/>
      <c r="B274" s="24"/>
      <c r="C274" s="3"/>
      <c r="D274" s="24"/>
      <c r="E274" s="3"/>
      <c r="F274" s="3"/>
      <c r="G274" s="25"/>
      <c r="H274" s="26"/>
    </row>
    <row r="275" spans="1:8" x14ac:dyDescent="0.2">
      <c r="A275" s="27"/>
      <c r="B275" s="29"/>
      <c r="C275" s="6"/>
      <c r="D275" s="29"/>
      <c r="E275" s="6"/>
      <c r="F275" s="6"/>
      <c r="G275" s="30"/>
      <c r="H275" s="31"/>
    </row>
    <row r="276" spans="1:8" x14ac:dyDescent="0.2">
      <c r="A276" s="22"/>
      <c r="B276" s="24"/>
      <c r="C276" s="3"/>
      <c r="D276" s="24"/>
      <c r="E276" s="3"/>
      <c r="F276" s="3"/>
      <c r="G276" s="25"/>
      <c r="H276" s="26"/>
    </row>
    <row r="277" spans="1:8" x14ac:dyDescent="0.2">
      <c r="A277" s="27"/>
      <c r="B277" s="29"/>
      <c r="C277" s="6"/>
      <c r="D277" s="29"/>
      <c r="E277" s="6"/>
      <c r="F277" s="6"/>
      <c r="G277" s="30"/>
      <c r="H277" s="31"/>
    </row>
    <row r="278" spans="1:8" x14ac:dyDescent="0.2">
      <c r="A278" s="22"/>
      <c r="B278" s="24"/>
      <c r="C278" s="3"/>
      <c r="D278" s="24"/>
      <c r="E278" s="3"/>
      <c r="F278" s="3"/>
      <c r="G278" s="25"/>
      <c r="H278" s="26"/>
    </row>
    <row r="279" spans="1:8" x14ac:dyDescent="0.2">
      <c r="A279" s="27"/>
      <c r="B279" s="29"/>
      <c r="C279" s="6"/>
      <c r="D279" s="29"/>
      <c r="E279" s="6"/>
      <c r="F279" s="6"/>
      <c r="G279" s="30"/>
      <c r="H279" s="31"/>
    </row>
    <row r="280" spans="1:8" x14ac:dyDescent="0.2">
      <c r="A280" s="22"/>
      <c r="B280" s="24"/>
      <c r="C280" s="3"/>
      <c r="D280" s="24"/>
      <c r="E280" s="3"/>
      <c r="F280" s="3"/>
      <c r="G280" s="25"/>
      <c r="H280" s="26"/>
    </row>
    <row r="281" spans="1:8" x14ac:dyDescent="0.2">
      <c r="A281" s="27"/>
      <c r="B281" s="29"/>
      <c r="C281" s="6"/>
      <c r="D281" s="29"/>
      <c r="E281" s="6"/>
      <c r="F281" s="6"/>
      <c r="G281" s="30"/>
      <c r="H281" s="31"/>
    </row>
    <row r="282" spans="1:8" x14ac:dyDescent="0.2">
      <c r="A282" s="22"/>
      <c r="B282" s="24"/>
      <c r="C282" s="3"/>
      <c r="D282" s="24"/>
      <c r="E282" s="3"/>
      <c r="F282" s="3"/>
      <c r="G282" s="25"/>
      <c r="H282" s="26"/>
    </row>
    <row r="283" spans="1:8" x14ac:dyDescent="0.2">
      <c r="A283" s="27"/>
      <c r="B283" s="29"/>
      <c r="C283" s="6"/>
      <c r="D283" s="29"/>
      <c r="E283" s="6"/>
      <c r="F283" s="6"/>
      <c r="G283" s="30"/>
      <c r="H283" s="31"/>
    </row>
    <row r="284" spans="1:8" x14ac:dyDescent="0.2">
      <c r="A284" s="22"/>
      <c r="B284" s="24"/>
      <c r="C284" s="3"/>
      <c r="D284" s="24"/>
      <c r="E284" s="3"/>
      <c r="F284" s="3"/>
      <c r="G284" s="25"/>
      <c r="H284" s="26"/>
    </row>
    <row r="285" spans="1:8" x14ac:dyDescent="0.2">
      <c r="A285" s="27"/>
      <c r="B285" s="29"/>
      <c r="C285" s="6"/>
      <c r="D285" s="29"/>
      <c r="E285" s="6"/>
      <c r="F285" s="6"/>
      <c r="G285" s="30"/>
      <c r="H285" s="31"/>
    </row>
    <row r="286" spans="1:8" x14ac:dyDescent="0.2">
      <c r="A286" s="22"/>
      <c r="B286" s="24"/>
      <c r="C286" s="3"/>
      <c r="D286" s="24"/>
      <c r="E286" s="3"/>
      <c r="F286" s="3"/>
      <c r="G286" s="25"/>
      <c r="H286" s="26"/>
    </row>
    <row r="287" spans="1:8" x14ac:dyDescent="0.2">
      <c r="A287" s="27"/>
      <c r="B287" s="29"/>
      <c r="C287" s="6"/>
      <c r="D287" s="29"/>
      <c r="E287" s="6"/>
      <c r="F287" s="6"/>
      <c r="G287" s="30"/>
      <c r="H287" s="31"/>
    </row>
    <row r="288" spans="1:8" x14ac:dyDescent="0.2">
      <c r="A288" s="22"/>
      <c r="B288" s="24"/>
      <c r="C288" s="3"/>
      <c r="D288" s="24"/>
      <c r="E288" s="3"/>
      <c r="F288" s="3"/>
      <c r="G288" s="25"/>
      <c r="H288" s="26"/>
    </row>
    <row r="289" spans="1:8" x14ac:dyDescent="0.2">
      <c r="A289" s="27"/>
      <c r="B289" s="29"/>
      <c r="C289" s="6"/>
      <c r="D289" s="29"/>
      <c r="E289" s="6"/>
      <c r="F289" s="6"/>
      <c r="G289" s="30"/>
      <c r="H289" s="31"/>
    </row>
    <row r="290" spans="1:8" x14ac:dyDescent="0.2">
      <c r="A290" s="22"/>
      <c r="B290" s="24"/>
      <c r="C290" s="3"/>
      <c r="D290" s="24"/>
      <c r="E290" s="3"/>
      <c r="F290" s="3"/>
      <c r="G290" s="25"/>
      <c r="H290" s="26"/>
    </row>
    <row r="291" spans="1:8" x14ac:dyDescent="0.2">
      <c r="A291" s="27"/>
      <c r="B291" s="29"/>
      <c r="C291" s="6"/>
      <c r="D291" s="29"/>
      <c r="E291" s="6"/>
      <c r="F291" s="6"/>
      <c r="G291" s="30"/>
      <c r="H291" s="31"/>
    </row>
    <row r="292" spans="1:8" x14ac:dyDescent="0.2">
      <c r="A292" s="22"/>
      <c r="B292" s="24"/>
      <c r="C292" s="3"/>
      <c r="D292" s="24"/>
      <c r="E292" s="3"/>
      <c r="F292" s="3"/>
      <c r="G292" s="25"/>
      <c r="H292" s="26"/>
    </row>
    <row r="293" spans="1:8" x14ac:dyDescent="0.2">
      <c r="A293" s="27"/>
      <c r="B293" s="29"/>
      <c r="C293" s="6"/>
      <c r="D293" s="29"/>
      <c r="E293" s="6"/>
      <c r="F293" s="6"/>
      <c r="G293" s="30"/>
      <c r="H293" s="31"/>
    </row>
    <row r="294" spans="1:8" x14ac:dyDescent="0.2">
      <c r="A294" s="22"/>
      <c r="B294" s="24"/>
      <c r="C294" s="3"/>
      <c r="D294" s="24"/>
      <c r="E294" s="3"/>
      <c r="F294" s="3"/>
      <c r="G294" s="25"/>
      <c r="H294" s="26"/>
    </row>
    <row r="295" spans="1:8" x14ac:dyDescent="0.2">
      <c r="A295" s="27"/>
      <c r="B295" s="29"/>
      <c r="C295" s="6"/>
      <c r="D295" s="29"/>
      <c r="E295" s="6"/>
      <c r="F295" s="6"/>
      <c r="G295" s="30"/>
      <c r="H295" s="31"/>
    </row>
    <row r="296" spans="1:8" x14ac:dyDescent="0.2">
      <c r="A296" s="22"/>
      <c r="B296" s="24"/>
      <c r="C296" s="3"/>
      <c r="D296" s="24"/>
      <c r="E296" s="3"/>
      <c r="F296" s="3"/>
      <c r="G296" s="25"/>
      <c r="H296" s="26"/>
    </row>
    <row r="297" spans="1:8" x14ac:dyDescent="0.2">
      <c r="A297" s="27"/>
      <c r="B297" s="29"/>
      <c r="C297" s="6"/>
      <c r="D297" s="29"/>
      <c r="E297" s="6"/>
      <c r="F297" s="6"/>
      <c r="G297" s="30"/>
      <c r="H297" s="31"/>
    </row>
    <row r="298" spans="1:8" x14ac:dyDescent="0.2">
      <c r="A298" s="22"/>
      <c r="B298" s="24"/>
      <c r="C298" s="3"/>
      <c r="D298" s="24"/>
      <c r="E298" s="3"/>
      <c r="F298" s="3"/>
      <c r="G298" s="25"/>
      <c r="H298" s="26"/>
    </row>
    <row r="299" spans="1:8" x14ac:dyDescent="0.2">
      <c r="A299" s="27"/>
      <c r="B299" s="29"/>
      <c r="C299" s="6"/>
      <c r="D299" s="29"/>
      <c r="E299" s="6"/>
      <c r="F299" s="6"/>
      <c r="G299" s="30"/>
      <c r="H299" s="31"/>
    </row>
    <row r="300" spans="1:8" x14ac:dyDescent="0.2">
      <c r="A300" s="22"/>
      <c r="B300" s="24"/>
      <c r="C300" s="3"/>
      <c r="D300" s="24"/>
      <c r="E300" s="3"/>
      <c r="F300" s="3"/>
      <c r="G300" s="25"/>
      <c r="H300" s="26"/>
    </row>
    <row r="301" spans="1:8" x14ac:dyDescent="0.2">
      <c r="A301" s="27"/>
      <c r="B301" s="29"/>
      <c r="C301" s="6"/>
      <c r="D301" s="29"/>
      <c r="E301" s="6"/>
      <c r="F301" s="6"/>
      <c r="G301" s="30"/>
      <c r="H301" s="31"/>
    </row>
    <row r="302" spans="1:8" x14ac:dyDescent="0.2">
      <c r="A302" s="22"/>
      <c r="B302" s="24"/>
      <c r="C302" s="3"/>
      <c r="D302" s="24"/>
      <c r="E302" s="3"/>
      <c r="F302" s="3"/>
      <c r="G302" s="25"/>
      <c r="H302" s="26"/>
    </row>
    <row r="303" spans="1:8" x14ac:dyDescent="0.2">
      <c r="A303" s="27"/>
      <c r="B303" s="29"/>
      <c r="C303" s="6"/>
      <c r="D303" s="29"/>
      <c r="E303" s="6"/>
      <c r="F303" s="6"/>
      <c r="G303" s="30"/>
      <c r="H303" s="31"/>
    </row>
    <row r="304" spans="1:8" x14ac:dyDescent="0.2">
      <c r="A304" s="22"/>
      <c r="B304" s="24"/>
      <c r="C304" s="3"/>
      <c r="D304" s="24"/>
      <c r="E304" s="3"/>
      <c r="F304" s="3"/>
      <c r="G304" s="25"/>
      <c r="H304" s="26"/>
    </row>
    <row r="305" spans="1:8" x14ac:dyDescent="0.2">
      <c r="A305" s="27"/>
      <c r="B305" s="29"/>
      <c r="C305" s="6"/>
      <c r="D305" s="29"/>
      <c r="E305" s="6"/>
      <c r="F305" s="6"/>
      <c r="G305" s="30"/>
      <c r="H305" s="31"/>
    </row>
    <row r="306" spans="1:8" x14ac:dyDescent="0.2">
      <c r="A306" s="22"/>
      <c r="B306" s="24"/>
      <c r="C306" s="3"/>
      <c r="D306" s="24"/>
      <c r="E306" s="3"/>
      <c r="F306" s="3"/>
      <c r="G306" s="25"/>
      <c r="H306" s="26"/>
    </row>
    <row r="307" spans="1:8" x14ac:dyDescent="0.2">
      <c r="A307" s="27"/>
      <c r="B307" s="29"/>
      <c r="C307" s="6"/>
      <c r="D307" s="29"/>
      <c r="E307" s="6"/>
      <c r="F307" s="6"/>
      <c r="G307" s="30"/>
      <c r="H307" s="31"/>
    </row>
    <row r="308" spans="1:8" x14ac:dyDescent="0.2">
      <c r="A308" s="22"/>
      <c r="B308" s="24"/>
      <c r="C308" s="3"/>
      <c r="D308" s="24"/>
      <c r="E308" s="3"/>
      <c r="F308" s="3"/>
      <c r="G308" s="25"/>
      <c r="H308" s="26"/>
    </row>
    <row r="309" spans="1:8" x14ac:dyDescent="0.2">
      <c r="A309" s="27"/>
      <c r="B309" s="29"/>
      <c r="C309" s="6"/>
      <c r="D309" s="29"/>
      <c r="E309" s="6"/>
      <c r="F309" s="6"/>
      <c r="G309" s="30"/>
      <c r="H309" s="31"/>
    </row>
    <row r="310" spans="1:8" x14ac:dyDescent="0.2">
      <c r="A310" s="22"/>
      <c r="B310" s="24"/>
      <c r="C310" s="3"/>
      <c r="D310" s="24"/>
      <c r="E310" s="3"/>
      <c r="F310" s="3"/>
      <c r="G310" s="25"/>
      <c r="H310" s="26"/>
    </row>
    <row r="311" spans="1:8" x14ac:dyDescent="0.2">
      <c r="A311" s="27"/>
      <c r="B311" s="29"/>
      <c r="C311" s="6"/>
      <c r="D311" s="29"/>
      <c r="E311" s="6"/>
      <c r="F311" s="6"/>
      <c r="G311" s="30"/>
      <c r="H311" s="31"/>
    </row>
    <row r="312" spans="1:8" x14ac:dyDescent="0.2">
      <c r="A312" s="22"/>
      <c r="B312" s="24"/>
      <c r="C312" s="3"/>
      <c r="D312" s="24"/>
      <c r="E312" s="3"/>
      <c r="F312" s="3"/>
      <c r="G312" s="25"/>
      <c r="H312" s="26"/>
    </row>
    <row r="313" spans="1:8" x14ac:dyDescent="0.2">
      <c r="A313" s="27"/>
      <c r="B313" s="29"/>
      <c r="C313" s="6"/>
      <c r="D313" s="29"/>
      <c r="E313" s="6"/>
      <c r="F313" s="6"/>
      <c r="G313" s="30"/>
      <c r="H313" s="31"/>
    </row>
    <row r="314" spans="1:8" x14ac:dyDescent="0.2">
      <c r="A314" s="22"/>
      <c r="B314" s="24"/>
      <c r="C314" s="3"/>
      <c r="D314" s="24"/>
      <c r="E314" s="3"/>
      <c r="F314" s="3"/>
      <c r="G314" s="25"/>
      <c r="H314" s="26"/>
    </row>
    <row r="315" spans="1:8" x14ac:dyDescent="0.2">
      <c r="A315" s="27"/>
      <c r="B315" s="29"/>
      <c r="C315" s="6"/>
      <c r="D315" s="29"/>
      <c r="E315" s="6"/>
      <c r="F315" s="6"/>
      <c r="G315" s="30"/>
      <c r="H315" s="31"/>
    </row>
    <row r="316" spans="1:8" x14ac:dyDescent="0.2">
      <c r="A316" s="22"/>
      <c r="B316" s="24"/>
      <c r="C316" s="3"/>
      <c r="D316" s="24"/>
      <c r="E316" s="3"/>
      <c r="F316" s="3"/>
      <c r="G316" s="25"/>
      <c r="H316" s="26"/>
    </row>
    <row r="317" spans="1:8" x14ac:dyDescent="0.2">
      <c r="A317" s="27"/>
      <c r="B317" s="29"/>
      <c r="C317" s="6"/>
      <c r="D317" s="29"/>
      <c r="E317" s="6"/>
      <c r="F317" s="6"/>
      <c r="G317" s="30"/>
      <c r="H317" s="31"/>
    </row>
    <row r="318" spans="1:8" x14ac:dyDescent="0.2">
      <c r="A318" s="22"/>
      <c r="B318" s="24"/>
      <c r="C318" s="3"/>
      <c r="D318" s="24"/>
      <c r="E318" s="3"/>
      <c r="F318" s="3"/>
      <c r="G318" s="25"/>
      <c r="H318" s="26"/>
    </row>
    <row r="319" spans="1:8" x14ac:dyDescent="0.2">
      <c r="A319" s="27"/>
      <c r="B319" s="29"/>
      <c r="C319" s="6"/>
      <c r="D319" s="29"/>
      <c r="E319" s="6"/>
      <c r="F319" s="6"/>
      <c r="G319" s="30"/>
      <c r="H319" s="31"/>
    </row>
    <row r="320" spans="1:8" x14ac:dyDescent="0.2">
      <c r="A320" s="22"/>
      <c r="B320" s="24"/>
      <c r="C320" s="3"/>
      <c r="D320" s="24"/>
      <c r="E320" s="3"/>
      <c r="F320" s="3"/>
      <c r="G320" s="25"/>
      <c r="H320" s="26"/>
    </row>
    <row r="321" spans="1:8" x14ac:dyDescent="0.2">
      <c r="A321" s="27"/>
      <c r="B321" s="29"/>
      <c r="C321" s="6"/>
      <c r="D321" s="29"/>
      <c r="E321" s="6"/>
      <c r="F321" s="6"/>
      <c r="G321" s="30"/>
      <c r="H321" s="31"/>
    </row>
    <row r="322" spans="1:8" x14ac:dyDescent="0.2">
      <c r="A322" s="22"/>
      <c r="B322" s="24"/>
      <c r="C322" s="3"/>
      <c r="D322" s="24"/>
      <c r="E322" s="3"/>
      <c r="F322" s="3"/>
      <c r="G322" s="25"/>
      <c r="H322" s="26"/>
    </row>
    <row r="323" spans="1:8" x14ac:dyDescent="0.2">
      <c r="A323" s="27"/>
      <c r="B323" s="29"/>
      <c r="C323" s="6"/>
      <c r="D323" s="29"/>
      <c r="E323" s="6"/>
      <c r="F323" s="6"/>
      <c r="G323" s="30"/>
      <c r="H323" s="31"/>
    </row>
    <row r="324" spans="1:8" x14ac:dyDescent="0.2">
      <c r="A324" s="22"/>
      <c r="B324" s="24"/>
      <c r="C324" s="3"/>
      <c r="D324" s="24"/>
      <c r="E324" s="3"/>
      <c r="F324" s="3"/>
      <c r="G324" s="25"/>
      <c r="H324" s="26"/>
    </row>
    <row r="325" spans="1:8" x14ac:dyDescent="0.2">
      <c r="A325" s="27"/>
      <c r="B325" s="29"/>
      <c r="C325" s="6"/>
      <c r="D325" s="29"/>
      <c r="E325" s="6"/>
      <c r="F325" s="6"/>
      <c r="G325" s="30"/>
      <c r="H325" s="31"/>
    </row>
    <row r="326" spans="1:8" x14ac:dyDescent="0.2">
      <c r="A326" s="22"/>
      <c r="B326" s="24"/>
      <c r="C326" s="3"/>
      <c r="D326" s="24"/>
      <c r="E326" s="3"/>
      <c r="F326" s="3"/>
      <c r="G326" s="25"/>
      <c r="H326" s="26"/>
    </row>
    <row r="327" spans="1:8" x14ac:dyDescent="0.2">
      <c r="A327" s="27"/>
      <c r="B327" s="29"/>
      <c r="C327" s="6"/>
      <c r="D327" s="29"/>
      <c r="E327" s="6"/>
      <c r="F327" s="6"/>
      <c r="G327" s="30"/>
      <c r="H327" s="31"/>
    </row>
    <row r="328" spans="1:8" x14ac:dyDescent="0.2">
      <c r="A328" s="22"/>
      <c r="B328" s="24"/>
      <c r="C328" s="3"/>
      <c r="D328" s="24"/>
      <c r="E328" s="3"/>
      <c r="F328" s="3"/>
      <c r="G328" s="25"/>
      <c r="H328" s="26"/>
    </row>
    <row r="329" spans="1:8" x14ac:dyDescent="0.2">
      <c r="A329" s="27"/>
      <c r="B329" s="29"/>
      <c r="C329" s="6"/>
      <c r="D329" s="29"/>
      <c r="E329" s="6"/>
      <c r="F329" s="6"/>
      <c r="G329" s="30"/>
      <c r="H329" s="31"/>
    </row>
    <row r="330" spans="1:8" x14ac:dyDescent="0.2">
      <c r="A330" s="22"/>
      <c r="B330" s="24"/>
      <c r="C330" s="3"/>
      <c r="D330" s="24"/>
      <c r="E330" s="3"/>
      <c r="F330" s="3"/>
      <c r="G330" s="25"/>
      <c r="H330" s="26"/>
    </row>
    <row r="331" spans="1:8" x14ac:dyDescent="0.2">
      <c r="A331" s="27"/>
      <c r="B331" s="29"/>
      <c r="C331" s="6"/>
      <c r="D331" s="29"/>
      <c r="E331" s="6"/>
      <c r="F331" s="6"/>
      <c r="G331" s="30"/>
      <c r="H331" s="31"/>
    </row>
    <row r="332" spans="1:8" x14ac:dyDescent="0.2">
      <c r="A332" s="22"/>
      <c r="B332" s="24"/>
      <c r="C332" s="3"/>
      <c r="D332" s="24"/>
      <c r="E332" s="3"/>
      <c r="F332" s="3"/>
      <c r="G332" s="25"/>
      <c r="H332" s="26"/>
    </row>
    <row r="333" spans="1:8" x14ac:dyDescent="0.2">
      <c r="A333" s="27"/>
      <c r="B333" s="29"/>
      <c r="C333" s="6"/>
      <c r="D333" s="29"/>
      <c r="E333" s="6"/>
      <c r="F333" s="6"/>
      <c r="G333" s="30"/>
      <c r="H333" s="31"/>
    </row>
    <row r="334" spans="1:8" x14ac:dyDescent="0.2">
      <c r="A334" s="22"/>
      <c r="B334" s="24"/>
      <c r="C334" s="3"/>
      <c r="D334" s="24"/>
      <c r="E334" s="3"/>
      <c r="F334" s="3"/>
      <c r="G334" s="25"/>
      <c r="H334" s="26"/>
    </row>
    <row r="335" spans="1:8" x14ac:dyDescent="0.2">
      <c r="A335" s="27"/>
      <c r="B335" s="29"/>
      <c r="C335" s="6"/>
      <c r="D335" s="29"/>
      <c r="E335" s="6"/>
      <c r="F335" s="6"/>
      <c r="G335" s="30"/>
      <c r="H335" s="31"/>
    </row>
    <row r="336" spans="1:8" x14ac:dyDescent="0.2">
      <c r="A336" s="22"/>
      <c r="B336" s="24"/>
      <c r="C336" s="3"/>
      <c r="D336" s="24"/>
      <c r="E336" s="3"/>
      <c r="F336" s="3"/>
      <c r="G336" s="25"/>
      <c r="H336" s="26"/>
    </row>
    <row r="337" spans="1:8" x14ac:dyDescent="0.2">
      <c r="A337" s="27"/>
      <c r="B337" s="29"/>
      <c r="C337" s="6"/>
      <c r="D337" s="29"/>
      <c r="E337" s="6"/>
      <c r="F337" s="6"/>
      <c r="G337" s="30"/>
      <c r="H337" s="31"/>
    </row>
    <row r="338" spans="1:8" x14ac:dyDescent="0.2">
      <c r="A338" s="22"/>
      <c r="B338" s="24"/>
      <c r="C338" s="3"/>
      <c r="D338" s="24"/>
      <c r="E338" s="3"/>
      <c r="F338" s="3"/>
      <c r="G338" s="25"/>
      <c r="H338" s="26"/>
    </row>
    <row r="339" spans="1:8" x14ac:dyDescent="0.2">
      <c r="A339" s="27"/>
      <c r="B339" s="29"/>
      <c r="C339" s="6"/>
      <c r="D339" s="29"/>
      <c r="E339" s="6"/>
      <c r="F339" s="6"/>
      <c r="G339" s="30"/>
      <c r="H339" s="31"/>
    </row>
    <row r="340" spans="1:8" x14ac:dyDescent="0.2">
      <c r="A340" s="22"/>
      <c r="B340" s="24"/>
      <c r="C340" s="3"/>
      <c r="D340" s="24"/>
      <c r="E340" s="3"/>
      <c r="F340" s="3"/>
      <c r="G340" s="25"/>
      <c r="H340" s="26"/>
    </row>
    <row r="341" spans="1:8" x14ac:dyDescent="0.2">
      <c r="A341" s="27"/>
      <c r="B341" s="29"/>
      <c r="C341" s="6"/>
      <c r="D341" s="29"/>
      <c r="E341" s="6"/>
      <c r="F341" s="6"/>
      <c r="G341" s="30"/>
      <c r="H341" s="31"/>
    </row>
    <row r="342" spans="1:8" x14ac:dyDescent="0.2">
      <c r="A342" s="22"/>
      <c r="B342" s="24"/>
      <c r="C342" s="3"/>
      <c r="D342" s="24"/>
      <c r="E342" s="3"/>
      <c r="F342" s="3"/>
      <c r="G342" s="25"/>
      <c r="H342" s="26"/>
    </row>
    <row r="343" spans="1:8" x14ac:dyDescent="0.2">
      <c r="A343" s="27"/>
      <c r="B343" s="29"/>
      <c r="C343" s="6"/>
      <c r="D343" s="29"/>
      <c r="E343" s="6"/>
      <c r="F343" s="6"/>
      <c r="G343" s="30"/>
      <c r="H343" s="31"/>
    </row>
    <row r="344" spans="1:8" x14ac:dyDescent="0.2">
      <c r="A344" s="22"/>
      <c r="B344" s="24"/>
      <c r="C344" s="3"/>
      <c r="D344" s="24"/>
      <c r="E344" s="3"/>
      <c r="F344" s="3"/>
      <c r="G344" s="25"/>
      <c r="H344" s="26"/>
    </row>
    <row r="345" spans="1:8" x14ac:dyDescent="0.2">
      <c r="A345" s="27"/>
      <c r="B345" s="29"/>
      <c r="C345" s="6"/>
      <c r="D345" s="29"/>
      <c r="E345" s="6"/>
      <c r="F345" s="6"/>
      <c r="G345" s="30"/>
      <c r="H345" s="31"/>
    </row>
    <row r="346" spans="1:8" x14ac:dyDescent="0.2">
      <c r="A346" s="22"/>
      <c r="B346" s="24"/>
      <c r="C346" s="3"/>
      <c r="D346" s="24"/>
      <c r="E346" s="3"/>
      <c r="F346" s="3"/>
      <c r="G346" s="25"/>
      <c r="H346" s="26"/>
    </row>
    <row r="347" spans="1:8" x14ac:dyDescent="0.2">
      <c r="A347" s="27"/>
      <c r="B347" s="29"/>
      <c r="C347" s="6"/>
      <c r="D347" s="29"/>
      <c r="E347" s="6"/>
      <c r="F347" s="6"/>
      <c r="G347" s="30"/>
      <c r="H347" s="31"/>
    </row>
    <row r="348" spans="1:8" x14ac:dyDescent="0.2">
      <c r="A348" s="22"/>
      <c r="B348" s="24"/>
      <c r="C348" s="3"/>
      <c r="D348" s="24"/>
      <c r="E348" s="3"/>
      <c r="F348" s="3"/>
      <c r="G348" s="25"/>
      <c r="H348" s="26"/>
    </row>
    <row r="349" spans="1:8" x14ac:dyDescent="0.2">
      <c r="A349" s="27"/>
      <c r="B349" s="29"/>
      <c r="C349" s="6"/>
      <c r="D349" s="29"/>
      <c r="E349" s="6"/>
      <c r="F349" s="6"/>
      <c r="G349" s="30"/>
      <c r="H349" s="31"/>
    </row>
    <row r="350" spans="1:8" x14ac:dyDescent="0.2">
      <c r="A350" s="22"/>
      <c r="B350" s="24"/>
      <c r="C350" s="3"/>
      <c r="D350" s="24"/>
      <c r="E350" s="3"/>
      <c r="F350" s="3"/>
      <c r="G350" s="25"/>
      <c r="H350" s="26"/>
    </row>
    <row r="351" spans="1:8" x14ac:dyDescent="0.2">
      <c r="A351" s="27"/>
      <c r="B351" s="29"/>
      <c r="C351" s="6"/>
      <c r="D351" s="29"/>
      <c r="E351" s="6"/>
      <c r="F351" s="6"/>
      <c r="G351" s="30"/>
      <c r="H351" s="31"/>
    </row>
    <row r="352" spans="1:8" x14ac:dyDescent="0.2">
      <c r="A352" s="22"/>
      <c r="B352" s="24"/>
      <c r="C352" s="3"/>
      <c r="D352" s="24"/>
      <c r="E352" s="3"/>
      <c r="F352" s="3"/>
      <c r="G352" s="25"/>
      <c r="H352" s="26"/>
    </row>
    <row r="353" spans="1:8" x14ac:dyDescent="0.2">
      <c r="A353" s="27"/>
      <c r="B353" s="29"/>
      <c r="C353" s="6"/>
      <c r="D353" s="29"/>
      <c r="E353" s="6"/>
      <c r="F353" s="6"/>
      <c r="G353" s="30"/>
      <c r="H353" s="31"/>
    </row>
    <row r="354" spans="1:8" x14ac:dyDescent="0.2">
      <c r="A354" s="22"/>
      <c r="B354" s="24"/>
      <c r="C354" s="3"/>
      <c r="D354" s="24"/>
      <c r="E354" s="3"/>
      <c r="F354" s="3"/>
      <c r="G354" s="25"/>
      <c r="H354" s="26"/>
    </row>
    <row r="355" spans="1:8" x14ac:dyDescent="0.2">
      <c r="A355" s="27"/>
      <c r="B355" s="29"/>
      <c r="C355" s="6"/>
      <c r="D355" s="29"/>
      <c r="E355" s="6"/>
      <c r="F355" s="6"/>
      <c r="G355" s="30"/>
      <c r="H355" s="31"/>
    </row>
    <row r="356" spans="1:8" x14ac:dyDescent="0.2">
      <c r="A356" s="22"/>
      <c r="B356" s="24"/>
      <c r="C356" s="3"/>
      <c r="D356" s="24"/>
      <c r="E356" s="3"/>
      <c r="F356" s="3"/>
      <c r="G356" s="25"/>
      <c r="H356" s="26"/>
    </row>
    <row r="357" spans="1:8" x14ac:dyDescent="0.2">
      <c r="A357" s="27"/>
      <c r="B357" s="29"/>
      <c r="C357" s="6"/>
      <c r="D357" s="29"/>
      <c r="E357" s="6"/>
      <c r="F357" s="6"/>
      <c r="G357" s="30"/>
      <c r="H357" s="31"/>
    </row>
    <row r="358" spans="1:8" x14ac:dyDescent="0.2">
      <c r="A358" s="22"/>
      <c r="B358" s="24"/>
      <c r="C358" s="3"/>
      <c r="D358" s="24"/>
      <c r="E358" s="3"/>
      <c r="F358" s="3"/>
      <c r="G358" s="25"/>
      <c r="H358" s="26"/>
    </row>
    <row r="359" spans="1:8" x14ac:dyDescent="0.2">
      <c r="A359" s="27"/>
      <c r="B359" s="29"/>
      <c r="C359" s="6"/>
      <c r="D359" s="29"/>
      <c r="E359" s="6"/>
      <c r="F359" s="6"/>
      <c r="G359" s="30"/>
      <c r="H359" s="31"/>
    </row>
    <row r="360" spans="1:8" x14ac:dyDescent="0.2">
      <c r="A360" s="22"/>
      <c r="B360" s="24"/>
      <c r="C360" s="3"/>
      <c r="D360" s="24"/>
      <c r="E360" s="3"/>
      <c r="F360" s="3"/>
      <c r="G360" s="25"/>
      <c r="H360" s="26"/>
    </row>
    <row r="361" spans="1:8" x14ac:dyDescent="0.2">
      <c r="A361" s="27"/>
      <c r="B361" s="29"/>
      <c r="C361" s="6"/>
      <c r="D361" s="29"/>
      <c r="E361" s="6"/>
      <c r="F361" s="6"/>
      <c r="G361" s="30"/>
      <c r="H361" s="31"/>
    </row>
    <row r="362" spans="1:8" x14ac:dyDescent="0.2">
      <c r="A362" s="22"/>
      <c r="B362" s="24"/>
      <c r="C362" s="3"/>
      <c r="D362" s="24"/>
      <c r="E362" s="3"/>
      <c r="F362" s="3"/>
      <c r="G362" s="25"/>
      <c r="H362" s="26"/>
    </row>
    <row r="363" spans="1:8" x14ac:dyDescent="0.2">
      <c r="A363" s="27"/>
      <c r="B363" s="29"/>
      <c r="C363" s="6"/>
      <c r="D363" s="29"/>
      <c r="E363" s="6"/>
      <c r="F363" s="6"/>
      <c r="G363" s="30"/>
      <c r="H363" s="31"/>
    </row>
    <row r="364" spans="1:8" x14ac:dyDescent="0.2">
      <c r="A364" s="22"/>
      <c r="B364" s="24"/>
      <c r="C364" s="3"/>
      <c r="D364" s="24"/>
      <c r="E364" s="3"/>
      <c r="F364" s="3"/>
      <c r="G364" s="25"/>
      <c r="H364" s="26"/>
    </row>
    <row r="365" spans="1:8" x14ac:dyDescent="0.2">
      <c r="A365" s="27"/>
      <c r="B365" s="29"/>
      <c r="C365" s="6"/>
      <c r="D365" s="29"/>
      <c r="E365" s="6"/>
      <c r="F365" s="6"/>
      <c r="G365" s="30"/>
      <c r="H365" s="31"/>
    </row>
    <row r="366" spans="1:8" x14ac:dyDescent="0.2">
      <c r="A366" s="22"/>
      <c r="B366" s="24"/>
      <c r="C366" s="3"/>
      <c r="D366" s="24"/>
      <c r="E366" s="3"/>
      <c r="F366" s="3"/>
      <c r="G366" s="25"/>
      <c r="H366" s="26"/>
    </row>
    <row r="367" spans="1:8" x14ac:dyDescent="0.2">
      <c r="A367" s="27"/>
      <c r="B367" s="29"/>
      <c r="C367" s="6"/>
      <c r="D367" s="29"/>
      <c r="E367" s="6"/>
      <c r="F367" s="6"/>
      <c r="G367" s="30"/>
      <c r="H367" s="31"/>
    </row>
    <row r="368" spans="1:8" x14ac:dyDescent="0.2">
      <c r="A368" s="22"/>
      <c r="B368" s="24"/>
      <c r="C368" s="3"/>
      <c r="D368" s="24"/>
      <c r="E368" s="3"/>
      <c r="F368" s="3"/>
      <c r="G368" s="25"/>
      <c r="H368" s="26"/>
    </row>
    <row r="369" spans="1:8" x14ac:dyDescent="0.2">
      <c r="A369" s="27"/>
      <c r="B369" s="29"/>
      <c r="C369" s="6"/>
      <c r="D369" s="29"/>
      <c r="E369" s="6"/>
      <c r="F369" s="6"/>
      <c r="G369" s="30"/>
      <c r="H369" s="31"/>
    </row>
    <row r="370" spans="1:8" x14ac:dyDescent="0.2">
      <c r="A370" s="22"/>
      <c r="B370" s="24"/>
      <c r="C370" s="3"/>
      <c r="D370" s="24"/>
      <c r="E370" s="3"/>
      <c r="F370" s="3"/>
      <c r="G370" s="25"/>
      <c r="H370" s="26"/>
    </row>
    <row r="371" spans="1:8" x14ac:dyDescent="0.2">
      <c r="A371" s="27"/>
      <c r="B371" s="29"/>
      <c r="C371" s="6"/>
      <c r="D371" s="29"/>
      <c r="E371" s="6"/>
      <c r="F371" s="6"/>
      <c r="G371" s="30"/>
      <c r="H371" s="31"/>
    </row>
    <row r="372" spans="1:8" x14ac:dyDescent="0.2">
      <c r="A372" s="22"/>
      <c r="B372" s="24"/>
      <c r="C372" s="3"/>
      <c r="D372" s="24"/>
      <c r="E372" s="3"/>
      <c r="F372" s="3"/>
      <c r="G372" s="25"/>
      <c r="H372" s="26"/>
    </row>
    <row r="373" spans="1:8" x14ac:dyDescent="0.2">
      <c r="A373" s="27"/>
      <c r="B373" s="29"/>
      <c r="C373" s="6"/>
      <c r="D373" s="29"/>
      <c r="E373" s="6"/>
      <c r="F373" s="6"/>
      <c r="G373" s="30"/>
      <c r="H373" s="31"/>
    </row>
    <row r="374" spans="1:8" x14ac:dyDescent="0.2">
      <c r="A374" s="22"/>
      <c r="B374" s="24"/>
      <c r="C374" s="3"/>
      <c r="D374" s="24"/>
      <c r="E374" s="3"/>
      <c r="F374" s="3"/>
      <c r="G374" s="25"/>
      <c r="H374" s="26"/>
    </row>
    <row r="375" spans="1:8" x14ac:dyDescent="0.2">
      <c r="A375" s="27"/>
      <c r="B375" s="29"/>
      <c r="C375" s="6"/>
      <c r="D375" s="29"/>
      <c r="E375" s="6"/>
      <c r="F375" s="6"/>
      <c r="G375" s="30"/>
      <c r="H375" s="31"/>
    </row>
    <row r="376" spans="1:8" x14ac:dyDescent="0.2">
      <c r="A376" s="22"/>
      <c r="B376" s="24"/>
      <c r="C376" s="3"/>
      <c r="D376" s="24"/>
      <c r="E376" s="3"/>
      <c r="F376" s="3"/>
      <c r="G376" s="25"/>
      <c r="H376" s="26"/>
    </row>
    <row r="377" spans="1:8" x14ac:dyDescent="0.2">
      <c r="A377" s="27"/>
      <c r="B377" s="29"/>
      <c r="C377" s="6"/>
      <c r="D377" s="29"/>
      <c r="E377" s="6"/>
      <c r="F377" s="6"/>
      <c r="G377" s="30"/>
      <c r="H377" s="31"/>
    </row>
    <row r="378" spans="1:8" x14ac:dyDescent="0.2">
      <c r="A378" s="22"/>
      <c r="B378" s="24"/>
      <c r="C378" s="3"/>
      <c r="D378" s="24"/>
      <c r="E378" s="3"/>
      <c r="F378" s="3"/>
      <c r="G378" s="25"/>
      <c r="H378" s="26"/>
    </row>
    <row r="379" spans="1:8" x14ac:dyDescent="0.2">
      <c r="A379" s="27"/>
      <c r="B379" s="29"/>
      <c r="C379" s="6"/>
      <c r="D379" s="29"/>
      <c r="E379" s="6"/>
      <c r="F379" s="6"/>
      <c r="G379" s="30"/>
      <c r="H379" s="31"/>
    </row>
    <row r="380" spans="1:8" x14ac:dyDescent="0.2">
      <c r="A380" s="22"/>
      <c r="B380" s="24"/>
      <c r="C380" s="3"/>
      <c r="D380" s="24"/>
      <c r="E380" s="3"/>
      <c r="F380" s="3"/>
      <c r="G380" s="25"/>
      <c r="H380" s="26"/>
    </row>
    <row r="381" spans="1:8" x14ac:dyDescent="0.2">
      <c r="A381" s="27"/>
      <c r="B381" s="29"/>
      <c r="C381" s="6"/>
      <c r="D381" s="29"/>
      <c r="E381" s="6"/>
      <c r="F381" s="6"/>
      <c r="G381" s="30"/>
      <c r="H381" s="31"/>
    </row>
    <row r="382" spans="1:8" x14ac:dyDescent="0.2">
      <c r="A382" s="22"/>
      <c r="B382" s="24"/>
      <c r="C382" s="3"/>
      <c r="D382" s="24"/>
      <c r="E382" s="3"/>
      <c r="F382" s="3"/>
      <c r="G382" s="25"/>
      <c r="H382" s="26"/>
    </row>
    <row r="383" spans="1:8" x14ac:dyDescent="0.2">
      <c r="A383" s="27"/>
      <c r="B383" s="29"/>
      <c r="C383" s="6"/>
      <c r="D383" s="29"/>
      <c r="E383" s="6"/>
      <c r="F383" s="6"/>
      <c r="G383" s="30"/>
      <c r="H383" s="31"/>
    </row>
    <row r="384" spans="1:8" x14ac:dyDescent="0.2">
      <c r="A384" s="22"/>
      <c r="B384" s="24"/>
      <c r="C384" s="3"/>
      <c r="D384" s="24"/>
      <c r="E384" s="3"/>
      <c r="F384" s="3"/>
      <c r="G384" s="25"/>
      <c r="H384" s="26"/>
    </row>
    <row r="385" spans="1:8" x14ac:dyDescent="0.2">
      <c r="A385" s="27"/>
      <c r="B385" s="29"/>
      <c r="C385" s="6"/>
      <c r="D385" s="29"/>
      <c r="E385" s="6"/>
      <c r="F385" s="6"/>
      <c r="G385" s="30"/>
      <c r="H385" s="31"/>
    </row>
    <row r="386" spans="1:8" x14ac:dyDescent="0.2">
      <c r="A386" s="22"/>
      <c r="B386" s="24"/>
      <c r="C386" s="3"/>
      <c r="D386" s="24"/>
      <c r="E386" s="3"/>
      <c r="F386" s="3"/>
      <c r="G386" s="25"/>
      <c r="H386" s="26"/>
    </row>
    <row r="387" spans="1:8" x14ac:dyDescent="0.2">
      <c r="A387" s="27"/>
      <c r="B387" s="29"/>
      <c r="C387" s="6"/>
      <c r="D387" s="29"/>
      <c r="E387" s="6"/>
      <c r="F387" s="6"/>
      <c r="G387" s="30"/>
      <c r="H387" s="31"/>
    </row>
    <row r="388" spans="1:8" x14ac:dyDescent="0.2">
      <c r="A388" s="22"/>
      <c r="B388" s="24"/>
      <c r="C388" s="3"/>
      <c r="D388" s="24"/>
      <c r="E388" s="3"/>
      <c r="F388" s="3"/>
      <c r="G388" s="25"/>
      <c r="H388" s="26"/>
    </row>
    <row r="389" spans="1:8" x14ac:dyDescent="0.2">
      <c r="A389" s="27"/>
      <c r="B389" s="29"/>
      <c r="C389" s="6"/>
      <c r="D389" s="29"/>
      <c r="E389" s="6"/>
      <c r="F389" s="6"/>
      <c r="G389" s="30"/>
      <c r="H389" s="31"/>
    </row>
    <row r="390" spans="1:8" x14ac:dyDescent="0.2">
      <c r="A390" s="22"/>
      <c r="B390" s="24"/>
      <c r="C390" s="3"/>
      <c r="D390" s="24"/>
      <c r="E390" s="3"/>
      <c r="F390" s="3"/>
      <c r="G390" s="25"/>
      <c r="H390" s="26"/>
    </row>
    <row r="391" spans="1:8" x14ac:dyDescent="0.2">
      <c r="A391" s="27"/>
      <c r="B391" s="29"/>
      <c r="C391" s="6"/>
      <c r="D391" s="29"/>
      <c r="E391" s="6"/>
      <c r="F391" s="6"/>
      <c r="G391" s="30"/>
      <c r="H391" s="31"/>
    </row>
    <row r="392" spans="1:8" x14ac:dyDescent="0.2">
      <c r="A392" s="22"/>
      <c r="B392" s="24"/>
      <c r="C392" s="3"/>
      <c r="D392" s="24"/>
      <c r="E392" s="3"/>
      <c r="F392" s="3"/>
      <c r="G392" s="25"/>
      <c r="H392" s="26"/>
    </row>
    <row r="393" spans="1:8" x14ac:dyDescent="0.2">
      <c r="A393" s="27"/>
      <c r="B393" s="29"/>
      <c r="C393" s="6"/>
      <c r="D393" s="29"/>
      <c r="E393" s="6"/>
      <c r="F393" s="6"/>
      <c r="G393" s="30"/>
      <c r="H393" s="31"/>
    </row>
    <row r="394" spans="1:8" x14ac:dyDescent="0.2">
      <c r="A394" s="22"/>
      <c r="B394" s="24"/>
      <c r="C394" s="3"/>
      <c r="D394" s="24"/>
      <c r="E394" s="3"/>
      <c r="F394" s="3"/>
      <c r="G394" s="25"/>
      <c r="H394" s="26"/>
    </row>
    <row r="395" spans="1:8" x14ac:dyDescent="0.2">
      <c r="A395" s="27"/>
      <c r="B395" s="29"/>
      <c r="C395" s="6"/>
      <c r="D395" s="29"/>
      <c r="E395" s="6"/>
      <c r="F395" s="6"/>
      <c r="G395" s="30"/>
      <c r="H395" s="31"/>
    </row>
    <row r="396" spans="1:8" x14ac:dyDescent="0.2">
      <c r="A396" s="22"/>
      <c r="B396" s="24"/>
      <c r="C396" s="3"/>
      <c r="D396" s="24"/>
      <c r="E396" s="3"/>
      <c r="F396" s="3"/>
      <c r="G396" s="25"/>
      <c r="H396" s="26"/>
    </row>
    <row r="397" spans="1:8" x14ac:dyDescent="0.2">
      <c r="A397" s="27"/>
      <c r="B397" s="29"/>
      <c r="C397" s="6"/>
      <c r="D397" s="29"/>
      <c r="E397" s="6"/>
      <c r="F397" s="6"/>
      <c r="G397" s="30"/>
      <c r="H397" s="31"/>
    </row>
    <row r="398" spans="1:8" x14ac:dyDescent="0.2">
      <c r="A398" s="22"/>
      <c r="B398" s="24"/>
      <c r="C398" s="3"/>
      <c r="D398" s="24"/>
      <c r="E398" s="3"/>
      <c r="F398" s="3"/>
      <c r="G398" s="25"/>
      <c r="H398" s="26"/>
    </row>
    <row r="399" spans="1:8" x14ac:dyDescent="0.2">
      <c r="A399" s="27"/>
      <c r="B399" s="29"/>
      <c r="C399" s="6"/>
      <c r="D399" s="29"/>
      <c r="E399" s="6"/>
      <c r="F399" s="6"/>
      <c r="G399" s="30"/>
      <c r="H399" s="31"/>
    </row>
    <row r="400" spans="1:8" x14ac:dyDescent="0.2">
      <c r="A400" s="22"/>
      <c r="B400" s="24"/>
      <c r="C400" s="3"/>
      <c r="D400" s="24"/>
      <c r="E400" s="3"/>
      <c r="F400" s="3"/>
      <c r="G400" s="25"/>
      <c r="H400" s="26"/>
    </row>
    <row r="401" spans="1:8" x14ac:dyDescent="0.2">
      <c r="A401" s="27"/>
      <c r="B401" s="29"/>
      <c r="C401" s="6"/>
      <c r="D401" s="29"/>
      <c r="E401" s="6"/>
      <c r="F401" s="6"/>
      <c r="G401" s="30"/>
      <c r="H401" s="31"/>
    </row>
    <row r="402" spans="1:8" x14ac:dyDescent="0.2">
      <c r="A402" s="22"/>
      <c r="B402" s="24"/>
      <c r="C402" s="3"/>
      <c r="D402" s="24"/>
      <c r="E402" s="3"/>
      <c r="F402" s="3"/>
      <c r="G402" s="25"/>
      <c r="H402" s="26"/>
    </row>
    <row r="403" spans="1:8" x14ac:dyDescent="0.2">
      <c r="A403" s="27"/>
      <c r="B403" s="29"/>
      <c r="C403" s="6"/>
      <c r="D403" s="29"/>
      <c r="E403" s="6"/>
      <c r="F403" s="6"/>
      <c r="G403" s="30"/>
      <c r="H403" s="31"/>
    </row>
    <row r="404" spans="1:8" x14ac:dyDescent="0.2">
      <c r="A404" s="22"/>
      <c r="B404" s="24"/>
      <c r="C404" s="3"/>
      <c r="D404" s="24"/>
      <c r="E404" s="3"/>
      <c r="F404" s="3"/>
      <c r="G404" s="25"/>
      <c r="H404" s="26"/>
    </row>
    <row r="405" spans="1:8" x14ac:dyDescent="0.2">
      <c r="A405" s="27"/>
      <c r="B405" s="29"/>
      <c r="C405" s="6"/>
      <c r="D405" s="29"/>
      <c r="E405" s="6"/>
      <c r="F405" s="6"/>
      <c r="G405" s="30"/>
      <c r="H405" s="31"/>
    </row>
    <row r="406" spans="1:8" x14ac:dyDescent="0.2">
      <c r="A406" s="22"/>
      <c r="B406" s="24"/>
      <c r="C406" s="3"/>
      <c r="D406" s="24"/>
      <c r="E406" s="3"/>
      <c r="F406" s="3"/>
      <c r="G406" s="25"/>
      <c r="H406" s="26"/>
    </row>
    <row r="407" spans="1:8" x14ac:dyDescent="0.2">
      <c r="A407" s="27"/>
      <c r="B407" s="29"/>
      <c r="C407" s="6"/>
      <c r="D407" s="29"/>
      <c r="E407" s="6"/>
      <c r="F407" s="6"/>
      <c r="G407" s="30"/>
      <c r="H407" s="31"/>
    </row>
    <row r="408" spans="1:8" x14ac:dyDescent="0.2">
      <c r="A408" s="22"/>
      <c r="B408" s="24"/>
      <c r="C408" s="3"/>
      <c r="D408" s="24"/>
      <c r="E408" s="3"/>
      <c r="F408" s="3"/>
      <c r="G408" s="25"/>
      <c r="H408" s="26"/>
    </row>
    <row r="409" spans="1:8" x14ac:dyDescent="0.2">
      <c r="A409" s="27"/>
      <c r="B409" s="29"/>
      <c r="C409" s="6"/>
      <c r="D409" s="29"/>
      <c r="E409" s="6"/>
      <c r="F409" s="6"/>
      <c r="G409" s="30"/>
      <c r="H409" s="31"/>
    </row>
    <row r="410" spans="1:8" x14ac:dyDescent="0.2">
      <c r="A410" s="22"/>
      <c r="B410" s="24"/>
      <c r="C410" s="3"/>
      <c r="D410" s="24"/>
      <c r="E410" s="3"/>
      <c r="F410" s="3"/>
      <c r="G410" s="25"/>
      <c r="H410" s="26"/>
    </row>
    <row r="411" spans="1:8" x14ac:dyDescent="0.2">
      <c r="A411" s="27"/>
      <c r="B411" s="29"/>
      <c r="C411" s="6"/>
      <c r="D411" s="29"/>
      <c r="E411" s="6"/>
      <c r="F411" s="6"/>
      <c r="G411" s="30"/>
      <c r="H411" s="31"/>
    </row>
    <row r="412" spans="1:8" x14ac:dyDescent="0.2">
      <c r="A412" s="22"/>
      <c r="B412" s="24"/>
      <c r="C412" s="3"/>
      <c r="D412" s="24"/>
      <c r="E412" s="3"/>
      <c r="F412" s="3"/>
      <c r="G412" s="25"/>
      <c r="H412" s="26"/>
    </row>
    <row r="413" spans="1:8" x14ac:dyDescent="0.2">
      <c r="A413" s="27"/>
      <c r="B413" s="29"/>
      <c r="C413" s="6"/>
      <c r="D413" s="29"/>
      <c r="E413" s="6"/>
      <c r="F413" s="6"/>
      <c r="G413" s="30"/>
      <c r="H413" s="31"/>
    </row>
    <row r="414" spans="1:8" x14ac:dyDescent="0.2">
      <c r="A414" s="22"/>
      <c r="B414" s="24"/>
      <c r="C414" s="3"/>
      <c r="D414" s="24"/>
      <c r="E414" s="3"/>
      <c r="F414" s="3"/>
      <c r="G414" s="25"/>
      <c r="H414" s="26"/>
    </row>
    <row r="415" spans="1:8" x14ac:dyDescent="0.2">
      <c r="A415" s="27"/>
      <c r="B415" s="29"/>
      <c r="C415" s="6"/>
      <c r="D415" s="29"/>
      <c r="E415" s="6"/>
      <c r="F415" s="6"/>
      <c r="G415" s="30"/>
      <c r="H415" s="31"/>
    </row>
    <row r="416" spans="1:8" x14ac:dyDescent="0.2">
      <c r="A416" s="22"/>
      <c r="B416" s="24"/>
      <c r="C416" s="3"/>
      <c r="D416" s="24"/>
      <c r="E416" s="3"/>
      <c r="F416" s="3"/>
      <c r="G416" s="25"/>
      <c r="H416" s="26"/>
    </row>
    <row r="417" spans="1:8" x14ac:dyDescent="0.2">
      <c r="A417" s="27"/>
      <c r="B417" s="29"/>
      <c r="C417" s="6"/>
      <c r="D417" s="29"/>
      <c r="E417" s="6"/>
      <c r="F417" s="6"/>
      <c r="G417" s="30"/>
      <c r="H417" s="31"/>
    </row>
    <row r="418" spans="1:8" x14ac:dyDescent="0.2">
      <c r="A418" s="22"/>
      <c r="B418" s="24"/>
      <c r="C418" s="3"/>
      <c r="D418" s="24"/>
      <c r="E418" s="3"/>
      <c r="F418" s="3"/>
      <c r="G418" s="25"/>
      <c r="H418" s="26"/>
    </row>
    <row r="419" spans="1:8" x14ac:dyDescent="0.2">
      <c r="A419" s="27"/>
      <c r="B419" s="29"/>
      <c r="C419" s="6"/>
      <c r="D419" s="29"/>
      <c r="E419" s="6"/>
      <c r="F419" s="6"/>
      <c r="G419" s="30"/>
      <c r="H419" s="31"/>
    </row>
    <row r="420" spans="1:8" x14ac:dyDescent="0.2">
      <c r="A420" s="22"/>
      <c r="B420" s="24"/>
      <c r="C420" s="3"/>
      <c r="D420" s="24"/>
      <c r="E420" s="3"/>
      <c r="F420" s="3"/>
      <c r="G420" s="25"/>
      <c r="H420" s="26"/>
    </row>
    <row r="421" spans="1:8" x14ac:dyDescent="0.2">
      <c r="A421" s="27"/>
      <c r="B421" s="29"/>
      <c r="C421" s="6"/>
      <c r="D421" s="29"/>
      <c r="E421" s="6"/>
      <c r="F421" s="6"/>
      <c r="G421" s="30"/>
      <c r="H421" s="31"/>
    </row>
    <row r="422" spans="1:8" x14ac:dyDescent="0.2">
      <c r="A422" s="22"/>
      <c r="B422" s="24"/>
      <c r="C422" s="3"/>
      <c r="D422" s="24"/>
      <c r="E422" s="3"/>
      <c r="F422" s="3"/>
      <c r="G422" s="25"/>
      <c r="H422" s="26"/>
    </row>
    <row r="423" spans="1:8" x14ac:dyDescent="0.2">
      <c r="A423" s="27"/>
      <c r="B423" s="29"/>
      <c r="C423" s="6"/>
      <c r="D423" s="29"/>
      <c r="E423" s="6"/>
      <c r="F423" s="6"/>
      <c r="G423" s="30"/>
      <c r="H423" s="31"/>
    </row>
    <row r="424" spans="1:8" x14ac:dyDescent="0.2">
      <c r="A424" s="22"/>
      <c r="B424" s="24"/>
      <c r="C424" s="3"/>
      <c r="D424" s="24"/>
      <c r="E424" s="3"/>
      <c r="F424" s="3"/>
      <c r="G424" s="25"/>
      <c r="H424" s="26"/>
    </row>
    <row r="425" spans="1:8" x14ac:dyDescent="0.2">
      <c r="A425" s="27"/>
      <c r="B425" s="29"/>
      <c r="C425" s="6"/>
      <c r="D425" s="29"/>
      <c r="E425" s="6"/>
      <c r="F425" s="6"/>
      <c r="G425" s="30"/>
      <c r="H425" s="31"/>
    </row>
    <row r="426" spans="1:8" x14ac:dyDescent="0.2">
      <c r="A426" s="22"/>
      <c r="B426" s="24"/>
      <c r="C426" s="3"/>
      <c r="D426" s="24"/>
      <c r="E426" s="3"/>
      <c r="F426" s="3"/>
      <c r="G426" s="25"/>
      <c r="H426" s="26"/>
    </row>
    <row r="427" spans="1:8" x14ac:dyDescent="0.2">
      <c r="A427" s="27"/>
      <c r="B427" s="29"/>
      <c r="C427" s="6"/>
      <c r="D427" s="29"/>
      <c r="E427" s="6"/>
      <c r="F427" s="6"/>
      <c r="G427" s="30"/>
      <c r="H427" s="31"/>
    </row>
    <row r="428" spans="1:8" x14ac:dyDescent="0.2">
      <c r="A428" s="22"/>
      <c r="B428" s="24"/>
      <c r="C428" s="3"/>
      <c r="D428" s="24"/>
      <c r="E428" s="3"/>
      <c r="F428" s="3"/>
      <c r="G428" s="25"/>
      <c r="H428" s="26"/>
    </row>
    <row r="429" spans="1:8" x14ac:dyDescent="0.2">
      <c r="A429" s="27"/>
      <c r="B429" s="29"/>
      <c r="C429" s="6"/>
      <c r="D429" s="29"/>
      <c r="E429" s="6"/>
      <c r="F429" s="6"/>
      <c r="G429" s="30"/>
      <c r="H429" s="31"/>
    </row>
    <row r="430" spans="1:8" x14ac:dyDescent="0.2">
      <c r="A430" s="22"/>
      <c r="B430" s="24"/>
      <c r="C430" s="3"/>
      <c r="D430" s="24"/>
      <c r="E430" s="3"/>
      <c r="F430" s="3"/>
      <c r="G430" s="25"/>
      <c r="H430" s="26"/>
    </row>
    <row r="431" spans="1:8" x14ac:dyDescent="0.2">
      <c r="A431" s="27"/>
      <c r="B431" s="29"/>
      <c r="C431" s="6"/>
      <c r="D431" s="29"/>
      <c r="E431" s="6"/>
      <c r="F431" s="6"/>
      <c r="G431" s="30"/>
      <c r="H431" s="31"/>
    </row>
    <row r="432" spans="1:8" x14ac:dyDescent="0.2">
      <c r="A432" s="22"/>
      <c r="B432" s="24"/>
      <c r="C432" s="3"/>
      <c r="D432" s="24"/>
      <c r="E432" s="3"/>
      <c r="F432" s="3"/>
      <c r="G432" s="25"/>
      <c r="H432" s="26"/>
    </row>
    <row r="433" spans="1:8" x14ac:dyDescent="0.2">
      <c r="A433" s="27"/>
      <c r="B433" s="29"/>
      <c r="C433" s="6"/>
      <c r="D433" s="29"/>
      <c r="E433" s="6"/>
      <c r="F433" s="6"/>
      <c r="G433" s="30"/>
      <c r="H433" s="31"/>
    </row>
    <row r="434" spans="1:8" x14ac:dyDescent="0.2">
      <c r="A434" s="22"/>
      <c r="B434" s="24"/>
      <c r="C434" s="3"/>
      <c r="D434" s="24"/>
      <c r="E434" s="3"/>
      <c r="F434" s="3"/>
      <c r="G434" s="25"/>
      <c r="H434" s="26"/>
    </row>
    <row r="435" spans="1:8" x14ac:dyDescent="0.2">
      <c r="A435" s="27"/>
      <c r="B435" s="29"/>
      <c r="C435" s="6"/>
      <c r="D435" s="29"/>
      <c r="E435" s="6"/>
      <c r="F435" s="6"/>
      <c r="G435" s="30"/>
      <c r="H435" s="31"/>
    </row>
    <row r="436" spans="1:8" x14ac:dyDescent="0.2">
      <c r="A436" s="22"/>
      <c r="B436" s="24"/>
      <c r="C436" s="3"/>
      <c r="D436" s="24"/>
      <c r="E436" s="3"/>
      <c r="F436" s="3"/>
      <c r="G436" s="25"/>
      <c r="H436" s="26"/>
    </row>
    <row r="437" spans="1:8" x14ac:dyDescent="0.2">
      <c r="A437" s="27"/>
      <c r="B437" s="29"/>
      <c r="C437" s="6"/>
      <c r="D437" s="29"/>
      <c r="E437" s="6"/>
      <c r="F437" s="6"/>
      <c r="G437" s="30"/>
      <c r="H437" s="31"/>
    </row>
    <row r="438" spans="1:8" x14ac:dyDescent="0.2">
      <c r="A438" s="22"/>
      <c r="B438" s="24"/>
      <c r="C438" s="3"/>
      <c r="D438" s="24"/>
      <c r="E438" s="3"/>
      <c r="F438" s="3"/>
      <c r="G438" s="25"/>
      <c r="H438" s="26"/>
    </row>
    <row r="439" spans="1:8" x14ac:dyDescent="0.2">
      <c r="A439" s="27"/>
      <c r="B439" s="29"/>
      <c r="C439" s="6"/>
      <c r="D439" s="29"/>
      <c r="E439" s="6"/>
      <c r="F439" s="6"/>
      <c r="G439" s="30"/>
      <c r="H439" s="31"/>
    </row>
    <row r="440" spans="1:8" x14ac:dyDescent="0.2">
      <c r="A440" s="22"/>
      <c r="B440" s="24"/>
      <c r="C440" s="3"/>
      <c r="D440" s="24"/>
      <c r="E440" s="3"/>
      <c r="F440" s="3"/>
      <c r="G440" s="25"/>
      <c r="H440" s="26"/>
    </row>
    <row r="441" spans="1:8" x14ac:dyDescent="0.2">
      <c r="A441" s="27"/>
      <c r="B441" s="29"/>
      <c r="C441" s="6"/>
      <c r="D441" s="29"/>
      <c r="E441" s="6"/>
      <c r="F441" s="6"/>
      <c r="G441" s="30"/>
      <c r="H441" s="31"/>
    </row>
    <row r="442" spans="1:8" x14ac:dyDescent="0.2">
      <c r="A442" s="22"/>
      <c r="B442" s="24"/>
      <c r="C442" s="3"/>
      <c r="D442" s="24"/>
      <c r="E442" s="3"/>
      <c r="F442" s="3"/>
      <c r="G442" s="25"/>
      <c r="H442" s="26"/>
    </row>
    <row r="443" spans="1:8" x14ac:dyDescent="0.2">
      <c r="A443" s="27"/>
      <c r="B443" s="29"/>
      <c r="C443" s="6"/>
      <c r="D443" s="29"/>
      <c r="E443" s="6"/>
      <c r="F443" s="6"/>
      <c r="G443" s="30"/>
      <c r="H443" s="31"/>
    </row>
    <row r="444" spans="1:8" x14ac:dyDescent="0.2">
      <c r="A444" s="22"/>
      <c r="B444" s="24"/>
      <c r="C444" s="3"/>
      <c r="D444" s="24"/>
      <c r="E444" s="3"/>
      <c r="F444" s="3"/>
      <c r="G444" s="25"/>
      <c r="H444" s="26"/>
    </row>
    <row r="445" spans="1:8" x14ac:dyDescent="0.2">
      <c r="A445" s="27"/>
      <c r="B445" s="29"/>
      <c r="C445" s="6"/>
      <c r="D445" s="29"/>
      <c r="E445" s="6"/>
      <c r="F445" s="6"/>
      <c r="G445" s="30"/>
      <c r="H445" s="31"/>
    </row>
    <row r="446" spans="1:8" x14ac:dyDescent="0.2">
      <c r="A446" s="22"/>
      <c r="B446" s="24"/>
      <c r="C446" s="3"/>
      <c r="D446" s="24"/>
      <c r="E446" s="3"/>
      <c r="F446" s="3"/>
      <c r="G446" s="25"/>
      <c r="H446" s="26"/>
    </row>
    <row r="447" spans="1:8" x14ac:dyDescent="0.2">
      <c r="A447" s="27"/>
      <c r="B447" s="29"/>
      <c r="C447" s="6"/>
      <c r="D447" s="29"/>
      <c r="E447" s="6"/>
      <c r="F447" s="6"/>
      <c r="G447" s="30"/>
      <c r="H447" s="31"/>
    </row>
    <row r="448" spans="1:8" x14ac:dyDescent="0.2">
      <c r="A448" s="22"/>
      <c r="B448" s="24"/>
      <c r="C448" s="3"/>
      <c r="D448" s="24"/>
      <c r="E448" s="3"/>
      <c r="F448" s="3"/>
      <c r="G448" s="25"/>
      <c r="H448" s="26"/>
    </row>
    <row r="449" spans="1:8" x14ac:dyDescent="0.2">
      <c r="A449" s="27"/>
      <c r="B449" s="29"/>
      <c r="C449" s="6"/>
      <c r="D449" s="29"/>
      <c r="E449" s="6"/>
      <c r="F449" s="6"/>
      <c r="G449" s="30"/>
      <c r="H449" s="31"/>
    </row>
    <row r="450" spans="1:8" x14ac:dyDescent="0.2">
      <c r="A450" s="22"/>
      <c r="B450" s="24"/>
      <c r="C450" s="3"/>
      <c r="D450" s="24"/>
      <c r="E450" s="3"/>
      <c r="F450" s="3"/>
      <c r="G450" s="25"/>
      <c r="H450" s="26"/>
    </row>
    <row r="451" spans="1:8" x14ac:dyDescent="0.2">
      <c r="A451" s="27"/>
      <c r="B451" s="29"/>
      <c r="C451" s="6"/>
      <c r="D451" s="29"/>
      <c r="E451" s="6"/>
      <c r="F451" s="6"/>
      <c r="G451" s="30"/>
      <c r="H451" s="31"/>
    </row>
    <row r="452" spans="1:8" x14ac:dyDescent="0.2">
      <c r="A452" s="22"/>
      <c r="B452" s="24"/>
      <c r="C452" s="3"/>
      <c r="D452" s="24"/>
      <c r="E452" s="3"/>
      <c r="F452" s="3"/>
      <c r="G452" s="25"/>
      <c r="H452" s="26"/>
    </row>
    <row r="453" spans="1:8" x14ac:dyDescent="0.2">
      <c r="A453" s="27"/>
      <c r="B453" s="29"/>
      <c r="C453" s="6"/>
      <c r="D453" s="29"/>
      <c r="E453" s="6"/>
      <c r="F453" s="6"/>
      <c r="G453" s="30"/>
      <c r="H453" s="31"/>
    </row>
    <row r="454" spans="1:8" x14ac:dyDescent="0.2">
      <c r="A454" s="22"/>
      <c r="B454" s="24"/>
      <c r="C454" s="3"/>
      <c r="D454" s="24"/>
      <c r="E454" s="3"/>
      <c r="F454" s="3"/>
      <c r="G454" s="25"/>
      <c r="H454" s="26"/>
    </row>
    <row r="455" spans="1:8" x14ac:dyDescent="0.2">
      <c r="A455" s="27"/>
      <c r="B455" s="29"/>
      <c r="C455" s="6"/>
      <c r="D455" s="29"/>
      <c r="E455" s="6"/>
      <c r="F455" s="6"/>
      <c r="G455" s="30"/>
      <c r="H455" s="31"/>
    </row>
    <row r="456" spans="1:8" x14ac:dyDescent="0.2">
      <c r="A456" s="22"/>
      <c r="B456" s="24"/>
      <c r="C456" s="3"/>
      <c r="D456" s="24"/>
      <c r="E456" s="3"/>
      <c r="F456" s="3"/>
      <c r="G456" s="25"/>
      <c r="H456" s="26"/>
    </row>
    <row r="457" spans="1:8" x14ac:dyDescent="0.2">
      <c r="A457" s="27"/>
      <c r="B457" s="29"/>
      <c r="C457" s="6"/>
      <c r="D457" s="29"/>
      <c r="E457" s="6"/>
      <c r="F457" s="6"/>
      <c r="G457" s="30"/>
      <c r="H457" s="31"/>
    </row>
    <row r="458" spans="1:8" x14ac:dyDescent="0.2">
      <c r="A458" s="22"/>
      <c r="B458" s="24"/>
      <c r="C458" s="3"/>
      <c r="D458" s="24"/>
      <c r="E458" s="3"/>
      <c r="F458" s="3"/>
      <c r="G458" s="25"/>
      <c r="H458" s="26"/>
    </row>
    <row r="459" spans="1:8" x14ac:dyDescent="0.2">
      <c r="A459" s="27"/>
      <c r="B459" s="29"/>
      <c r="C459" s="6"/>
      <c r="D459" s="29"/>
      <c r="E459" s="6"/>
      <c r="F459" s="6"/>
      <c r="G459" s="30"/>
      <c r="H459" s="31"/>
    </row>
    <row r="460" spans="1:8" x14ac:dyDescent="0.2">
      <c r="A460" s="22"/>
      <c r="B460" s="24"/>
      <c r="C460" s="3"/>
      <c r="D460" s="24"/>
      <c r="E460" s="3"/>
      <c r="F460" s="3"/>
      <c r="G460" s="25"/>
      <c r="H460" s="26"/>
    </row>
    <row r="461" spans="1:8" x14ac:dyDescent="0.2">
      <c r="A461" s="27"/>
      <c r="B461" s="29"/>
      <c r="C461" s="6"/>
      <c r="D461" s="29"/>
      <c r="E461" s="6"/>
      <c r="F461" s="6"/>
      <c r="G461" s="30"/>
      <c r="H461" s="31"/>
    </row>
    <row r="462" spans="1:8" x14ac:dyDescent="0.2">
      <c r="A462" s="22"/>
      <c r="B462" s="24"/>
      <c r="C462" s="3"/>
      <c r="D462" s="24"/>
      <c r="E462" s="3"/>
      <c r="F462" s="3"/>
      <c r="G462" s="25"/>
      <c r="H462" s="26"/>
    </row>
    <row r="463" spans="1:8" x14ac:dyDescent="0.2">
      <c r="A463" s="27"/>
      <c r="B463" s="29"/>
      <c r="C463" s="6"/>
      <c r="D463" s="29"/>
      <c r="E463" s="6"/>
      <c r="F463" s="6"/>
      <c r="G463" s="30"/>
      <c r="H463" s="31"/>
    </row>
    <row r="464" spans="1:8" x14ac:dyDescent="0.2">
      <c r="A464" s="22"/>
      <c r="B464" s="24"/>
      <c r="C464" s="3"/>
      <c r="D464" s="24"/>
      <c r="E464" s="3"/>
      <c r="F464" s="3"/>
      <c r="G464" s="25"/>
      <c r="H464" s="26"/>
    </row>
    <row r="465" spans="1:8" x14ac:dyDescent="0.2">
      <c r="A465" s="27"/>
      <c r="B465" s="29"/>
      <c r="C465" s="6"/>
      <c r="D465" s="29"/>
      <c r="E465" s="6"/>
      <c r="F465" s="6"/>
      <c r="G465" s="30"/>
      <c r="H465" s="31"/>
    </row>
    <row r="466" spans="1:8" x14ac:dyDescent="0.2">
      <c r="A466" s="22"/>
      <c r="B466" s="24"/>
      <c r="C466" s="3"/>
      <c r="D466" s="24"/>
      <c r="E466" s="3"/>
      <c r="F466" s="3"/>
      <c r="G466" s="25"/>
      <c r="H466" s="26"/>
    </row>
    <row r="467" spans="1:8" x14ac:dyDescent="0.2">
      <c r="A467" s="27"/>
      <c r="B467" s="29"/>
      <c r="C467" s="6"/>
      <c r="D467" s="29"/>
      <c r="E467" s="6"/>
      <c r="F467" s="6"/>
      <c r="G467" s="30"/>
      <c r="H467" s="31"/>
    </row>
    <row r="468" spans="1:8" x14ac:dyDescent="0.2">
      <c r="A468" s="22"/>
      <c r="B468" s="24"/>
      <c r="C468" s="3"/>
      <c r="D468" s="24"/>
      <c r="E468" s="3"/>
      <c r="F468" s="3"/>
      <c r="G468" s="25"/>
      <c r="H468" s="26"/>
    </row>
    <row r="469" spans="1:8" x14ac:dyDescent="0.2">
      <c r="A469" s="27"/>
      <c r="B469" s="29"/>
      <c r="C469" s="6"/>
      <c r="D469" s="29"/>
      <c r="E469" s="6"/>
      <c r="F469" s="6"/>
      <c r="G469" s="30"/>
      <c r="H469" s="31"/>
    </row>
    <row r="470" spans="1:8" x14ac:dyDescent="0.2">
      <c r="A470" s="22"/>
      <c r="B470" s="24"/>
      <c r="C470" s="3"/>
      <c r="D470" s="24"/>
      <c r="E470" s="3"/>
      <c r="F470" s="3"/>
      <c r="G470" s="25"/>
      <c r="H470" s="26"/>
    </row>
    <row r="471" spans="1:8" x14ac:dyDescent="0.2">
      <c r="A471" s="27"/>
      <c r="B471" s="29"/>
      <c r="C471" s="6"/>
      <c r="D471" s="29"/>
      <c r="E471" s="6"/>
      <c r="F471" s="6"/>
      <c r="G471" s="30"/>
      <c r="H471" s="31"/>
    </row>
    <row r="472" spans="1:8" x14ac:dyDescent="0.2">
      <c r="A472" s="22"/>
      <c r="B472" s="24"/>
      <c r="C472" s="3"/>
      <c r="D472" s="24"/>
      <c r="E472" s="3"/>
      <c r="F472" s="3"/>
      <c r="G472" s="25"/>
      <c r="H472" s="26"/>
    </row>
    <row r="473" spans="1:8" x14ac:dyDescent="0.2">
      <c r="A473" s="27"/>
      <c r="B473" s="29"/>
      <c r="C473" s="6"/>
      <c r="D473" s="29"/>
      <c r="E473" s="6"/>
      <c r="F473" s="6"/>
      <c r="G473" s="30"/>
      <c r="H473" s="31"/>
    </row>
    <row r="474" spans="1:8" x14ac:dyDescent="0.2">
      <c r="A474" s="22"/>
      <c r="B474" s="24"/>
      <c r="C474" s="3"/>
      <c r="D474" s="24"/>
      <c r="E474" s="3"/>
      <c r="F474" s="3"/>
      <c r="G474" s="25"/>
      <c r="H474" s="26"/>
    </row>
    <row r="475" spans="1:8" x14ac:dyDescent="0.2">
      <c r="A475" s="27"/>
      <c r="B475" s="29"/>
      <c r="C475" s="6"/>
      <c r="D475" s="29"/>
      <c r="E475" s="6"/>
      <c r="F475" s="6"/>
      <c r="G475" s="30"/>
      <c r="H475" s="31"/>
    </row>
    <row r="476" spans="1:8" x14ac:dyDescent="0.2">
      <c r="A476" s="22"/>
      <c r="B476" s="24"/>
      <c r="C476" s="3"/>
      <c r="D476" s="24"/>
      <c r="E476" s="3"/>
      <c r="F476" s="3"/>
      <c r="G476" s="25"/>
      <c r="H476" s="26"/>
    </row>
    <row r="477" spans="1:8" x14ac:dyDescent="0.2">
      <c r="A477" s="27"/>
      <c r="B477" s="29"/>
      <c r="C477" s="6"/>
      <c r="D477" s="29"/>
      <c r="E477" s="6"/>
      <c r="F477" s="6"/>
      <c r="G477" s="30"/>
      <c r="H477" s="31"/>
    </row>
    <row r="478" spans="1:8" x14ac:dyDescent="0.2">
      <c r="A478" s="22"/>
      <c r="B478" s="24"/>
      <c r="C478" s="3"/>
      <c r="D478" s="24"/>
      <c r="E478" s="3"/>
      <c r="F478" s="3"/>
      <c r="G478" s="25"/>
      <c r="H478" s="26"/>
    </row>
    <row r="479" spans="1:8" x14ac:dyDescent="0.2">
      <c r="A479" s="27"/>
      <c r="B479" s="29"/>
      <c r="C479" s="6"/>
      <c r="D479" s="29"/>
      <c r="E479" s="6"/>
      <c r="F479" s="6"/>
      <c r="G479" s="30"/>
      <c r="H479" s="31"/>
    </row>
    <row r="480" spans="1:8" x14ac:dyDescent="0.2">
      <c r="A480" s="22"/>
      <c r="B480" s="24"/>
      <c r="C480" s="3"/>
      <c r="D480" s="24"/>
      <c r="E480" s="3"/>
      <c r="F480" s="3"/>
      <c r="G480" s="25"/>
      <c r="H480" s="26"/>
    </row>
    <row r="481" spans="1:8" x14ac:dyDescent="0.2">
      <c r="A481" s="27"/>
      <c r="B481" s="29"/>
      <c r="C481" s="6"/>
      <c r="D481" s="29"/>
      <c r="E481" s="6"/>
      <c r="F481" s="6"/>
      <c r="G481" s="30"/>
      <c r="H481" s="31"/>
    </row>
    <row r="482" spans="1:8" x14ac:dyDescent="0.2">
      <c r="A482" s="22"/>
      <c r="B482" s="24"/>
      <c r="C482" s="3"/>
      <c r="D482" s="24"/>
      <c r="E482" s="3"/>
      <c r="F482" s="3"/>
      <c r="G482" s="25"/>
      <c r="H482" s="26"/>
    </row>
    <row r="483" spans="1:8" x14ac:dyDescent="0.2">
      <c r="A483" s="27"/>
      <c r="B483" s="29"/>
      <c r="C483" s="6"/>
      <c r="D483" s="29"/>
      <c r="E483" s="6"/>
      <c r="F483" s="6"/>
      <c r="G483" s="30"/>
      <c r="H483" s="31"/>
    </row>
    <row r="484" spans="1:8" x14ac:dyDescent="0.2">
      <c r="A484" s="22"/>
      <c r="B484" s="24"/>
      <c r="C484" s="3"/>
      <c r="D484" s="24"/>
      <c r="E484" s="3"/>
      <c r="F484" s="3"/>
      <c r="G484" s="25"/>
      <c r="H484" s="26"/>
    </row>
    <row r="485" spans="1:8" x14ac:dyDescent="0.2">
      <c r="A485" s="27"/>
      <c r="B485" s="29"/>
      <c r="C485" s="6"/>
      <c r="D485" s="29"/>
      <c r="E485" s="6"/>
      <c r="F485" s="6"/>
      <c r="G485" s="30"/>
      <c r="H485" s="31"/>
    </row>
    <row r="486" spans="1:8" x14ac:dyDescent="0.2">
      <c r="A486" s="22"/>
      <c r="B486" s="24"/>
      <c r="C486" s="3"/>
      <c r="D486" s="24"/>
      <c r="E486" s="3"/>
      <c r="F486" s="3"/>
      <c r="G486" s="25"/>
      <c r="H486" s="26"/>
    </row>
    <row r="487" spans="1:8" x14ac:dyDescent="0.2">
      <c r="A487" s="27"/>
      <c r="B487" s="29"/>
      <c r="C487" s="6"/>
      <c r="D487" s="29"/>
      <c r="E487" s="6"/>
      <c r="F487" s="6"/>
      <c r="G487" s="30"/>
      <c r="H487" s="31"/>
    </row>
    <row r="488" spans="1:8" x14ac:dyDescent="0.2">
      <c r="A488" s="22"/>
      <c r="B488" s="24"/>
      <c r="C488" s="3"/>
      <c r="D488" s="24"/>
      <c r="E488" s="3"/>
      <c r="F488" s="3"/>
      <c r="G488" s="25"/>
      <c r="H488" s="26"/>
    </row>
    <row r="489" spans="1:8" x14ac:dyDescent="0.2">
      <c r="A489" s="27"/>
      <c r="B489" s="29"/>
      <c r="C489" s="6"/>
      <c r="D489" s="29"/>
      <c r="E489" s="6"/>
      <c r="F489" s="6"/>
      <c r="G489" s="30"/>
      <c r="H489" s="31"/>
    </row>
    <row r="490" spans="1:8" x14ac:dyDescent="0.2">
      <c r="A490" s="22"/>
      <c r="B490" s="24"/>
      <c r="C490" s="3"/>
      <c r="D490" s="24"/>
      <c r="E490" s="3"/>
      <c r="F490" s="3"/>
      <c r="G490" s="25"/>
      <c r="H490" s="26"/>
    </row>
    <row r="491" spans="1:8" x14ac:dyDescent="0.2">
      <c r="A491" s="27"/>
      <c r="B491" s="29"/>
      <c r="C491" s="6"/>
      <c r="D491" s="29"/>
      <c r="E491" s="6"/>
      <c r="F491" s="6"/>
      <c r="G491" s="30"/>
      <c r="H491" s="31"/>
    </row>
    <row r="492" spans="1:8" x14ac:dyDescent="0.2">
      <c r="A492" s="22"/>
      <c r="B492" s="24"/>
      <c r="C492" s="3"/>
      <c r="D492" s="24"/>
      <c r="E492" s="3"/>
      <c r="F492" s="3"/>
      <c r="G492" s="25"/>
      <c r="H492" s="26"/>
    </row>
    <row r="493" spans="1:8" x14ac:dyDescent="0.2">
      <c r="A493" s="27"/>
      <c r="B493" s="29"/>
      <c r="C493" s="6"/>
      <c r="D493" s="29"/>
      <c r="E493" s="6"/>
      <c r="F493" s="6"/>
      <c r="G493" s="30"/>
      <c r="H493" s="31"/>
    </row>
    <row r="494" spans="1:8" x14ac:dyDescent="0.2">
      <c r="A494" s="22"/>
      <c r="B494" s="24"/>
      <c r="C494" s="3"/>
      <c r="D494" s="24"/>
      <c r="E494" s="3"/>
      <c r="F494" s="3"/>
      <c r="G494" s="25"/>
      <c r="H494" s="26"/>
    </row>
    <row r="495" spans="1:8" x14ac:dyDescent="0.2">
      <c r="A495" s="27"/>
      <c r="B495" s="29"/>
      <c r="C495" s="6"/>
      <c r="D495" s="29"/>
      <c r="E495" s="6"/>
      <c r="F495" s="6"/>
      <c r="G495" s="30"/>
      <c r="H495" s="31"/>
    </row>
    <row r="496" spans="1:8" x14ac:dyDescent="0.2">
      <c r="A496" s="22"/>
      <c r="B496" s="24"/>
      <c r="C496" s="3"/>
      <c r="D496" s="24"/>
      <c r="E496" s="3"/>
      <c r="F496" s="3"/>
      <c r="G496" s="25"/>
      <c r="H496" s="26"/>
    </row>
    <row r="497" spans="1:8" x14ac:dyDescent="0.2">
      <c r="A497" s="27"/>
      <c r="B497" s="29"/>
      <c r="C497" s="6"/>
      <c r="D497" s="29"/>
      <c r="E497" s="6"/>
      <c r="F497" s="6"/>
      <c r="G497" s="30"/>
      <c r="H497" s="31"/>
    </row>
    <row r="498" spans="1:8" x14ac:dyDescent="0.2">
      <c r="A498" s="22"/>
      <c r="B498" s="24"/>
      <c r="C498" s="3"/>
      <c r="D498" s="24"/>
      <c r="E498" s="3"/>
      <c r="F498" s="3"/>
      <c r="G498" s="25"/>
      <c r="H498" s="26"/>
    </row>
    <row r="499" spans="1:8" x14ac:dyDescent="0.2">
      <c r="A499" s="27"/>
      <c r="B499" s="29"/>
      <c r="C499" s="6"/>
      <c r="D499" s="29"/>
      <c r="E499" s="6"/>
      <c r="F499" s="6"/>
      <c r="G499" s="30"/>
      <c r="H499" s="31"/>
    </row>
    <row r="500" spans="1:8" x14ac:dyDescent="0.2">
      <c r="A500" s="22"/>
      <c r="B500" s="24"/>
      <c r="C500" s="3"/>
      <c r="D500" s="24"/>
      <c r="E500" s="3"/>
      <c r="F500" s="3"/>
      <c r="G500" s="25"/>
      <c r="H500" s="26"/>
    </row>
    <row r="501" spans="1:8" x14ac:dyDescent="0.2">
      <c r="A501" s="27"/>
      <c r="B501" s="29"/>
      <c r="C501" s="6"/>
      <c r="D501" s="29"/>
      <c r="E501" s="6"/>
      <c r="F501" s="6"/>
      <c r="G501" s="30"/>
      <c r="H501" s="31"/>
    </row>
    <row r="502" spans="1:8" x14ac:dyDescent="0.2">
      <c r="A502" s="22"/>
      <c r="B502" s="24"/>
      <c r="C502" s="3"/>
      <c r="D502" s="24"/>
      <c r="E502" s="3"/>
      <c r="F502" s="3"/>
      <c r="G502" s="25"/>
      <c r="H502" s="26"/>
    </row>
    <row r="503" spans="1:8" x14ac:dyDescent="0.2">
      <c r="A503" s="27"/>
      <c r="B503" s="29"/>
      <c r="C503" s="6"/>
      <c r="D503" s="29"/>
      <c r="E503" s="6"/>
      <c r="F503" s="6"/>
      <c r="G503" s="30"/>
      <c r="H503" s="31"/>
    </row>
    <row r="504" spans="1:8" x14ac:dyDescent="0.2">
      <c r="A504" s="22"/>
      <c r="B504" s="24"/>
      <c r="C504" s="3"/>
      <c r="D504" s="24"/>
      <c r="E504" s="3"/>
      <c r="F504" s="3"/>
      <c r="G504" s="25"/>
      <c r="H504" s="26"/>
    </row>
    <row r="505" spans="1:8" x14ac:dyDescent="0.2">
      <c r="A505" s="27"/>
      <c r="B505" s="29"/>
      <c r="C505" s="6"/>
      <c r="D505" s="29"/>
      <c r="E505" s="6"/>
      <c r="F505" s="6"/>
      <c r="G505" s="30"/>
      <c r="H505" s="31"/>
    </row>
    <row r="506" spans="1:8" x14ac:dyDescent="0.2">
      <c r="A506" s="22"/>
      <c r="B506" s="24"/>
      <c r="C506" s="3"/>
      <c r="D506" s="24"/>
      <c r="E506" s="3"/>
      <c r="F506" s="3"/>
      <c r="G506" s="25"/>
      <c r="H506" s="26"/>
    </row>
    <row r="507" spans="1:8" x14ac:dyDescent="0.2">
      <c r="A507" s="27"/>
      <c r="B507" s="29"/>
      <c r="C507" s="6"/>
      <c r="D507" s="29"/>
      <c r="E507" s="6"/>
      <c r="F507" s="6"/>
      <c r="G507" s="30"/>
      <c r="H507" s="31"/>
    </row>
    <row r="508" spans="1:8" x14ac:dyDescent="0.2">
      <c r="A508" s="22"/>
      <c r="B508" s="24"/>
      <c r="C508" s="3"/>
      <c r="D508" s="24"/>
      <c r="E508" s="3"/>
      <c r="F508" s="3"/>
      <c r="G508" s="25"/>
      <c r="H508" s="26"/>
    </row>
    <row r="509" spans="1:8" x14ac:dyDescent="0.2">
      <c r="A509" s="27"/>
      <c r="B509" s="29"/>
      <c r="C509" s="6"/>
      <c r="D509" s="29"/>
      <c r="E509" s="6"/>
      <c r="F509" s="6"/>
      <c r="G509" s="30"/>
      <c r="H509" s="31"/>
    </row>
    <row r="510" spans="1:8" x14ac:dyDescent="0.2">
      <c r="A510" s="22"/>
      <c r="B510" s="24"/>
      <c r="C510" s="3"/>
      <c r="D510" s="24"/>
      <c r="E510" s="3"/>
      <c r="F510" s="3"/>
      <c r="G510" s="25"/>
      <c r="H510" s="26"/>
    </row>
    <row r="511" spans="1:8" x14ac:dyDescent="0.2">
      <c r="A511" s="27"/>
      <c r="B511" s="29"/>
      <c r="C511" s="6"/>
      <c r="D511" s="29"/>
      <c r="E511" s="6"/>
      <c r="F511" s="6"/>
      <c r="G511" s="30"/>
      <c r="H511" s="31"/>
    </row>
    <row r="512" spans="1:8" x14ac:dyDescent="0.2">
      <c r="A512" s="22"/>
      <c r="B512" s="24"/>
      <c r="C512" s="3"/>
      <c r="D512" s="24"/>
      <c r="E512" s="3"/>
      <c r="F512" s="3"/>
      <c r="G512" s="25"/>
      <c r="H512" s="26"/>
    </row>
    <row r="513" spans="1:8" x14ac:dyDescent="0.2">
      <c r="A513" s="27"/>
      <c r="B513" s="29"/>
      <c r="C513" s="6"/>
      <c r="D513" s="29"/>
      <c r="E513" s="6"/>
      <c r="F513" s="6"/>
      <c r="G513" s="30"/>
      <c r="H513" s="31"/>
    </row>
    <row r="514" spans="1:8" x14ac:dyDescent="0.2">
      <c r="A514" s="22"/>
      <c r="B514" s="24"/>
      <c r="C514" s="3"/>
      <c r="D514" s="24"/>
      <c r="E514" s="3"/>
      <c r="F514" s="3"/>
      <c r="G514" s="25"/>
      <c r="H514" s="26"/>
    </row>
    <row r="515" spans="1:8" x14ac:dyDescent="0.2">
      <c r="A515" s="27"/>
      <c r="B515" s="29"/>
      <c r="C515" s="6"/>
      <c r="D515" s="29"/>
      <c r="E515" s="6"/>
      <c r="F515" s="6"/>
      <c r="G515" s="30"/>
      <c r="H515" s="31"/>
    </row>
    <row r="516" spans="1:8" x14ac:dyDescent="0.2">
      <c r="A516" s="22"/>
      <c r="B516" s="24"/>
      <c r="C516" s="3"/>
      <c r="D516" s="24"/>
      <c r="E516" s="3"/>
      <c r="F516" s="3"/>
      <c r="G516" s="25"/>
      <c r="H516" s="26"/>
    </row>
    <row r="517" spans="1:8" x14ac:dyDescent="0.2">
      <c r="A517" s="27"/>
      <c r="B517" s="29"/>
      <c r="C517" s="6"/>
      <c r="D517" s="29"/>
      <c r="E517" s="6"/>
      <c r="F517" s="6"/>
      <c r="G517" s="30"/>
      <c r="H517" s="31"/>
    </row>
    <row r="518" spans="1:8" x14ac:dyDescent="0.2">
      <c r="A518" s="22"/>
      <c r="B518" s="24"/>
      <c r="C518" s="3"/>
      <c r="D518" s="24"/>
      <c r="E518" s="3"/>
      <c r="F518" s="3"/>
      <c r="G518" s="25"/>
      <c r="H518" s="26"/>
    </row>
    <row r="519" spans="1:8" x14ac:dyDescent="0.2">
      <c r="A519" s="27"/>
      <c r="B519" s="29"/>
      <c r="C519" s="6"/>
      <c r="D519" s="29"/>
      <c r="E519" s="6"/>
      <c r="F519" s="6"/>
      <c r="G519" s="30"/>
      <c r="H519" s="31"/>
    </row>
    <row r="520" spans="1:8" x14ac:dyDescent="0.2">
      <c r="A520" s="22"/>
      <c r="B520" s="24"/>
      <c r="C520" s="3"/>
      <c r="D520" s="24"/>
      <c r="E520" s="3"/>
      <c r="F520" s="3"/>
      <c r="G520" s="25"/>
      <c r="H520" s="26"/>
    </row>
    <row r="521" spans="1:8" x14ac:dyDescent="0.2">
      <c r="A521" s="27"/>
      <c r="B521" s="29"/>
      <c r="C521" s="6"/>
      <c r="D521" s="29"/>
      <c r="E521" s="6"/>
      <c r="F521" s="6"/>
      <c r="G521" s="30"/>
      <c r="H521" s="31"/>
    </row>
    <row r="522" spans="1:8" x14ac:dyDescent="0.2">
      <c r="A522" s="22"/>
      <c r="B522" s="24"/>
      <c r="C522" s="3"/>
      <c r="D522" s="24"/>
      <c r="E522" s="3"/>
      <c r="F522" s="3"/>
      <c r="G522" s="25"/>
      <c r="H522" s="26"/>
    </row>
    <row r="523" spans="1:8" x14ac:dyDescent="0.2">
      <c r="A523" s="27"/>
      <c r="B523" s="29"/>
      <c r="C523" s="6"/>
      <c r="D523" s="29"/>
      <c r="E523" s="6"/>
      <c r="F523" s="6"/>
      <c r="G523" s="30"/>
      <c r="H523" s="31"/>
    </row>
    <row r="524" spans="1:8" x14ac:dyDescent="0.2">
      <c r="A524" s="22"/>
      <c r="B524" s="24"/>
      <c r="C524" s="3"/>
      <c r="D524" s="24"/>
      <c r="E524" s="3"/>
      <c r="F524" s="3"/>
      <c r="G524" s="25"/>
      <c r="H524" s="26"/>
    </row>
    <row r="525" spans="1:8" x14ac:dyDescent="0.2">
      <c r="A525" s="27"/>
      <c r="B525" s="29"/>
      <c r="C525" s="6"/>
      <c r="D525" s="29"/>
      <c r="E525" s="6"/>
      <c r="F525" s="6"/>
      <c r="G525" s="30"/>
      <c r="H525" s="31"/>
    </row>
    <row r="526" spans="1:8" x14ac:dyDescent="0.2">
      <c r="A526" s="22"/>
      <c r="B526" s="24"/>
      <c r="C526" s="3"/>
      <c r="D526" s="24"/>
      <c r="E526" s="3"/>
      <c r="F526" s="3"/>
      <c r="G526" s="25"/>
      <c r="H526" s="26"/>
    </row>
    <row r="527" spans="1:8" x14ac:dyDescent="0.2">
      <c r="A527" s="27"/>
      <c r="B527" s="29"/>
      <c r="C527" s="6"/>
      <c r="D527" s="29"/>
      <c r="E527" s="6"/>
      <c r="F527" s="6"/>
      <c r="G527" s="30"/>
      <c r="H527" s="31"/>
    </row>
    <row r="528" spans="1:8" x14ac:dyDescent="0.2">
      <c r="A528" s="22"/>
      <c r="B528" s="24"/>
      <c r="C528" s="3"/>
      <c r="D528" s="24"/>
      <c r="E528" s="3"/>
      <c r="F528" s="3"/>
      <c r="G528" s="25"/>
      <c r="H528" s="26"/>
    </row>
    <row r="529" spans="1:8" x14ac:dyDescent="0.2">
      <c r="A529" s="27"/>
      <c r="B529" s="29"/>
      <c r="C529" s="6"/>
      <c r="D529" s="29"/>
      <c r="E529" s="6"/>
      <c r="F529" s="6"/>
      <c r="G529" s="30"/>
      <c r="H529" s="31"/>
    </row>
    <row r="530" spans="1:8" x14ac:dyDescent="0.2">
      <c r="A530" s="22"/>
      <c r="B530" s="24"/>
      <c r="C530" s="3"/>
      <c r="D530" s="24"/>
      <c r="E530" s="3"/>
      <c r="F530" s="3"/>
      <c r="G530" s="25"/>
      <c r="H530" s="26"/>
    </row>
    <row r="531" spans="1:8" x14ac:dyDescent="0.2">
      <c r="A531" s="27"/>
      <c r="B531" s="29"/>
      <c r="C531" s="6"/>
      <c r="D531" s="29"/>
      <c r="E531" s="6"/>
      <c r="F531" s="6"/>
      <c r="G531" s="30"/>
      <c r="H531" s="31"/>
    </row>
    <row r="532" spans="1:8" x14ac:dyDescent="0.2">
      <c r="A532" s="22"/>
      <c r="B532" s="24"/>
      <c r="C532" s="3"/>
      <c r="D532" s="24"/>
      <c r="E532" s="3"/>
      <c r="F532" s="3"/>
      <c r="G532" s="25"/>
      <c r="H532" s="26"/>
    </row>
    <row r="533" spans="1:8" x14ac:dyDescent="0.2">
      <c r="A533" s="27"/>
      <c r="B533" s="29"/>
      <c r="C533" s="6"/>
      <c r="D533" s="29"/>
      <c r="E533" s="6"/>
      <c r="F533" s="6"/>
      <c r="G533" s="30"/>
      <c r="H533" s="31"/>
    </row>
    <row r="534" spans="1:8" x14ac:dyDescent="0.2">
      <c r="A534" s="22"/>
      <c r="B534" s="24"/>
      <c r="C534" s="3"/>
      <c r="D534" s="24"/>
      <c r="E534" s="3"/>
      <c r="F534" s="3"/>
      <c r="G534" s="25"/>
      <c r="H534" s="26"/>
    </row>
    <row r="535" spans="1:8" x14ac:dyDescent="0.2">
      <c r="A535" s="27"/>
      <c r="B535" s="29"/>
      <c r="C535" s="6"/>
      <c r="D535" s="29"/>
      <c r="E535" s="6"/>
      <c r="F535" s="6"/>
      <c r="G535" s="30"/>
      <c r="H535" s="31"/>
    </row>
    <row r="536" spans="1:8" x14ac:dyDescent="0.2">
      <c r="A536" s="22"/>
      <c r="B536" s="24"/>
      <c r="C536" s="3"/>
      <c r="D536" s="24"/>
      <c r="E536" s="3"/>
      <c r="F536" s="3"/>
      <c r="G536" s="25"/>
      <c r="H536" s="26"/>
    </row>
    <row r="537" spans="1:8" x14ac:dyDescent="0.2">
      <c r="A537" s="27"/>
      <c r="B537" s="29"/>
      <c r="C537" s="6"/>
      <c r="D537" s="29"/>
      <c r="E537" s="6"/>
      <c r="F537" s="6"/>
      <c r="G537" s="30"/>
      <c r="H537" s="31"/>
    </row>
    <row r="538" spans="1:8" x14ac:dyDescent="0.2">
      <c r="A538" s="22"/>
      <c r="B538" s="24"/>
      <c r="C538" s="3"/>
      <c r="D538" s="24"/>
      <c r="E538" s="3"/>
      <c r="F538" s="3"/>
      <c r="G538" s="25"/>
      <c r="H538" s="26"/>
    </row>
    <row r="539" spans="1:8" x14ac:dyDescent="0.2">
      <c r="A539" s="27"/>
      <c r="B539" s="29"/>
      <c r="C539" s="6"/>
      <c r="D539" s="29"/>
      <c r="E539" s="6"/>
      <c r="F539" s="6"/>
      <c r="G539" s="30"/>
      <c r="H539" s="31"/>
    </row>
    <row r="540" spans="1:8" x14ac:dyDescent="0.2">
      <c r="A540" s="22"/>
      <c r="B540" s="24"/>
      <c r="C540" s="3"/>
      <c r="D540" s="24"/>
      <c r="E540" s="3"/>
      <c r="F540" s="3"/>
      <c r="G540" s="25"/>
      <c r="H540" s="26"/>
    </row>
    <row r="541" spans="1:8" x14ac:dyDescent="0.2">
      <c r="A541" s="27"/>
      <c r="B541" s="29"/>
      <c r="C541" s="6"/>
      <c r="D541" s="29"/>
      <c r="E541" s="6"/>
      <c r="F541" s="6"/>
      <c r="G541" s="30"/>
      <c r="H541" s="31"/>
    </row>
    <row r="542" spans="1:8" x14ac:dyDescent="0.2">
      <c r="A542" s="22"/>
      <c r="B542" s="24"/>
      <c r="C542" s="3"/>
      <c r="D542" s="24"/>
      <c r="E542" s="3"/>
      <c r="F542" s="3"/>
      <c r="G542" s="25"/>
      <c r="H542" s="26"/>
    </row>
    <row r="543" spans="1:8" x14ac:dyDescent="0.2">
      <c r="A543" s="27"/>
      <c r="B543" s="29"/>
      <c r="C543" s="6"/>
      <c r="D543" s="29"/>
      <c r="E543" s="6"/>
      <c r="F543" s="6"/>
      <c r="G543" s="30"/>
      <c r="H543" s="31"/>
    </row>
    <row r="544" spans="1:8" x14ac:dyDescent="0.2">
      <c r="A544" s="22"/>
      <c r="B544" s="24"/>
      <c r="C544" s="3"/>
      <c r="D544" s="24"/>
      <c r="E544" s="3"/>
      <c r="F544" s="3"/>
      <c r="G544" s="25"/>
      <c r="H544" s="26"/>
    </row>
    <row r="545" spans="1:8" x14ac:dyDescent="0.2">
      <c r="A545" s="27"/>
      <c r="B545" s="29"/>
      <c r="C545" s="6"/>
      <c r="D545" s="29"/>
      <c r="E545" s="6"/>
      <c r="F545" s="6"/>
      <c r="G545" s="30"/>
      <c r="H545" s="31"/>
    </row>
    <row r="546" spans="1:8" x14ac:dyDescent="0.2">
      <c r="A546" s="22"/>
      <c r="B546" s="24"/>
      <c r="C546" s="3"/>
      <c r="D546" s="24"/>
      <c r="E546" s="3"/>
      <c r="F546" s="3"/>
      <c r="G546" s="25"/>
      <c r="H546" s="26"/>
    </row>
    <row r="547" spans="1:8" x14ac:dyDescent="0.2">
      <c r="A547" s="27"/>
      <c r="B547" s="29"/>
      <c r="C547" s="6"/>
      <c r="D547" s="29"/>
      <c r="E547" s="6"/>
      <c r="F547" s="6"/>
      <c r="G547" s="30"/>
      <c r="H547" s="31"/>
    </row>
    <row r="548" spans="1:8" x14ac:dyDescent="0.2">
      <c r="A548" s="22"/>
      <c r="B548" s="24"/>
      <c r="C548" s="3"/>
      <c r="D548" s="24"/>
      <c r="E548" s="3"/>
      <c r="F548" s="3"/>
      <c r="G548" s="25"/>
      <c r="H548" s="26"/>
    </row>
    <row r="549" spans="1:8" x14ac:dyDescent="0.2">
      <c r="A549" s="27"/>
      <c r="B549" s="29"/>
      <c r="C549" s="6"/>
      <c r="D549" s="29"/>
      <c r="E549" s="6"/>
      <c r="F549" s="6"/>
      <c r="G549" s="30"/>
      <c r="H549" s="31"/>
    </row>
    <row r="550" spans="1:8" x14ac:dyDescent="0.2">
      <c r="A550" s="22"/>
      <c r="B550" s="24"/>
      <c r="C550" s="3"/>
      <c r="D550" s="24"/>
      <c r="E550" s="3"/>
      <c r="F550" s="3"/>
      <c r="G550" s="25"/>
      <c r="H550" s="26"/>
    </row>
    <row r="551" spans="1:8" x14ac:dyDescent="0.2">
      <c r="A551" s="27"/>
      <c r="B551" s="29"/>
      <c r="C551" s="6"/>
      <c r="D551" s="29"/>
      <c r="E551" s="6"/>
      <c r="F551" s="6"/>
      <c r="G551" s="30"/>
      <c r="H551" s="31"/>
    </row>
    <row r="552" spans="1:8" x14ac:dyDescent="0.2">
      <c r="A552" s="22"/>
      <c r="B552" s="24"/>
      <c r="C552" s="3"/>
      <c r="D552" s="24"/>
      <c r="E552" s="3"/>
      <c r="F552" s="3"/>
      <c r="G552" s="25"/>
      <c r="H552" s="26"/>
    </row>
    <row r="553" spans="1:8" x14ac:dyDescent="0.2">
      <c r="A553" s="27"/>
      <c r="B553" s="29"/>
      <c r="C553" s="6"/>
      <c r="D553" s="29"/>
      <c r="E553" s="6"/>
      <c r="F553" s="6"/>
      <c r="G553" s="30"/>
      <c r="H553" s="31"/>
    </row>
    <row r="554" spans="1:8" x14ac:dyDescent="0.2">
      <c r="A554" s="22"/>
      <c r="B554" s="24"/>
      <c r="C554" s="3"/>
      <c r="D554" s="24"/>
      <c r="E554" s="3"/>
      <c r="F554" s="3"/>
      <c r="G554" s="25"/>
      <c r="H554" s="26"/>
    </row>
    <row r="555" spans="1:8" x14ac:dyDescent="0.2">
      <c r="A555" s="27"/>
      <c r="B555" s="29"/>
      <c r="C555" s="6"/>
      <c r="D555" s="29"/>
      <c r="E555" s="6"/>
      <c r="F555" s="6"/>
      <c r="G555" s="30"/>
      <c r="H555" s="31"/>
    </row>
    <row r="556" spans="1:8" x14ac:dyDescent="0.2">
      <c r="A556" s="22"/>
      <c r="B556" s="24"/>
      <c r="C556" s="3"/>
      <c r="D556" s="24"/>
      <c r="E556" s="3"/>
      <c r="F556" s="3"/>
      <c r="G556" s="25"/>
      <c r="H556" s="26"/>
    </row>
    <row r="557" spans="1:8" x14ac:dyDescent="0.2">
      <c r="A557" s="27"/>
      <c r="B557" s="29"/>
      <c r="C557" s="6"/>
      <c r="D557" s="29"/>
      <c r="E557" s="6"/>
      <c r="F557" s="6"/>
      <c r="G557" s="30"/>
      <c r="H557" s="31"/>
    </row>
    <row r="558" spans="1:8" x14ac:dyDescent="0.2">
      <c r="A558" s="22"/>
      <c r="B558" s="24"/>
      <c r="C558" s="3"/>
      <c r="D558" s="24"/>
      <c r="E558" s="3"/>
      <c r="F558" s="3"/>
      <c r="G558" s="25"/>
      <c r="H558" s="26"/>
    </row>
    <row r="559" spans="1:8" x14ac:dyDescent="0.2">
      <c r="A559" s="27"/>
      <c r="B559" s="29"/>
      <c r="C559" s="6"/>
      <c r="D559" s="29"/>
      <c r="E559" s="6"/>
      <c r="F559" s="6"/>
      <c r="G559" s="30"/>
      <c r="H559" s="31"/>
    </row>
    <row r="560" spans="1:8" x14ac:dyDescent="0.2">
      <c r="A560" s="22"/>
      <c r="B560" s="24"/>
      <c r="C560" s="3"/>
      <c r="D560" s="24"/>
      <c r="E560" s="3"/>
      <c r="F560" s="3"/>
      <c r="G560" s="25"/>
      <c r="H560" s="26"/>
    </row>
    <row r="561" spans="1:8" x14ac:dyDescent="0.2">
      <c r="A561" s="27"/>
      <c r="B561" s="29"/>
      <c r="C561" s="6"/>
      <c r="D561" s="29"/>
      <c r="E561" s="6"/>
      <c r="F561" s="6"/>
      <c r="G561" s="30"/>
      <c r="H561" s="31"/>
    </row>
    <row r="562" spans="1:8" x14ac:dyDescent="0.2">
      <c r="A562" s="22"/>
      <c r="B562" s="24"/>
      <c r="C562" s="3"/>
      <c r="D562" s="24"/>
      <c r="E562" s="3"/>
      <c r="F562" s="3"/>
      <c r="G562" s="25"/>
      <c r="H562" s="26"/>
    </row>
    <row r="563" spans="1:8" x14ac:dyDescent="0.2">
      <c r="A563" s="27"/>
      <c r="B563" s="29"/>
      <c r="C563" s="6"/>
      <c r="D563" s="29"/>
      <c r="E563" s="6"/>
      <c r="F563" s="6"/>
      <c r="G563" s="30"/>
      <c r="H563" s="31"/>
    </row>
    <row r="564" spans="1:8" x14ac:dyDescent="0.2">
      <c r="A564" s="22"/>
      <c r="B564" s="24"/>
      <c r="C564" s="3"/>
      <c r="D564" s="24"/>
      <c r="E564" s="3"/>
      <c r="F564" s="3"/>
      <c r="G564" s="25"/>
      <c r="H564" s="26"/>
    </row>
    <row r="565" spans="1:8" x14ac:dyDescent="0.2">
      <c r="A565" s="27"/>
      <c r="B565" s="29"/>
      <c r="C565" s="6"/>
      <c r="D565" s="29"/>
      <c r="E565" s="6"/>
      <c r="F565" s="6"/>
      <c r="G565" s="30"/>
      <c r="H565" s="31"/>
    </row>
    <row r="566" spans="1:8" x14ac:dyDescent="0.2">
      <c r="A566" s="22"/>
      <c r="B566" s="24"/>
      <c r="C566" s="3"/>
      <c r="D566" s="24"/>
      <c r="E566" s="3"/>
      <c r="F566" s="3"/>
      <c r="G566" s="25"/>
      <c r="H566" s="26"/>
    </row>
    <row r="567" spans="1:8" x14ac:dyDescent="0.2">
      <c r="A567" s="27"/>
      <c r="B567" s="29"/>
      <c r="C567" s="6"/>
      <c r="D567" s="29"/>
      <c r="E567" s="6"/>
      <c r="F567" s="6"/>
      <c r="G567" s="30"/>
      <c r="H567" s="31"/>
    </row>
    <row r="568" spans="1:8" x14ac:dyDescent="0.2">
      <c r="A568" s="22"/>
      <c r="B568" s="24"/>
      <c r="C568" s="3"/>
      <c r="D568" s="24"/>
      <c r="E568" s="3"/>
      <c r="F568" s="3"/>
      <c r="G568" s="25"/>
      <c r="H568" s="26"/>
    </row>
    <row r="569" spans="1:8" x14ac:dyDescent="0.2">
      <c r="A569" s="27"/>
      <c r="B569" s="29"/>
      <c r="C569" s="6"/>
      <c r="D569" s="29"/>
      <c r="E569" s="6"/>
      <c r="F569" s="6"/>
      <c r="G569" s="30"/>
      <c r="H569" s="31"/>
    </row>
    <row r="570" spans="1:8" x14ac:dyDescent="0.2">
      <c r="A570" s="22"/>
      <c r="B570" s="24"/>
      <c r="C570" s="3"/>
      <c r="D570" s="24"/>
      <c r="E570" s="3"/>
      <c r="F570" s="3"/>
      <c r="G570" s="25"/>
      <c r="H570" s="26"/>
    </row>
    <row r="571" spans="1:8" x14ac:dyDescent="0.2">
      <c r="A571" s="27"/>
      <c r="B571" s="29"/>
      <c r="C571" s="6"/>
      <c r="D571" s="29"/>
      <c r="E571" s="6"/>
      <c r="F571" s="6"/>
      <c r="G571" s="30"/>
      <c r="H571" s="31"/>
    </row>
    <row r="572" spans="1:8" x14ac:dyDescent="0.2">
      <c r="A572" s="22"/>
      <c r="B572" s="24"/>
      <c r="C572" s="3"/>
      <c r="D572" s="24"/>
      <c r="E572" s="3"/>
      <c r="F572" s="3"/>
      <c r="G572" s="25"/>
      <c r="H572" s="26"/>
    </row>
    <row r="573" spans="1:8" x14ac:dyDescent="0.2">
      <c r="A573" s="27"/>
      <c r="B573" s="29"/>
      <c r="C573" s="6"/>
      <c r="D573" s="29"/>
      <c r="E573" s="6"/>
      <c r="F573" s="6"/>
      <c r="G573" s="30"/>
      <c r="H573" s="31"/>
    </row>
    <row r="574" spans="1:8" x14ac:dyDescent="0.2">
      <c r="A574" s="22"/>
      <c r="B574" s="24"/>
      <c r="C574" s="3"/>
      <c r="D574" s="24"/>
      <c r="E574" s="3"/>
      <c r="F574" s="3"/>
      <c r="G574" s="25"/>
      <c r="H574" s="26"/>
    </row>
    <row r="575" spans="1:8" x14ac:dyDescent="0.2">
      <c r="A575" s="27"/>
      <c r="B575" s="29"/>
      <c r="C575" s="6"/>
      <c r="D575" s="29"/>
      <c r="E575" s="6"/>
      <c r="F575" s="6"/>
      <c r="G575" s="30"/>
      <c r="H575" s="31"/>
    </row>
    <row r="576" spans="1:8" x14ac:dyDescent="0.2">
      <c r="A576" s="22"/>
      <c r="B576" s="24"/>
      <c r="C576" s="3"/>
      <c r="D576" s="24"/>
      <c r="E576" s="3"/>
      <c r="F576" s="3"/>
      <c r="G576" s="25"/>
      <c r="H576" s="26"/>
    </row>
    <row r="577" spans="1:8" x14ac:dyDescent="0.2">
      <c r="A577" s="27"/>
      <c r="B577" s="29"/>
      <c r="C577" s="6"/>
      <c r="D577" s="29"/>
      <c r="E577" s="6"/>
      <c r="F577" s="6"/>
      <c r="G577" s="30"/>
      <c r="H577" s="31"/>
    </row>
    <row r="578" spans="1:8" x14ac:dyDescent="0.2">
      <c r="A578" s="22"/>
      <c r="B578" s="24"/>
      <c r="C578" s="3"/>
      <c r="D578" s="24"/>
      <c r="E578" s="3"/>
      <c r="F578" s="3"/>
      <c r="G578" s="25"/>
      <c r="H578" s="26"/>
    </row>
    <row r="579" spans="1:8" x14ac:dyDescent="0.2">
      <c r="A579" s="27"/>
      <c r="B579" s="29"/>
      <c r="C579" s="6"/>
      <c r="D579" s="29"/>
      <c r="E579" s="6"/>
      <c r="F579" s="6"/>
      <c r="G579" s="30"/>
      <c r="H579" s="31"/>
    </row>
    <row r="580" spans="1:8" x14ac:dyDescent="0.2">
      <c r="A580" s="22"/>
      <c r="B580" s="24"/>
      <c r="C580" s="3"/>
      <c r="D580" s="24"/>
      <c r="E580" s="3"/>
      <c r="F580" s="3"/>
      <c r="G580" s="25"/>
      <c r="H580" s="26"/>
    </row>
    <row r="581" spans="1:8" x14ac:dyDescent="0.2">
      <c r="A581" s="27"/>
      <c r="B581" s="29"/>
      <c r="C581" s="6"/>
      <c r="D581" s="29"/>
      <c r="E581" s="6"/>
      <c r="F581" s="6"/>
      <c r="G581" s="30"/>
      <c r="H581" s="31"/>
    </row>
    <row r="582" spans="1:8" x14ac:dyDescent="0.2">
      <c r="A582" s="22"/>
      <c r="B582" s="24"/>
      <c r="C582" s="3"/>
      <c r="D582" s="24"/>
      <c r="E582" s="3"/>
      <c r="F582" s="3"/>
      <c r="G582" s="25"/>
      <c r="H582" s="26"/>
    </row>
    <row r="583" spans="1:8" x14ac:dyDescent="0.2">
      <c r="A583" s="27"/>
      <c r="B583" s="29"/>
      <c r="C583" s="6"/>
      <c r="D583" s="29"/>
      <c r="E583" s="6"/>
      <c r="F583" s="6"/>
      <c r="G583" s="30"/>
      <c r="H583" s="31"/>
    </row>
    <row r="584" spans="1:8" x14ac:dyDescent="0.2">
      <c r="A584" s="22"/>
      <c r="B584" s="24"/>
      <c r="C584" s="3"/>
      <c r="D584" s="24"/>
      <c r="E584" s="3"/>
      <c r="F584" s="3"/>
      <c r="G584" s="25"/>
      <c r="H584" s="26"/>
    </row>
    <row r="585" spans="1:8" x14ac:dyDescent="0.2">
      <c r="A585" s="27"/>
      <c r="B585" s="29"/>
      <c r="C585" s="6"/>
      <c r="D585" s="29"/>
      <c r="E585" s="6"/>
      <c r="F585" s="6"/>
      <c r="G585" s="30"/>
      <c r="H585" s="31"/>
    </row>
    <row r="586" spans="1:8" x14ac:dyDescent="0.2">
      <c r="A586" s="22"/>
      <c r="B586" s="24"/>
      <c r="C586" s="3"/>
      <c r="D586" s="24"/>
      <c r="E586" s="3"/>
      <c r="F586" s="3"/>
      <c r="G586" s="25"/>
      <c r="H586" s="26"/>
    </row>
    <row r="587" spans="1:8" x14ac:dyDescent="0.2">
      <c r="A587" s="27"/>
      <c r="B587" s="29"/>
      <c r="C587" s="6"/>
      <c r="D587" s="29"/>
      <c r="E587" s="6"/>
      <c r="F587" s="6"/>
      <c r="G587" s="30"/>
      <c r="H587" s="31"/>
    </row>
    <row r="588" spans="1:8" x14ac:dyDescent="0.2">
      <c r="A588" s="22"/>
      <c r="B588" s="24"/>
      <c r="C588" s="3"/>
      <c r="D588" s="24"/>
      <c r="E588" s="3"/>
      <c r="F588" s="3"/>
      <c r="G588" s="25"/>
      <c r="H588" s="26"/>
    </row>
    <row r="589" spans="1:8" x14ac:dyDescent="0.2">
      <c r="A589" s="27"/>
      <c r="B589" s="29"/>
      <c r="C589" s="6"/>
      <c r="D589" s="29"/>
      <c r="E589" s="6"/>
      <c r="F589" s="6"/>
      <c r="G589" s="30"/>
      <c r="H589" s="31"/>
    </row>
    <row r="590" spans="1:8" x14ac:dyDescent="0.2">
      <c r="A590" s="22"/>
      <c r="B590" s="24"/>
      <c r="C590" s="3"/>
      <c r="D590" s="24"/>
      <c r="E590" s="3"/>
      <c r="F590" s="3"/>
      <c r="G590" s="25"/>
      <c r="H590" s="26"/>
    </row>
    <row r="591" spans="1:8" x14ac:dyDescent="0.2">
      <c r="A591" s="27"/>
      <c r="B591" s="29"/>
      <c r="C591" s="6"/>
      <c r="D591" s="29"/>
      <c r="E591" s="6"/>
      <c r="F591" s="6"/>
      <c r="G591" s="30"/>
      <c r="H591" s="31"/>
    </row>
    <row r="592" spans="1:8" x14ac:dyDescent="0.2">
      <c r="A592" s="22"/>
      <c r="B592" s="24"/>
      <c r="C592" s="3"/>
      <c r="D592" s="24"/>
      <c r="E592" s="3"/>
      <c r="F592" s="3"/>
      <c r="G592" s="25"/>
      <c r="H592" s="26"/>
    </row>
    <row r="593" spans="1:8" x14ac:dyDescent="0.2">
      <c r="A593" s="27"/>
      <c r="B593" s="29"/>
      <c r="C593" s="6"/>
      <c r="D593" s="29"/>
      <c r="E593" s="6"/>
      <c r="F593" s="6"/>
      <c r="G593" s="30"/>
      <c r="H593" s="31"/>
    </row>
    <row r="594" spans="1:8" x14ac:dyDescent="0.2">
      <c r="A594" s="22"/>
      <c r="B594" s="24"/>
      <c r="C594" s="3"/>
      <c r="D594" s="24"/>
      <c r="E594" s="3"/>
      <c r="F594" s="3"/>
      <c r="G594" s="25"/>
      <c r="H594" s="26"/>
    </row>
    <row r="595" spans="1:8" x14ac:dyDescent="0.2">
      <c r="A595" s="27"/>
      <c r="B595" s="29"/>
      <c r="C595" s="6"/>
      <c r="D595" s="29"/>
      <c r="E595" s="6"/>
      <c r="F595" s="6"/>
      <c r="G595" s="30"/>
      <c r="H595" s="31"/>
    </row>
    <row r="596" spans="1:8" x14ac:dyDescent="0.2">
      <c r="A596" s="22"/>
      <c r="B596" s="24"/>
      <c r="C596" s="3"/>
      <c r="D596" s="24"/>
      <c r="E596" s="3"/>
      <c r="F596" s="3"/>
      <c r="G596" s="25"/>
      <c r="H596" s="26"/>
    </row>
    <row r="597" spans="1:8" x14ac:dyDescent="0.2">
      <c r="A597" s="27"/>
      <c r="B597" s="29"/>
      <c r="C597" s="6"/>
      <c r="D597" s="29"/>
      <c r="E597" s="6"/>
      <c r="F597" s="6"/>
      <c r="G597" s="30"/>
      <c r="H597" s="31"/>
    </row>
    <row r="598" spans="1:8" x14ac:dyDescent="0.2">
      <c r="A598" s="22"/>
      <c r="B598" s="24"/>
      <c r="C598" s="3"/>
      <c r="D598" s="24"/>
      <c r="E598" s="3"/>
      <c r="F598" s="3"/>
      <c r="G598" s="25"/>
      <c r="H598" s="26"/>
    </row>
    <row r="599" spans="1:8" x14ac:dyDescent="0.2">
      <c r="A599" s="27"/>
      <c r="B599" s="29"/>
      <c r="C599" s="6"/>
      <c r="D599" s="29"/>
      <c r="E599" s="6"/>
      <c r="F599" s="6"/>
      <c r="G599" s="30"/>
      <c r="H599" s="31"/>
    </row>
    <row r="600" spans="1:8" x14ac:dyDescent="0.2">
      <c r="A600" s="22"/>
      <c r="B600" s="24"/>
      <c r="C600" s="3"/>
      <c r="D600" s="24"/>
      <c r="E600" s="3"/>
      <c r="F600" s="3"/>
      <c r="G600" s="25"/>
      <c r="H600" s="26"/>
    </row>
    <row r="601" spans="1:8" x14ac:dyDescent="0.2">
      <c r="A601" s="27"/>
      <c r="B601" s="29"/>
      <c r="C601" s="6"/>
      <c r="D601" s="29"/>
      <c r="E601" s="6"/>
      <c r="F601" s="6"/>
      <c r="G601" s="30"/>
      <c r="H601" s="31"/>
    </row>
    <row r="602" spans="1:8" x14ac:dyDescent="0.2">
      <c r="A602" s="22"/>
      <c r="B602" s="24"/>
      <c r="C602" s="3"/>
      <c r="D602" s="24"/>
      <c r="E602" s="3"/>
      <c r="F602" s="3"/>
      <c r="G602" s="25"/>
      <c r="H602" s="26"/>
    </row>
    <row r="603" spans="1:8" x14ac:dyDescent="0.2">
      <c r="A603" s="27"/>
      <c r="B603" s="29"/>
      <c r="C603" s="6"/>
      <c r="D603" s="29"/>
      <c r="E603" s="6"/>
      <c r="F603" s="6"/>
      <c r="G603" s="30"/>
      <c r="H603" s="31"/>
    </row>
    <row r="604" spans="1:8" x14ac:dyDescent="0.2">
      <c r="A604" s="22"/>
      <c r="B604" s="24"/>
      <c r="C604" s="3"/>
      <c r="D604" s="24"/>
      <c r="E604" s="3"/>
      <c r="F604" s="3"/>
      <c r="G604" s="25"/>
      <c r="H604" s="26"/>
    </row>
    <row r="605" spans="1:8" x14ac:dyDescent="0.2">
      <c r="A605" s="27"/>
      <c r="B605" s="29"/>
      <c r="C605" s="6"/>
      <c r="D605" s="29"/>
      <c r="E605" s="6"/>
      <c r="F605" s="6"/>
      <c r="G605" s="30"/>
      <c r="H605" s="31"/>
    </row>
    <row r="606" spans="1:8" x14ac:dyDescent="0.2">
      <c r="A606" s="22"/>
      <c r="B606" s="24"/>
      <c r="C606" s="3"/>
      <c r="D606" s="24"/>
      <c r="E606" s="3"/>
      <c r="F606" s="3"/>
      <c r="G606" s="25"/>
      <c r="H606" s="26"/>
    </row>
    <row r="607" spans="1:8" x14ac:dyDescent="0.2">
      <c r="A607" s="27"/>
      <c r="B607" s="29"/>
      <c r="C607" s="6"/>
      <c r="D607" s="29"/>
      <c r="E607" s="6"/>
      <c r="F607" s="6"/>
      <c r="G607" s="30"/>
      <c r="H607" s="31"/>
    </row>
    <row r="608" spans="1:8" x14ac:dyDescent="0.2">
      <c r="A608" s="22"/>
      <c r="B608" s="24"/>
      <c r="C608" s="3"/>
      <c r="D608" s="24"/>
      <c r="E608" s="3"/>
      <c r="F608" s="3"/>
      <c r="G608" s="25"/>
      <c r="H608" s="26"/>
    </row>
    <row r="609" spans="1:8" x14ac:dyDescent="0.2">
      <c r="A609" s="27"/>
      <c r="B609" s="29"/>
      <c r="C609" s="6"/>
      <c r="D609" s="29"/>
      <c r="E609" s="6"/>
      <c r="F609" s="6"/>
      <c r="G609" s="30"/>
      <c r="H609" s="31"/>
    </row>
    <row r="610" spans="1:8" x14ac:dyDescent="0.2">
      <c r="A610" s="22"/>
      <c r="B610" s="24"/>
      <c r="C610" s="3"/>
      <c r="D610" s="24"/>
      <c r="E610" s="3"/>
      <c r="F610" s="3"/>
      <c r="G610" s="25"/>
      <c r="H610" s="26"/>
    </row>
    <row r="611" spans="1:8" x14ac:dyDescent="0.2">
      <c r="A611" s="27"/>
      <c r="B611" s="29"/>
      <c r="C611" s="6"/>
      <c r="D611" s="29"/>
      <c r="E611" s="6"/>
      <c r="F611" s="6"/>
      <c r="G611" s="30"/>
      <c r="H611" s="31"/>
    </row>
    <row r="612" spans="1:8" x14ac:dyDescent="0.2">
      <c r="A612" s="22"/>
      <c r="B612" s="24"/>
      <c r="C612" s="3"/>
      <c r="D612" s="24"/>
      <c r="E612" s="3"/>
      <c r="F612" s="3"/>
      <c r="G612" s="25"/>
      <c r="H612" s="26"/>
    </row>
    <row r="613" spans="1:8" x14ac:dyDescent="0.2">
      <c r="A613" s="27"/>
      <c r="B613" s="29"/>
      <c r="C613" s="6"/>
      <c r="D613" s="29"/>
      <c r="E613" s="6"/>
      <c r="F613" s="6"/>
      <c r="G613" s="30"/>
      <c r="H613" s="31"/>
    </row>
    <row r="614" spans="1:8" x14ac:dyDescent="0.2">
      <c r="A614" s="22"/>
      <c r="B614" s="24"/>
      <c r="C614" s="3"/>
      <c r="D614" s="24"/>
      <c r="E614" s="3"/>
      <c r="F614" s="3"/>
      <c r="G614" s="25"/>
      <c r="H614" s="26"/>
    </row>
    <row r="615" spans="1:8" x14ac:dyDescent="0.2">
      <c r="A615" s="27"/>
      <c r="B615" s="29"/>
      <c r="C615" s="6"/>
      <c r="D615" s="29"/>
      <c r="E615" s="6"/>
      <c r="F615" s="6"/>
      <c r="G615" s="30"/>
      <c r="H615" s="31"/>
    </row>
    <row r="616" spans="1:8" x14ac:dyDescent="0.2">
      <c r="A616" s="22"/>
      <c r="B616" s="24"/>
      <c r="C616" s="3"/>
      <c r="D616" s="24"/>
      <c r="E616" s="3"/>
      <c r="F616" s="3"/>
      <c r="G616" s="25"/>
      <c r="H616" s="26"/>
    </row>
    <row r="617" spans="1:8" x14ac:dyDescent="0.2">
      <c r="A617" s="27"/>
      <c r="B617" s="29"/>
      <c r="C617" s="6"/>
      <c r="D617" s="29"/>
      <c r="E617" s="6"/>
      <c r="F617" s="6"/>
      <c r="G617" s="30"/>
      <c r="H617" s="31"/>
    </row>
    <row r="618" spans="1:8" x14ac:dyDescent="0.2">
      <c r="A618" s="22"/>
      <c r="B618" s="24"/>
      <c r="C618" s="3"/>
      <c r="D618" s="24"/>
      <c r="E618" s="3"/>
      <c r="F618" s="3"/>
      <c r="G618" s="25"/>
      <c r="H618" s="26"/>
    </row>
    <row r="619" spans="1:8" x14ac:dyDescent="0.2">
      <c r="A619" s="27"/>
      <c r="B619" s="29"/>
      <c r="C619" s="6"/>
      <c r="D619" s="29"/>
      <c r="E619" s="6"/>
      <c r="F619" s="6"/>
      <c r="G619" s="30"/>
      <c r="H619" s="31"/>
    </row>
    <row r="620" spans="1:8" x14ac:dyDescent="0.2">
      <c r="A620" s="22"/>
      <c r="B620" s="24"/>
      <c r="C620" s="3"/>
      <c r="D620" s="24"/>
      <c r="E620" s="3"/>
      <c r="F620" s="3"/>
      <c r="G620" s="25"/>
      <c r="H620" s="26"/>
    </row>
    <row r="621" spans="1:8" x14ac:dyDescent="0.2">
      <c r="A621" s="27"/>
      <c r="B621" s="29"/>
      <c r="C621" s="6"/>
      <c r="D621" s="29"/>
      <c r="E621" s="6"/>
      <c r="F621" s="6"/>
      <c r="G621" s="30"/>
      <c r="H621" s="31"/>
    </row>
    <row r="622" spans="1:8" x14ac:dyDescent="0.2">
      <c r="A622" s="22"/>
      <c r="B622" s="24"/>
      <c r="C622" s="3"/>
      <c r="D622" s="24"/>
      <c r="E622" s="3"/>
      <c r="F622" s="3"/>
      <c r="G622" s="25"/>
      <c r="H622" s="26"/>
    </row>
    <row r="623" spans="1:8" x14ac:dyDescent="0.2">
      <c r="A623" s="27"/>
      <c r="B623" s="29"/>
      <c r="C623" s="6"/>
      <c r="D623" s="29"/>
      <c r="E623" s="6"/>
      <c r="F623" s="6"/>
      <c r="G623" s="30"/>
      <c r="H623" s="31"/>
    </row>
    <row r="624" spans="1:8" x14ac:dyDescent="0.2">
      <c r="A624" s="22"/>
      <c r="B624" s="24"/>
      <c r="C624" s="3"/>
      <c r="D624" s="24"/>
      <c r="E624" s="3"/>
      <c r="F624" s="3"/>
      <c r="G624" s="25"/>
      <c r="H624" s="26"/>
    </row>
    <row r="625" spans="1:8" x14ac:dyDescent="0.2">
      <c r="A625" s="27"/>
      <c r="B625" s="29"/>
      <c r="C625" s="6"/>
      <c r="D625" s="29"/>
      <c r="E625" s="6"/>
      <c r="F625" s="6"/>
      <c r="G625" s="30"/>
      <c r="H625" s="31"/>
    </row>
    <row r="626" spans="1:8" x14ac:dyDescent="0.2">
      <c r="A626" s="22"/>
      <c r="B626" s="24"/>
      <c r="C626" s="3"/>
      <c r="D626" s="24"/>
      <c r="E626" s="3"/>
      <c r="F626" s="3"/>
      <c r="G626" s="25"/>
      <c r="H626" s="26"/>
    </row>
    <row r="627" spans="1:8" x14ac:dyDescent="0.2">
      <c r="A627" s="27"/>
      <c r="B627" s="29"/>
      <c r="C627" s="6"/>
      <c r="D627" s="29"/>
      <c r="E627" s="6"/>
      <c r="F627" s="6"/>
      <c r="G627" s="30"/>
      <c r="H627" s="31"/>
    </row>
    <row r="628" spans="1:8" x14ac:dyDescent="0.2">
      <c r="A628" s="22"/>
      <c r="B628" s="24"/>
      <c r="C628" s="3"/>
      <c r="D628" s="24"/>
      <c r="E628" s="3"/>
      <c r="F628" s="3"/>
      <c r="G628" s="25"/>
      <c r="H628" s="26"/>
    </row>
    <row r="629" spans="1:8" x14ac:dyDescent="0.2">
      <c r="A629" s="27"/>
      <c r="B629" s="29"/>
      <c r="C629" s="6"/>
      <c r="D629" s="29"/>
      <c r="E629" s="6"/>
      <c r="F629" s="6"/>
      <c r="G629" s="30"/>
      <c r="H629" s="31"/>
    </row>
    <row r="630" spans="1:8" x14ac:dyDescent="0.2">
      <c r="A630" s="22"/>
      <c r="B630" s="24"/>
      <c r="C630" s="3"/>
      <c r="D630" s="24"/>
      <c r="E630" s="3"/>
      <c r="F630" s="3"/>
      <c r="G630" s="25"/>
      <c r="H630" s="26"/>
    </row>
    <row r="631" spans="1:8" x14ac:dyDescent="0.2">
      <c r="A631" s="27"/>
      <c r="B631" s="29"/>
      <c r="C631" s="6"/>
      <c r="D631" s="29"/>
      <c r="E631" s="6"/>
      <c r="F631" s="6"/>
      <c r="G631" s="30"/>
      <c r="H631" s="31"/>
    </row>
    <row r="632" spans="1:8" x14ac:dyDescent="0.2">
      <c r="A632" s="22"/>
      <c r="B632" s="24"/>
      <c r="C632" s="3"/>
      <c r="D632" s="24"/>
      <c r="E632" s="3"/>
      <c r="F632" s="3"/>
      <c r="G632" s="25"/>
      <c r="H632" s="26"/>
    </row>
    <row r="633" spans="1:8" x14ac:dyDescent="0.2">
      <c r="A633" s="27"/>
      <c r="B633" s="29"/>
      <c r="C633" s="6"/>
      <c r="D633" s="29"/>
      <c r="E633" s="6"/>
      <c r="F633" s="6"/>
      <c r="G633" s="30"/>
      <c r="H633" s="31"/>
    </row>
    <row r="634" spans="1:8" x14ac:dyDescent="0.2">
      <c r="A634" s="22"/>
      <c r="B634" s="24"/>
      <c r="C634" s="3"/>
      <c r="D634" s="24"/>
      <c r="E634" s="3"/>
      <c r="F634" s="3"/>
      <c r="G634" s="25"/>
      <c r="H634" s="26"/>
    </row>
    <row r="635" spans="1:8" x14ac:dyDescent="0.2">
      <c r="A635" s="27"/>
      <c r="B635" s="29"/>
      <c r="C635" s="6"/>
      <c r="D635" s="29"/>
      <c r="E635" s="6"/>
      <c r="F635" s="6"/>
      <c r="G635" s="30"/>
      <c r="H635" s="31"/>
    </row>
    <row r="636" spans="1:8" x14ac:dyDescent="0.2">
      <c r="A636" s="22"/>
      <c r="B636" s="24"/>
      <c r="C636" s="3"/>
      <c r="D636" s="24"/>
      <c r="E636" s="3"/>
      <c r="F636" s="3"/>
      <c r="G636" s="25"/>
      <c r="H636" s="26"/>
    </row>
    <row r="637" spans="1:8" x14ac:dyDescent="0.2">
      <c r="A637" s="27"/>
      <c r="B637" s="29"/>
      <c r="C637" s="6"/>
      <c r="D637" s="29"/>
      <c r="E637" s="6"/>
      <c r="F637" s="6"/>
      <c r="G637" s="30"/>
      <c r="H637" s="31"/>
    </row>
    <row r="638" spans="1:8" x14ac:dyDescent="0.2">
      <c r="A638" s="22"/>
      <c r="B638" s="24"/>
      <c r="C638" s="3"/>
      <c r="D638" s="24"/>
      <c r="E638" s="3"/>
      <c r="F638" s="3"/>
      <c r="G638" s="25"/>
      <c r="H638" s="26"/>
    </row>
    <row r="639" spans="1:8" x14ac:dyDescent="0.2">
      <c r="A639" s="27"/>
      <c r="B639" s="29"/>
      <c r="C639" s="6"/>
      <c r="D639" s="29"/>
      <c r="E639" s="6"/>
      <c r="F639" s="6"/>
      <c r="G639" s="30"/>
      <c r="H639" s="31"/>
    </row>
    <row r="640" spans="1:8" x14ac:dyDescent="0.2">
      <c r="A640" s="22"/>
      <c r="B640" s="24"/>
      <c r="C640" s="3"/>
      <c r="D640" s="24"/>
      <c r="E640" s="3"/>
      <c r="F640" s="3"/>
      <c r="G640" s="25"/>
      <c r="H640" s="26"/>
    </row>
    <row r="641" spans="1:8" x14ac:dyDescent="0.2">
      <c r="A641" s="27"/>
      <c r="B641" s="29"/>
      <c r="C641" s="6"/>
      <c r="D641" s="29"/>
      <c r="E641" s="6"/>
      <c r="F641" s="6"/>
      <c r="G641" s="30"/>
      <c r="H641" s="31"/>
    </row>
    <row r="642" spans="1:8" x14ac:dyDescent="0.2">
      <c r="A642" s="22"/>
      <c r="B642" s="24"/>
      <c r="C642" s="3"/>
      <c r="D642" s="24"/>
      <c r="E642" s="3"/>
      <c r="F642" s="3"/>
      <c r="G642" s="25"/>
      <c r="H642" s="26"/>
    </row>
    <row r="643" spans="1:8" x14ac:dyDescent="0.2">
      <c r="A643" s="27"/>
      <c r="B643" s="29"/>
      <c r="C643" s="6"/>
      <c r="D643" s="29"/>
      <c r="E643" s="6"/>
      <c r="F643" s="6"/>
      <c r="G643" s="30"/>
      <c r="H643" s="31"/>
    </row>
    <row r="644" spans="1:8" x14ac:dyDescent="0.2">
      <c r="A644" s="22"/>
      <c r="B644" s="24"/>
      <c r="C644" s="3"/>
      <c r="D644" s="24"/>
      <c r="E644" s="3"/>
      <c r="F644" s="3"/>
      <c r="G644" s="25"/>
      <c r="H644" s="26"/>
    </row>
    <row r="645" spans="1:8" x14ac:dyDescent="0.2">
      <c r="A645" s="27"/>
      <c r="B645" s="29"/>
      <c r="C645" s="6"/>
      <c r="D645" s="29"/>
      <c r="E645" s="6"/>
      <c r="F645" s="6"/>
      <c r="G645" s="30"/>
      <c r="H645" s="31"/>
    </row>
    <row r="646" spans="1:8" x14ac:dyDescent="0.2">
      <c r="A646" s="22"/>
      <c r="B646" s="24"/>
      <c r="C646" s="3"/>
      <c r="D646" s="24"/>
      <c r="E646" s="3"/>
      <c r="F646" s="3"/>
      <c r="G646" s="25"/>
      <c r="H646" s="26"/>
    </row>
    <row r="647" spans="1:8" x14ac:dyDescent="0.2">
      <c r="A647" s="27"/>
      <c r="B647" s="29"/>
      <c r="C647" s="6"/>
      <c r="D647" s="29"/>
      <c r="E647" s="6"/>
      <c r="F647" s="6"/>
      <c r="G647" s="30"/>
      <c r="H647" s="31"/>
    </row>
    <row r="648" spans="1:8" x14ac:dyDescent="0.2">
      <c r="A648" s="22"/>
      <c r="B648" s="24"/>
      <c r="C648" s="3"/>
      <c r="D648" s="24"/>
      <c r="E648" s="3"/>
      <c r="F648" s="3"/>
      <c r="G648" s="25"/>
      <c r="H648" s="26"/>
    </row>
    <row r="649" spans="1:8" x14ac:dyDescent="0.2">
      <c r="A649" s="27"/>
      <c r="B649" s="29"/>
      <c r="C649" s="6"/>
      <c r="D649" s="29"/>
      <c r="E649" s="6"/>
      <c r="F649" s="6"/>
      <c r="G649" s="30"/>
      <c r="H649" s="31"/>
    </row>
    <row r="650" spans="1:8" x14ac:dyDescent="0.2">
      <c r="A650" s="22"/>
      <c r="B650" s="24"/>
      <c r="C650" s="3"/>
      <c r="D650" s="24"/>
      <c r="E650" s="3"/>
      <c r="F650" s="3"/>
      <c r="G650" s="25"/>
      <c r="H650" s="26"/>
    </row>
    <row r="651" spans="1:8" x14ac:dyDescent="0.2">
      <c r="A651" s="27"/>
      <c r="B651" s="29"/>
      <c r="C651" s="6"/>
      <c r="D651" s="29"/>
      <c r="E651" s="6"/>
      <c r="F651" s="6"/>
      <c r="G651" s="30"/>
      <c r="H651" s="31"/>
    </row>
    <row r="652" spans="1:8" x14ac:dyDescent="0.2">
      <c r="A652" s="22"/>
      <c r="B652" s="24"/>
      <c r="C652" s="3"/>
      <c r="D652" s="24"/>
      <c r="E652" s="3"/>
      <c r="F652" s="3"/>
      <c r="G652" s="25"/>
      <c r="H652" s="26"/>
    </row>
    <row r="653" spans="1:8" x14ac:dyDescent="0.2">
      <c r="A653" s="27"/>
      <c r="B653" s="29"/>
      <c r="C653" s="6"/>
      <c r="D653" s="29"/>
      <c r="E653" s="6"/>
      <c r="F653" s="6"/>
      <c r="G653" s="30"/>
      <c r="H653" s="31"/>
    </row>
    <row r="654" spans="1:8" x14ac:dyDescent="0.2">
      <c r="A654" s="22"/>
      <c r="B654" s="24"/>
      <c r="C654" s="3"/>
      <c r="D654" s="24"/>
      <c r="E654" s="3"/>
      <c r="F654" s="3"/>
      <c r="G654" s="25"/>
      <c r="H654" s="26"/>
    </row>
    <row r="655" spans="1:8" x14ac:dyDescent="0.2">
      <c r="A655" s="27"/>
      <c r="B655" s="29"/>
      <c r="C655" s="6"/>
      <c r="D655" s="29"/>
      <c r="E655" s="6"/>
      <c r="F655" s="6"/>
      <c r="G655" s="30"/>
      <c r="H655" s="31"/>
    </row>
    <row r="656" spans="1:8" x14ac:dyDescent="0.2">
      <c r="A656" s="22"/>
      <c r="B656" s="24"/>
      <c r="C656" s="3"/>
      <c r="D656" s="24"/>
      <c r="E656" s="3"/>
      <c r="F656" s="3"/>
      <c r="G656" s="25"/>
      <c r="H656" s="26"/>
    </row>
    <row r="657" spans="1:8" x14ac:dyDescent="0.2">
      <c r="A657" s="27"/>
      <c r="B657" s="29"/>
      <c r="C657" s="6"/>
      <c r="D657" s="29"/>
      <c r="E657" s="6"/>
      <c r="F657" s="6"/>
      <c r="G657" s="30"/>
      <c r="H657" s="31"/>
    </row>
    <row r="658" spans="1:8" x14ac:dyDescent="0.2">
      <c r="A658" s="22"/>
      <c r="B658" s="24"/>
      <c r="C658" s="3"/>
      <c r="D658" s="24"/>
      <c r="E658" s="3"/>
      <c r="F658" s="3"/>
      <c r="G658" s="25"/>
      <c r="H658" s="26"/>
    </row>
    <row r="659" spans="1:8" x14ac:dyDescent="0.2">
      <c r="A659" s="27"/>
      <c r="B659" s="29"/>
      <c r="C659" s="6"/>
      <c r="D659" s="29"/>
      <c r="E659" s="6"/>
      <c r="F659" s="6"/>
      <c r="G659" s="30"/>
      <c r="H659" s="31"/>
    </row>
    <row r="660" spans="1:8" x14ac:dyDescent="0.2">
      <c r="A660" s="22"/>
      <c r="B660" s="24"/>
      <c r="C660" s="3"/>
      <c r="D660" s="24"/>
      <c r="E660" s="3"/>
      <c r="F660" s="3"/>
      <c r="G660" s="25"/>
      <c r="H660" s="26"/>
    </row>
    <row r="661" spans="1:8" x14ac:dyDescent="0.2">
      <c r="A661" s="27"/>
      <c r="B661" s="29"/>
      <c r="C661" s="6"/>
      <c r="D661" s="29"/>
      <c r="E661" s="6"/>
      <c r="F661" s="6"/>
      <c r="G661" s="30"/>
      <c r="H661" s="31"/>
    </row>
    <row r="662" spans="1:8" x14ac:dyDescent="0.2">
      <c r="A662" s="22"/>
      <c r="B662" s="24"/>
      <c r="C662" s="3"/>
      <c r="D662" s="24"/>
      <c r="E662" s="3"/>
      <c r="F662" s="3"/>
      <c r="G662" s="25"/>
      <c r="H662" s="26"/>
    </row>
    <row r="663" spans="1:8" x14ac:dyDescent="0.2">
      <c r="A663" s="27"/>
      <c r="B663" s="29"/>
      <c r="C663" s="6"/>
      <c r="D663" s="29"/>
      <c r="E663" s="6"/>
      <c r="F663" s="6"/>
      <c r="G663" s="30"/>
      <c r="H663" s="31"/>
    </row>
    <row r="664" spans="1:8" x14ac:dyDescent="0.2">
      <c r="A664" s="22"/>
      <c r="B664" s="24"/>
      <c r="C664" s="3"/>
      <c r="D664" s="24"/>
      <c r="E664" s="3"/>
      <c r="F664" s="3"/>
      <c r="G664" s="25"/>
      <c r="H664" s="26"/>
    </row>
    <row r="665" spans="1:8" x14ac:dyDescent="0.2">
      <c r="A665" s="27"/>
      <c r="B665" s="29"/>
      <c r="C665" s="6"/>
      <c r="D665" s="29"/>
      <c r="E665" s="6"/>
      <c r="F665" s="6"/>
      <c r="G665" s="30"/>
      <c r="H665" s="31"/>
    </row>
    <row r="666" spans="1:8" x14ac:dyDescent="0.2">
      <c r="A666" s="22"/>
      <c r="B666" s="24"/>
      <c r="C666" s="3"/>
      <c r="D666" s="24"/>
      <c r="E666" s="3"/>
      <c r="F666" s="3"/>
      <c r="G666" s="25"/>
      <c r="H666" s="26"/>
    </row>
    <row r="667" spans="1:8" x14ac:dyDescent="0.2">
      <c r="A667" s="27"/>
      <c r="B667" s="29"/>
      <c r="C667" s="6"/>
      <c r="D667" s="29"/>
      <c r="E667" s="6"/>
      <c r="F667" s="6"/>
      <c r="G667" s="30"/>
      <c r="H667" s="31"/>
    </row>
    <row r="668" spans="1:8" x14ac:dyDescent="0.2">
      <c r="A668" s="22"/>
      <c r="B668" s="24"/>
      <c r="C668" s="3"/>
      <c r="D668" s="24"/>
      <c r="E668" s="3"/>
      <c r="F668" s="3"/>
      <c r="G668" s="25"/>
      <c r="H668" s="26"/>
    </row>
    <row r="669" spans="1:8" x14ac:dyDescent="0.2">
      <c r="A669" s="27"/>
      <c r="B669" s="29"/>
      <c r="C669" s="6"/>
      <c r="D669" s="29"/>
      <c r="E669" s="6"/>
      <c r="F669" s="6"/>
      <c r="G669" s="30"/>
      <c r="H669" s="31"/>
    </row>
    <row r="670" spans="1:8" x14ac:dyDescent="0.2">
      <c r="A670" s="22"/>
      <c r="B670" s="24"/>
      <c r="C670" s="3"/>
      <c r="D670" s="24"/>
      <c r="E670" s="3"/>
      <c r="F670" s="3"/>
      <c r="G670" s="25"/>
      <c r="H670" s="26"/>
    </row>
    <row r="671" spans="1:8" x14ac:dyDescent="0.2">
      <c r="A671" s="27"/>
      <c r="B671" s="29"/>
      <c r="C671" s="6"/>
      <c r="D671" s="29"/>
      <c r="E671" s="6"/>
      <c r="F671" s="6"/>
      <c r="G671" s="30"/>
      <c r="H671" s="31"/>
    </row>
    <row r="672" spans="1:8" x14ac:dyDescent="0.2">
      <c r="A672" s="22"/>
      <c r="B672" s="24"/>
      <c r="C672" s="3"/>
      <c r="D672" s="24"/>
      <c r="E672" s="3"/>
      <c r="F672" s="3"/>
      <c r="G672" s="25"/>
      <c r="H672" s="26"/>
    </row>
    <row r="673" spans="1:8" x14ac:dyDescent="0.2">
      <c r="A673" s="27"/>
      <c r="B673" s="29"/>
      <c r="C673" s="6"/>
      <c r="D673" s="29"/>
      <c r="E673" s="6"/>
      <c r="F673" s="6"/>
      <c r="G673" s="30"/>
      <c r="H673" s="31"/>
    </row>
    <row r="674" spans="1:8" x14ac:dyDescent="0.2">
      <c r="A674" s="22"/>
      <c r="B674" s="24"/>
      <c r="C674" s="3"/>
      <c r="D674" s="24"/>
      <c r="E674" s="3"/>
      <c r="F674" s="3"/>
      <c r="G674" s="25"/>
      <c r="H674" s="26"/>
    </row>
    <row r="675" spans="1:8" x14ac:dyDescent="0.2">
      <c r="A675" s="27"/>
      <c r="B675" s="29"/>
      <c r="C675" s="6"/>
      <c r="D675" s="29"/>
      <c r="E675" s="6"/>
      <c r="F675" s="6"/>
      <c r="G675" s="30"/>
      <c r="H675" s="31"/>
    </row>
    <row r="676" spans="1:8" x14ac:dyDescent="0.2">
      <c r="A676" s="22"/>
      <c r="B676" s="24"/>
      <c r="C676" s="3"/>
      <c r="D676" s="24"/>
      <c r="E676" s="3"/>
      <c r="F676" s="3"/>
      <c r="G676" s="25"/>
      <c r="H676" s="26"/>
    </row>
    <row r="677" spans="1:8" x14ac:dyDescent="0.2">
      <c r="A677" s="27"/>
      <c r="B677" s="29"/>
      <c r="C677" s="6"/>
      <c r="D677" s="29"/>
      <c r="E677" s="6"/>
      <c r="F677" s="6"/>
      <c r="G677" s="30"/>
      <c r="H677" s="31"/>
    </row>
    <row r="678" spans="1:8" x14ac:dyDescent="0.2">
      <c r="A678" s="22"/>
      <c r="B678" s="24"/>
      <c r="C678" s="3"/>
      <c r="D678" s="24"/>
      <c r="E678" s="3"/>
      <c r="F678" s="3"/>
      <c r="G678" s="25"/>
      <c r="H678" s="26"/>
    </row>
    <row r="679" spans="1:8" x14ac:dyDescent="0.2">
      <c r="A679" s="27"/>
      <c r="B679" s="29"/>
      <c r="C679" s="6"/>
      <c r="D679" s="29"/>
      <c r="E679" s="6"/>
      <c r="F679" s="6"/>
      <c r="G679" s="30"/>
      <c r="H679" s="31"/>
    </row>
    <row r="680" spans="1:8" x14ac:dyDescent="0.2">
      <c r="A680" s="22"/>
      <c r="B680" s="24"/>
      <c r="C680" s="3"/>
      <c r="D680" s="24"/>
      <c r="E680" s="3"/>
      <c r="F680" s="3"/>
      <c r="G680" s="25"/>
      <c r="H680" s="26"/>
    </row>
    <row r="681" spans="1:8" x14ac:dyDescent="0.2">
      <c r="A681" s="27"/>
      <c r="B681" s="29"/>
      <c r="C681" s="6"/>
      <c r="D681" s="29"/>
      <c r="E681" s="6"/>
      <c r="F681" s="6"/>
      <c r="G681" s="30"/>
      <c r="H681" s="31"/>
    </row>
    <row r="682" spans="1:8" x14ac:dyDescent="0.2">
      <c r="A682" s="22"/>
      <c r="B682" s="24"/>
      <c r="C682" s="3"/>
      <c r="D682" s="24"/>
      <c r="E682" s="3"/>
      <c r="F682" s="3"/>
      <c r="G682" s="25"/>
      <c r="H682" s="26"/>
    </row>
    <row r="683" spans="1:8" x14ac:dyDescent="0.2">
      <c r="A683" s="27"/>
      <c r="B683" s="29"/>
      <c r="C683" s="6"/>
      <c r="D683" s="29"/>
      <c r="E683" s="6"/>
      <c r="F683" s="6"/>
      <c r="G683" s="30"/>
      <c r="H683" s="31"/>
    </row>
    <row r="684" spans="1:8" x14ac:dyDescent="0.2">
      <c r="A684" s="22"/>
      <c r="B684" s="24"/>
      <c r="C684" s="3"/>
      <c r="D684" s="24"/>
      <c r="E684" s="3"/>
      <c r="F684" s="3"/>
      <c r="G684" s="25"/>
      <c r="H684" s="26"/>
    </row>
    <row r="685" spans="1:8" x14ac:dyDescent="0.2">
      <c r="A685" s="27"/>
      <c r="B685" s="29"/>
      <c r="C685" s="6"/>
      <c r="D685" s="29"/>
      <c r="E685" s="6"/>
      <c r="F685" s="6"/>
      <c r="G685" s="30"/>
      <c r="H685" s="31"/>
    </row>
    <row r="686" spans="1:8" x14ac:dyDescent="0.2">
      <c r="A686" s="22"/>
      <c r="B686" s="24"/>
      <c r="C686" s="3"/>
      <c r="D686" s="24"/>
      <c r="E686" s="3"/>
      <c r="F686" s="3"/>
      <c r="G686" s="25"/>
      <c r="H686" s="26"/>
    </row>
    <row r="687" spans="1:8" x14ac:dyDescent="0.2">
      <c r="A687" s="27"/>
      <c r="B687" s="29"/>
      <c r="C687" s="6"/>
      <c r="D687" s="29"/>
      <c r="E687" s="6"/>
      <c r="F687" s="6"/>
      <c r="G687" s="30"/>
      <c r="H687" s="31"/>
    </row>
    <row r="688" spans="1:8" x14ac:dyDescent="0.2">
      <c r="A688" s="22"/>
      <c r="B688" s="24"/>
      <c r="C688" s="3"/>
      <c r="D688" s="24"/>
      <c r="E688" s="3"/>
      <c r="F688" s="3"/>
      <c r="G688" s="25"/>
      <c r="H688" s="26"/>
    </row>
    <row r="689" spans="1:8" x14ac:dyDescent="0.2">
      <c r="A689" s="27"/>
      <c r="B689" s="29"/>
      <c r="C689" s="6"/>
      <c r="D689" s="29"/>
      <c r="E689" s="6"/>
      <c r="F689" s="6"/>
      <c r="G689" s="30"/>
      <c r="H689" s="31"/>
    </row>
    <row r="690" spans="1:8" x14ac:dyDescent="0.2">
      <c r="A690" s="22"/>
      <c r="B690" s="24"/>
      <c r="C690" s="3"/>
      <c r="D690" s="24"/>
      <c r="E690" s="3"/>
      <c r="F690" s="3"/>
      <c r="G690" s="25"/>
      <c r="H690" s="26"/>
    </row>
    <row r="691" spans="1:8" x14ac:dyDescent="0.2">
      <c r="A691" s="27"/>
      <c r="B691" s="29"/>
      <c r="C691" s="6"/>
      <c r="D691" s="29"/>
      <c r="E691" s="6"/>
      <c r="F691" s="6"/>
      <c r="G691" s="30"/>
      <c r="H691" s="31"/>
    </row>
    <row r="692" spans="1:8" x14ac:dyDescent="0.2">
      <c r="A692" s="22"/>
      <c r="B692" s="24"/>
      <c r="C692" s="3"/>
      <c r="D692" s="24"/>
      <c r="E692" s="3"/>
      <c r="F692" s="3"/>
      <c r="G692" s="25"/>
      <c r="H692" s="26"/>
    </row>
    <row r="693" spans="1:8" x14ac:dyDescent="0.2">
      <c r="A693" s="27"/>
      <c r="B693" s="29"/>
      <c r="C693" s="6"/>
      <c r="D693" s="29"/>
      <c r="E693" s="6"/>
      <c r="F693" s="6"/>
      <c r="G693" s="30"/>
      <c r="H693" s="31"/>
    </row>
    <row r="694" spans="1:8" x14ac:dyDescent="0.2">
      <c r="A694" s="22"/>
      <c r="B694" s="24"/>
      <c r="C694" s="3"/>
      <c r="D694" s="24"/>
      <c r="E694" s="3"/>
      <c r="F694" s="3"/>
      <c r="G694" s="25"/>
      <c r="H694" s="26"/>
    </row>
    <row r="695" spans="1:8" x14ac:dyDescent="0.2">
      <c r="A695" s="27"/>
      <c r="B695" s="29"/>
      <c r="C695" s="6"/>
      <c r="D695" s="29"/>
      <c r="E695" s="6"/>
      <c r="F695" s="6"/>
      <c r="G695" s="30"/>
      <c r="H695" s="31"/>
    </row>
    <row r="696" spans="1:8" x14ac:dyDescent="0.2">
      <c r="A696" s="22"/>
      <c r="B696" s="24"/>
      <c r="C696" s="3"/>
      <c r="D696" s="24"/>
      <c r="E696" s="3"/>
      <c r="F696" s="3"/>
      <c r="G696" s="25"/>
      <c r="H696" s="26"/>
    </row>
    <row r="697" spans="1:8" x14ac:dyDescent="0.2">
      <c r="A697" s="27"/>
      <c r="B697" s="29"/>
      <c r="C697" s="6"/>
      <c r="D697" s="29"/>
      <c r="E697" s="6"/>
      <c r="F697" s="6"/>
      <c r="G697" s="30"/>
      <c r="H697" s="31"/>
    </row>
    <row r="698" spans="1:8" x14ac:dyDescent="0.2">
      <c r="A698" s="22"/>
      <c r="B698" s="24"/>
      <c r="C698" s="3"/>
      <c r="D698" s="24"/>
      <c r="E698" s="3"/>
      <c r="F698" s="3"/>
      <c r="G698" s="25"/>
      <c r="H698" s="26"/>
    </row>
    <row r="699" spans="1:8" x14ac:dyDescent="0.2">
      <c r="A699" s="27"/>
      <c r="B699" s="29"/>
      <c r="C699" s="6"/>
      <c r="D699" s="29"/>
      <c r="E699" s="6"/>
      <c r="F699" s="6"/>
      <c r="G699" s="30"/>
      <c r="H699" s="31"/>
    </row>
    <row r="700" spans="1:8" x14ac:dyDescent="0.2">
      <c r="A700" s="22"/>
      <c r="B700" s="24"/>
      <c r="C700" s="3"/>
      <c r="D700" s="24"/>
      <c r="E700" s="3"/>
      <c r="F700" s="3"/>
      <c r="G700" s="25"/>
      <c r="H700" s="26"/>
    </row>
    <row r="701" spans="1:8" x14ac:dyDescent="0.2">
      <c r="A701" s="27"/>
      <c r="B701" s="29"/>
      <c r="C701" s="6"/>
      <c r="D701" s="29"/>
      <c r="E701" s="6"/>
      <c r="F701" s="6"/>
      <c r="G701" s="30"/>
      <c r="H701" s="31"/>
    </row>
    <row r="702" spans="1:8" x14ac:dyDescent="0.2">
      <c r="A702" s="22"/>
      <c r="B702" s="24"/>
      <c r="C702" s="3"/>
      <c r="D702" s="24"/>
      <c r="E702" s="3"/>
      <c r="F702" s="3"/>
      <c r="G702" s="25"/>
      <c r="H702" s="26"/>
    </row>
    <row r="703" spans="1:8" x14ac:dyDescent="0.2">
      <c r="A703" s="27"/>
      <c r="B703" s="29"/>
      <c r="C703" s="6"/>
      <c r="D703" s="29"/>
      <c r="E703" s="6"/>
      <c r="F703" s="6"/>
      <c r="G703" s="30"/>
      <c r="H703" s="31"/>
    </row>
    <row r="704" spans="1:8" x14ac:dyDescent="0.2">
      <c r="A704" s="22"/>
      <c r="B704" s="24"/>
      <c r="C704" s="3"/>
      <c r="D704" s="24"/>
      <c r="E704" s="3"/>
      <c r="F704" s="3"/>
      <c r="G704" s="25"/>
      <c r="H704" s="26"/>
    </row>
    <row r="705" spans="1:8" x14ac:dyDescent="0.2">
      <c r="A705" s="27"/>
      <c r="B705" s="29"/>
      <c r="C705" s="6"/>
      <c r="D705" s="29"/>
      <c r="E705" s="6"/>
      <c r="F705" s="6"/>
      <c r="G705" s="30"/>
      <c r="H705" s="31"/>
    </row>
    <row r="706" spans="1:8" x14ac:dyDescent="0.2">
      <c r="A706" s="22"/>
      <c r="B706" s="24"/>
      <c r="C706" s="3"/>
      <c r="D706" s="24"/>
      <c r="E706" s="3"/>
      <c r="F706" s="3"/>
      <c r="G706" s="25"/>
      <c r="H706" s="26"/>
    </row>
    <row r="707" spans="1:8" x14ac:dyDescent="0.2">
      <c r="A707" s="27"/>
      <c r="B707" s="29"/>
      <c r="C707" s="6"/>
      <c r="D707" s="29"/>
      <c r="E707" s="6"/>
      <c r="F707" s="6"/>
      <c r="G707" s="30"/>
      <c r="H707" s="31"/>
    </row>
    <row r="708" spans="1:8" x14ac:dyDescent="0.2">
      <c r="A708" s="22"/>
      <c r="B708" s="24"/>
      <c r="C708" s="3"/>
      <c r="D708" s="24"/>
      <c r="E708" s="3"/>
      <c r="F708" s="3"/>
      <c r="G708" s="25"/>
      <c r="H708" s="26"/>
    </row>
    <row r="709" spans="1:8" x14ac:dyDescent="0.2">
      <c r="A709" s="27"/>
      <c r="B709" s="29"/>
      <c r="C709" s="6"/>
      <c r="D709" s="29"/>
      <c r="E709" s="6"/>
      <c r="F709" s="6"/>
      <c r="G709" s="30"/>
      <c r="H709" s="31"/>
    </row>
    <row r="710" spans="1:8" x14ac:dyDescent="0.2">
      <c r="A710" s="22"/>
      <c r="B710" s="24"/>
      <c r="C710" s="3"/>
      <c r="D710" s="24"/>
      <c r="E710" s="3"/>
      <c r="F710" s="3"/>
      <c r="G710" s="25"/>
      <c r="H710" s="26"/>
    </row>
    <row r="711" spans="1:8" x14ac:dyDescent="0.2">
      <c r="A711" s="27"/>
      <c r="B711" s="29"/>
      <c r="C711" s="6"/>
      <c r="D711" s="29"/>
      <c r="E711" s="6"/>
      <c r="F711" s="6"/>
      <c r="G711" s="30"/>
      <c r="H711" s="31"/>
    </row>
    <row r="712" spans="1:8" x14ac:dyDescent="0.2">
      <c r="A712" s="22"/>
      <c r="B712" s="24"/>
      <c r="C712" s="3"/>
      <c r="D712" s="24"/>
      <c r="E712" s="3"/>
      <c r="F712" s="3"/>
      <c r="G712" s="25"/>
      <c r="H712" s="26"/>
    </row>
    <row r="713" spans="1:8" x14ac:dyDescent="0.2">
      <c r="A713" s="27"/>
      <c r="B713" s="29"/>
      <c r="C713" s="6"/>
      <c r="D713" s="29"/>
      <c r="E713" s="6"/>
      <c r="F713" s="6"/>
      <c r="G713" s="30"/>
      <c r="H713" s="31"/>
    </row>
    <row r="714" spans="1:8" x14ac:dyDescent="0.2">
      <c r="A714" s="22"/>
      <c r="B714" s="24"/>
      <c r="C714" s="3"/>
      <c r="D714" s="24"/>
      <c r="E714" s="3"/>
      <c r="F714" s="3"/>
      <c r="G714" s="25"/>
      <c r="H714" s="26"/>
    </row>
    <row r="715" spans="1:8" x14ac:dyDescent="0.2">
      <c r="A715" s="27"/>
      <c r="B715" s="29"/>
      <c r="C715" s="6"/>
      <c r="D715" s="29"/>
      <c r="E715" s="6"/>
      <c r="F715" s="6"/>
      <c r="G715" s="30"/>
      <c r="H715" s="31"/>
    </row>
    <row r="716" spans="1:8" x14ac:dyDescent="0.2">
      <c r="A716" s="22"/>
      <c r="B716" s="24"/>
      <c r="C716" s="3"/>
      <c r="D716" s="24"/>
      <c r="E716" s="3"/>
      <c r="F716" s="3"/>
      <c r="G716" s="25"/>
      <c r="H716" s="26"/>
    </row>
    <row r="717" spans="1:8" x14ac:dyDescent="0.2">
      <c r="A717" s="27"/>
      <c r="B717" s="29"/>
      <c r="C717" s="6"/>
      <c r="D717" s="29"/>
      <c r="E717" s="6"/>
      <c r="F717" s="6"/>
      <c r="G717" s="30"/>
      <c r="H717" s="31"/>
    </row>
    <row r="718" spans="1:8" x14ac:dyDescent="0.2">
      <c r="A718" s="22"/>
      <c r="B718" s="24"/>
      <c r="C718" s="3"/>
      <c r="D718" s="24"/>
      <c r="E718" s="3"/>
      <c r="F718" s="3"/>
      <c r="G718" s="25"/>
      <c r="H718" s="26"/>
    </row>
    <row r="719" spans="1:8" x14ac:dyDescent="0.2">
      <c r="A719" s="27"/>
      <c r="B719" s="29"/>
      <c r="C719" s="6"/>
      <c r="D719" s="29"/>
      <c r="E719" s="6"/>
      <c r="F719" s="6"/>
      <c r="G719" s="30"/>
      <c r="H719" s="31"/>
    </row>
    <row r="720" spans="1:8" x14ac:dyDescent="0.2">
      <c r="A720" s="22"/>
      <c r="B720" s="24"/>
      <c r="C720" s="3"/>
      <c r="D720" s="24"/>
      <c r="E720" s="3"/>
      <c r="F720" s="3"/>
      <c r="G720" s="25"/>
      <c r="H720" s="26"/>
    </row>
    <row r="721" spans="1:8" x14ac:dyDescent="0.2">
      <c r="A721" s="27"/>
      <c r="B721" s="29"/>
      <c r="C721" s="6"/>
      <c r="D721" s="29"/>
      <c r="E721" s="6"/>
      <c r="F721" s="6"/>
      <c r="G721" s="30"/>
      <c r="H721" s="31"/>
    </row>
    <row r="722" spans="1:8" x14ac:dyDescent="0.2">
      <c r="A722" s="22"/>
      <c r="B722" s="24"/>
      <c r="C722" s="3"/>
      <c r="D722" s="24"/>
      <c r="E722" s="3"/>
      <c r="F722" s="3"/>
      <c r="G722" s="25"/>
      <c r="H722" s="26"/>
    </row>
    <row r="723" spans="1:8" x14ac:dyDescent="0.2">
      <c r="A723" s="27"/>
      <c r="B723" s="29"/>
      <c r="C723" s="6"/>
      <c r="D723" s="29"/>
      <c r="E723" s="6"/>
      <c r="F723" s="6"/>
      <c r="G723" s="30"/>
      <c r="H723" s="31"/>
    </row>
    <row r="724" spans="1:8" x14ac:dyDescent="0.2">
      <c r="A724" s="22"/>
      <c r="B724" s="24"/>
      <c r="C724" s="3"/>
      <c r="D724" s="24"/>
      <c r="E724" s="3"/>
      <c r="F724" s="3"/>
      <c r="G724" s="25"/>
      <c r="H724" s="26"/>
    </row>
    <row r="725" spans="1:8" x14ac:dyDescent="0.2">
      <c r="A725" s="27"/>
      <c r="B725" s="29"/>
      <c r="C725" s="6"/>
      <c r="D725" s="29"/>
      <c r="E725" s="6"/>
      <c r="F725" s="6"/>
      <c r="G725" s="30"/>
      <c r="H725" s="31"/>
    </row>
    <row r="726" spans="1:8" x14ac:dyDescent="0.2">
      <c r="A726" s="22"/>
      <c r="B726" s="24"/>
      <c r="C726" s="3"/>
      <c r="D726" s="24"/>
      <c r="E726" s="3"/>
      <c r="F726" s="3"/>
      <c r="G726" s="25"/>
      <c r="H726" s="26"/>
    </row>
    <row r="727" spans="1:8" x14ac:dyDescent="0.2">
      <c r="A727" s="27"/>
      <c r="B727" s="29"/>
      <c r="C727" s="6"/>
      <c r="D727" s="29"/>
      <c r="E727" s="6"/>
      <c r="F727" s="6"/>
      <c r="G727" s="30"/>
      <c r="H727" s="31"/>
    </row>
    <row r="728" spans="1:8" x14ac:dyDescent="0.2">
      <c r="A728" s="22"/>
      <c r="B728" s="24"/>
      <c r="C728" s="3"/>
      <c r="D728" s="24"/>
      <c r="E728" s="3"/>
      <c r="F728" s="3"/>
      <c r="G728" s="25"/>
      <c r="H728" s="26"/>
    </row>
    <row r="729" spans="1:8" x14ac:dyDescent="0.2">
      <c r="A729" s="27"/>
      <c r="B729" s="29"/>
      <c r="C729" s="6"/>
      <c r="D729" s="29"/>
      <c r="E729" s="6"/>
      <c r="F729" s="6"/>
      <c r="G729" s="30"/>
      <c r="H729" s="31"/>
    </row>
    <row r="730" spans="1:8" x14ac:dyDescent="0.2">
      <c r="A730" s="22"/>
      <c r="B730" s="24"/>
      <c r="C730" s="3"/>
      <c r="D730" s="24"/>
      <c r="E730" s="3"/>
      <c r="F730" s="3"/>
      <c r="G730" s="25"/>
      <c r="H730" s="26"/>
    </row>
    <row r="731" spans="1:8" x14ac:dyDescent="0.2">
      <c r="A731" s="27"/>
      <c r="B731" s="29"/>
      <c r="C731" s="6"/>
      <c r="D731" s="29"/>
      <c r="E731" s="6"/>
      <c r="F731" s="6"/>
      <c r="G731" s="30"/>
      <c r="H731" s="31"/>
    </row>
    <row r="732" spans="1:8" x14ac:dyDescent="0.2">
      <c r="A732" s="22"/>
      <c r="B732" s="24"/>
      <c r="C732" s="3"/>
      <c r="D732" s="24"/>
      <c r="E732" s="3"/>
      <c r="F732" s="3"/>
      <c r="G732" s="25"/>
      <c r="H732" s="26"/>
    </row>
    <row r="733" spans="1:8" x14ac:dyDescent="0.2">
      <c r="A733" s="27"/>
      <c r="B733" s="29"/>
      <c r="C733" s="6"/>
      <c r="D733" s="29"/>
      <c r="E733" s="6"/>
      <c r="F733" s="6"/>
      <c r="G733" s="30"/>
      <c r="H733" s="31"/>
    </row>
    <row r="734" spans="1:8" x14ac:dyDescent="0.2">
      <c r="A734" s="22"/>
      <c r="B734" s="24"/>
      <c r="C734" s="3"/>
      <c r="D734" s="24"/>
      <c r="E734" s="3"/>
      <c r="F734" s="3"/>
      <c r="G734" s="25"/>
      <c r="H734" s="26"/>
    </row>
    <row r="735" spans="1:8" x14ac:dyDescent="0.2">
      <c r="A735" s="27"/>
      <c r="B735" s="29"/>
      <c r="C735" s="6"/>
      <c r="D735" s="29"/>
      <c r="E735" s="6"/>
      <c r="F735" s="6"/>
      <c r="G735" s="30"/>
      <c r="H735" s="31"/>
    </row>
    <row r="736" spans="1:8" x14ac:dyDescent="0.2">
      <c r="A736" s="22"/>
      <c r="B736" s="24"/>
      <c r="C736" s="3"/>
      <c r="D736" s="24"/>
      <c r="E736" s="3"/>
      <c r="F736" s="3"/>
      <c r="G736" s="25"/>
      <c r="H736" s="26"/>
    </row>
    <row r="737" spans="1:8" x14ac:dyDescent="0.2">
      <c r="A737" s="27"/>
      <c r="B737" s="29"/>
      <c r="C737" s="6"/>
      <c r="D737" s="29"/>
      <c r="E737" s="6"/>
      <c r="F737" s="6"/>
      <c r="G737" s="30"/>
      <c r="H737" s="31"/>
    </row>
    <row r="738" spans="1:8" x14ac:dyDescent="0.2">
      <c r="A738" s="22"/>
      <c r="B738" s="24"/>
      <c r="C738" s="3"/>
      <c r="D738" s="24"/>
      <c r="E738" s="3"/>
      <c r="F738" s="3"/>
      <c r="G738" s="25"/>
      <c r="H738" s="26"/>
    </row>
    <row r="739" spans="1:8" x14ac:dyDescent="0.2">
      <c r="A739" s="27"/>
      <c r="B739" s="29"/>
      <c r="C739" s="6"/>
      <c r="D739" s="29"/>
      <c r="E739" s="6"/>
      <c r="F739" s="6"/>
      <c r="G739" s="30"/>
      <c r="H739" s="31"/>
    </row>
    <row r="740" spans="1:8" x14ac:dyDescent="0.2">
      <c r="A740" s="22"/>
      <c r="B740" s="24"/>
      <c r="C740" s="3"/>
      <c r="D740" s="24"/>
      <c r="E740" s="3"/>
      <c r="F740" s="3"/>
      <c r="G740" s="25"/>
      <c r="H740" s="26"/>
    </row>
    <row r="741" spans="1:8" x14ac:dyDescent="0.2">
      <c r="A741" s="27"/>
      <c r="B741" s="29"/>
      <c r="C741" s="6"/>
      <c r="D741" s="29"/>
      <c r="E741" s="6"/>
      <c r="F741" s="6"/>
      <c r="G741" s="30"/>
      <c r="H741" s="31"/>
    </row>
    <row r="742" spans="1:8" x14ac:dyDescent="0.2">
      <c r="A742" s="22"/>
      <c r="B742" s="24"/>
      <c r="C742" s="3"/>
      <c r="D742" s="24"/>
      <c r="E742" s="3"/>
      <c r="F742" s="3"/>
      <c r="G742" s="25"/>
      <c r="H742" s="26"/>
    </row>
    <row r="743" spans="1:8" x14ac:dyDescent="0.2">
      <c r="A743" s="27"/>
      <c r="B743" s="29"/>
      <c r="C743" s="6"/>
      <c r="D743" s="29"/>
      <c r="E743" s="6"/>
      <c r="F743" s="6"/>
      <c r="G743" s="30"/>
      <c r="H743" s="31"/>
    </row>
    <row r="744" spans="1:8" x14ac:dyDescent="0.2">
      <c r="A744" s="22"/>
      <c r="B744" s="24"/>
      <c r="C744" s="3"/>
      <c r="D744" s="24"/>
      <c r="E744" s="3"/>
      <c r="F744" s="3"/>
      <c r="G744" s="25"/>
      <c r="H744" s="26"/>
    </row>
    <row r="745" spans="1:8" x14ac:dyDescent="0.2">
      <c r="A745" s="27"/>
      <c r="B745" s="29"/>
      <c r="C745" s="6"/>
      <c r="D745" s="29"/>
      <c r="E745" s="6"/>
      <c r="F745" s="6"/>
      <c r="G745" s="30"/>
      <c r="H745" s="31"/>
    </row>
    <row r="746" spans="1:8" x14ac:dyDescent="0.2">
      <c r="A746" s="22"/>
      <c r="B746" s="24"/>
      <c r="C746" s="3"/>
      <c r="D746" s="24"/>
      <c r="E746" s="3"/>
      <c r="F746" s="3"/>
      <c r="G746" s="25"/>
      <c r="H746" s="26"/>
    </row>
    <row r="747" spans="1:8" x14ac:dyDescent="0.2">
      <c r="A747" s="27"/>
      <c r="B747" s="29"/>
      <c r="C747" s="6"/>
      <c r="D747" s="29"/>
      <c r="E747" s="6"/>
      <c r="F747" s="6"/>
      <c r="G747" s="30"/>
      <c r="H747" s="31"/>
    </row>
    <row r="748" spans="1:8" x14ac:dyDescent="0.2">
      <c r="A748" s="22"/>
      <c r="B748" s="24"/>
      <c r="C748" s="3"/>
      <c r="D748" s="24"/>
      <c r="E748" s="3"/>
      <c r="F748" s="3"/>
      <c r="G748" s="25"/>
      <c r="H748" s="26"/>
    </row>
    <row r="749" spans="1:8" x14ac:dyDescent="0.2">
      <c r="A749" s="27"/>
      <c r="B749" s="29"/>
      <c r="C749" s="6"/>
      <c r="D749" s="29"/>
      <c r="E749" s="6"/>
      <c r="F749" s="6"/>
      <c r="G749" s="30"/>
      <c r="H749" s="31"/>
    </row>
    <row r="750" spans="1:8" x14ac:dyDescent="0.2">
      <c r="A750" s="22"/>
      <c r="B750" s="24"/>
      <c r="C750" s="3"/>
      <c r="D750" s="24"/>
      <c r="E750" s="3"/>
      <c r="F750" s="3"/>
      <c r="G750" s="25"/>
      <c r="H750" s="26"/>
    </row>
    <row r="751" spans="1:8" x14ac:dyDescent="0.2">
      <c r="A751" s="27"/>
      <c r="B751" s="29"/>
      <c r="C751" s="6"/>
      <c r="D751" s="29"/>
      <c r="E751" s="6"/>
      <c r="F751" s="6"/>
      <c r="G751" s="30"/>
      <c r="H751" s="31"/>
    </row>
    <row r="752" spans="1:8" x14ac:dyDescent="0.2">
      <c r="A752" s="22"/>
      <c r="B752" s="24"/>
      <c r="C752" s="3"/>
      <c r="D752" s="24"/>
      <c r="E752" s="3"/>
      <c r="F752" s="3"/>
      <c r="G752" s="25"/>
      <c r="H752" s="26"/>
    </row>
    <row r="753" spans="1:8" x14ac:dyDescent="0.2">
      <c r="A753" s="27"/>
      <c r="B753" s="29"/>
      <c r="C753" s="6"/>
      <c r="D753" s="29"/>
      <c r="E753" s="6"/>
      <c r="F753" s="6"/>
      <c r="G753" s="30"/>
      <c r="H753" s="31"/>
    </row>
    <row r="754" spans="1:8" x14ac:dyDescent="0.2">
      <c r="A754" s="22"/>
      <c r="B754" s="24"/>
      <c r="C754" s="3"/>
      <c r="D754" s="24"/>
      <c r="E754" s="3"/>
      <c r="F754" s="3"/>
      <c r="G754" s="25"/>
      <c r="H754" s="26"/>
    </row>
    <row r="755" spans="1:8" x14ac:dyDescent="0.2">
      <c r="A755" s="27"/>
      <c r="B755" s="29"/>
      <c r="C755" s="6"/>
      <c r="D755" s="29"/>
      <c r="E755" s="6"/>
      <c r="F755" s="6"/>
      <c r="G755" s="30"/>
      <c r="H755" s="31"/>
    </row>
    <row r="756" spans="1:8" x14ac:dyDescent="0.2">
      <c r="A756" s="22"/>
      <c r="B756" s="24"/>
      <c r="C756" s="3"/>
      <c r="D756" s="24"/>
      <c r="E756" s="3"/>
      <c r="F756" s="3"/>
      <c r="G756" s="25"/>
      <c r="H756" s="26"/>
    </row>
    <row r="757" spans="1:8" x14ac:dyDescent="0.2">
      <c r="A757" s="27"/>
      <c r="B757" s="29"/>
      <c r="C757" s="6"/>
      <c r="D757" s="29"/>
      <c r="E757" s="6"/>
      <c r="F757" s="6"/>
      <c r="G757" s="30"/>
      <c r="H757" s="31"/>
    </row>
    <row r="758" spans="1:8" x14ac:dyDescent="0.2">
      <c r="A758" s="22"/>
      <c r="B758" s="24"/>
      <c r="C758" s="3"/>
      <c r="D758" s="24"/>
      <c r="E758" s="3"/>
      <c r="F758" s="3"/>
      <c r="G758" s="25"/>
      <c r="H758" s="26"/>
    </row>
    <row r="759" spans="1:8" x14ac:dyDescent="0.2">
      <c r="A759" s="27"/>
      <c r="B759" s="29"/>
      <c r="C759" s="6"/>
      <c r="D759" s="29"/>
      <c r="E759" s="6"/>
      <c r="F759" s="6"/>
      <c r="G759" s="30"/>
      <c r="H759" s="31"/>
    </row>
    <row r="760" spans="1:8" x14ac:dyDescent="0.2">
      <c r="A760" s="22"/>
      <c r="B760" s="24"/>
      <c r="C760" s="3"/>
      <c r="D760" s="24"/>
      <c r="E760" s="3"/>
      <c r="F760" s="3"/>
      <c r="G760" s="25"/>
      <c r="H760" s="26"/>
    </row>
    <row r="761" spans="1:8" x14ac:dyDescent="0.2">
      <c r="A761" s="27"/>
      <c r="B761" s="29"/>
      <c r="C761" s="6"/>
      <c r="D761" s="29"/>
      <c r="E761" s="6"/>
      <c r="F761" s="6"/>
      <c r="G761" s="30"/>
      <c r="H761" s="31"/>
    </row>
    <row r="762" spans="1:8" x14ac:dyDescent="0.2">
      <c r="A762" s="22"/>
      <c r="B762" s="24"/>
      <c r="C762" s="3"/>
      <c r="D762" s="24"/>
      <c r="E762" s="3"/>
      <c r="F762" s="3"/>
      <c r="G762" s="25"/>
      <c r="H762" s="26"/>
    </row>
    <row r="763" spans="1:8" x14ac:dyDescent="0.2">
      <c r="A763" s="27"/>
      <c r="B763" s="29"/>
      <c r="C763" s="6"/>
      <c r="D763" s="29"/>
      <c r="E763" s="6"/>
      <c r="F763" s="6"/>
      <c r="G763" s="30"/>
      <c r="H763" s="31"/>
    </row>
    <row r="764" spans="1:8" x14ac:dyDescent="0.2">
      <c r="A764" s="22"/>
      <c r="B764" s="24"/>
      <c r="C764" s="3"/>
      <c r="D764" s="24"/>
      <c r="E764" s="3"/>
      <c r="F764" s="3"/>
      <c r="G764" s="25"/>
      <c r="H764" s="26"/>
    </row>
    <row r="765" spans="1:8" x14ac:dyDescent="0.2">
      <c r="A765" s="27"/>
      <c r="B765" s="29"/>
      <c r="C765" s="6"/>
      <c r="D765" s="29"/>
      <c r="E765" s="6"/>
      <c r="F765" s="6"/>
      <c r="G765" s="30"/>
      <c r="H765" s="31"/>
    </row>
    <row r="766" spans="1:8" x14ac:dyDescent="0.2">
      <c r="A766" s="22"/>
      <c r="B766" s="24"/>
      <c r="C766" s="3"/>
      <c r="D766" s="24"/>
      <c r="E766" s="3"/>
      <c r="F766" s="3"/>
      <c r="G766" s="25"/>
      <c r="H766" s="26"/>
    </row>
    <row r="767" spans="1:8" x14ac:dyDescent="0.2">
      <c r="A767" s="27"/>
      <c r="B767" s="29"/>
      <c r="C767" s="6"/>
      <c r="D767" s="29"/>
      <c r="E767" s="6"/>
      <c r="F767" s="6"/>
      <c r="G767" s="30"/>
      <c r="H767" s="31"/>
    </row>
    <row r="768" spans="1:8" x14ac:dyDescent="0.2">
      <c r="A768" s="22"/>
      <c r="B768" s="24"/>
      <c r="C768" s="3"/>
      <c r="D768" s="24"/>
      <c r="E768" s="3"/>
      <c r="F768" s="3"/>
      <c r="G768" s="25"/>
      <c r="H768" s="26"/>
    </row>
    <row r="769" spans="1:8" x14ac:dyDescent="0.2">
      <c r="A769" s="27"/>
      <c r="B769" s="29"/>
      <c r="C769" s="6"/>
      <c r="D769" s="29"/>
      <c r="E769" s="6"/>
      <c r="F769" s="6"/>
      <c r="G769" s="30"/>
      <c r="H769" s="31"/>
    </row>
    <row r="770" spans="1:8" x14ac:dyDescent="0.2">
      <c r="A770" s="22"/>
      <c r="B770" s="24"/>
      <c r="C770" s="3"/>
      <c r="D770" s="24"/>
      <c r="E770" s="3"/>
      <c r="F770" s="3"/>
      <c r="G770" s="25"/>
      <c r="H770" s="26"/>
    </row>
    <row r="771" spans="1:8" x14ac:dyDescent="0.2">
      <c r="A771" s="27"/>
      <c r="B771" s="29"/>
      <c r="C771" s="6"/>
      <c r="D771" s="29"/>
      <c r="E771" s="6"/>
      <c r="F771" s="6"/>
      <c r="G771" s="30"/>
      <c r="H771" s="31"/>
    </row>
    <row r="772" spans="1:8" x14ac:dyDescent="0.2">
      <c r="A772" s="22"/>
      <c r="B772" s="24"/>
      <c r="C772" s="3"/>
      <c r="D772" s="24"/>
      <c r="E772" s="3"/>
      <c r="F772" s="3"/>
      <c r="G772" s="25"/>
      <c r="H772" s="26"/>
    </row>
    <row r="773" spans="1:8" x14ac:dyDescent="0.2">
      <c r="A773" s="27"/>
      <c r="B773" s="29"/>
      <c r="C773" s="6"/>
      <c r="D773" s="29"/>
      <c r="E773" s="6"/>
      <c r="F773" s="6"/>
      <c r="G773" s="30"/>
      <c r="H773" s="31"/>
    </row>
    <row r="774" spans="1:8" x14ac:dyDescent="0.2">
      <c r="A774" s="22"/>
      <c r="B774" s="24"/>
      <c r="C774" s="3"/>
      <c r="D774" s="24"/>
      <c r="E774" s="3"/>
      <c r="F774" s="3"/>
      <c r="G774" s="25"/>
      <c r="H774" s="26"/>
    </row>
    <row r="775" spans="1:8" x14ac:dyDescent="0.2">
      <c r="A775" s="27"/>
      <c r="B775" s="29"/>
      <c r="C775" s="6"/>
      <c r="D775" s="29"/>
      <c r="E775" s="6"/>
      <c r="F775" s="6"/>
      <c r="G775" s="30"/>
      <c r="H775" s="31"/>
    </row>
    <row r="776" spans="1:8" x14ac:dyDescent="0.2">
      <c r="A776" s="22"/>
      <c r="B776" s="24"/>
      <c r="C776" s="3"/>
      <c r="D776" s="24"/>
      <c r="E776" s="3"/>
      <c r="F776" s="3"/>
      <c r="G776" s="25"/>
      <c r="H776" s="26"/>
    </row>
    <row r="777" spans="1:8" x14ac:dyDescent="0.2">
      <c r="A777" s="27"/>
      <c r="B777" s="29"/>
      <c r="C777" s="6"/>
      <c r="D777" s="29"/>
      <c r="E777" s="6"/>
      <c r="F777" s="6"/>
      <c r="G777" s="30"/>
      <c r="H777" s="31"/>
    </row>
    <row r="778" spans="1:8" x14ac:dyDescent="0.2">
      <c r="A778" s="22"/>
      <c r="B778" s="24"/>
      <c r="C778" s="3"/>
      <c r="D778" s="24"/>
      <c r="E778" s="3"/>
      <c r="F778" s="3"/>
      <c r="G778" s="25"/>
      <c r="H778" s="26"/>
    </row>
    <row r="779" spans="1:8" x14ac:dyDescent="0.2">
      <c r="A779" s="27"/>
      <c r="B779" s="29"/>
      <c r="C779" s="6"/>
      <c r="D779" s="29"/>
      <c r="E779" s="6"/>
      <c r="F779" s="6"/>
      <c r="G779" s="30"/>
      <c r="H779" s="31"/>
    </row>
    <row r="780" spans="1:8" x14ac:dyDescent="0.2">
      <c r="A780" s="22"/>
      <c r="B780" s="24"/>
      <c r="C780" s="3"/>
      <c r="D780" s="24"/>
      <c r="E780" s="3"/>
      <c r="F780" s="3"/>
      <c r="G780" s="25"/>
      <c r="H780" s="26"/>
    </row>
    <row r="781" spans="1:8" x14ac:dyDescent="0.2">
      <c r="A781" s="27"/>
      <c r="B781" s="29"/>
      <c r="C781" s="6"/>
      <c r="D781" s="29"/>
      <c r="E781" s="6"/>
      <c r="F781" s="6"/>
      <c r="G781" s="30"/>
      <c r="H781" s="31"/>
    </row>
    <row r="782" spans="1:8" x14ac:dyDescent="0.2">
      <c r="A782" s="22"/>
      <c r="B782" s="24"/>
      <c r="C782" s="3"/>
      <c r="D782" s="24"/>
      <c r="E782" s="3"/>
      <c r="F782" s="3"/>
      <c r="G782" s="25"/>
      <c r="H782" s="26"/>
    </row>
    <row r="783" spans="1:8" x14ac:dyDescent="0.2">
      <c r="A783" s="27"/>
      <c r="B783" s="29"/>
      <c r="C783" s="6"/>
      <c r="D783" s="29"/>
      <c r="E783" s="6"/>
      <c r="F783" s="6"/>
      <c r="G783" s="30"/>
      <c r="H783" s="31"/>
    </row>
    <row r="784" spans="1:8" x14ac:dyDescent="0.2">
      <c r="A784" s="22"/>
      <c r="B784" s="24"/>
      <c r="C784" s="3"/>
      <c r="D784" s="24"/>
      <c r="E784" s="3"/>
      <c r="F784" s="3"/>
      <c r="G784" s="25"/>
      <c r="H784" s="26"/>
    </row>
    <row r="785" spans="1:8" x14ac:dyDescent="0.2">
      <c r="A785" s="27"/>
      <c r="B785" s="29"/>
      <c r="C785" s="6"/>
      <c r="D785" s="29"/>
      <c r="E785" s="6"/>
      <c r="F785" s="6"/>
      <c r="G785" s="30"/>
      <c r="H785" s="31"/>
    </row>
    <row r="786" spans="1:8" x14ac:dyDescent="0.2">
      <c r="A786" s="22"/>
      <c r="B786" s="24"/>
      <c r="C786" s="3"/>
      <c r="D786" s="24"/>
      <c r="E786" s="3"/>
      <c r="F786" s="3"/>
      <c r="G786" s="25"/>
      <c r="H786" s="26"/>
    </row>
    <row r="787" spans="1:8" x14ac:dyDescent="0.2">
      <c r="A787" s="27"/>
      <c r="B787" s="29"/>
      <c r="C787" s="6"/>
      <c r="D787" s="29"/>
      <c r="E787" s="6"/>
      <c r="F787" s="6"/>
      <c r="G787" s="30"/>
      <c r="H787" s="31"/>
    </row>
    <row r="788" spans="1:8" x14ac:dyDescent="0.2">
      <c r="A788" s="22"/>
      <c r="B788" s="24"/>
      <c r="C788" s="3"/>
      <c r="D788" s="24"/>
      <c r="E788" s="3"/>
      <c r="F788" s="3"/>
      <c r="G788" s="25"/>
      <c r="H788" s="26"/>
    </row>
    <row r="789" spans="1:8" x14ac:dyDescent="0.2">
      <c r="A789" s="27"/>
      <c r="B789" s="29"/>
      <c r="C789" s="6"/>
      <c r="D789" s="29"/>
      <c r="E789" s="6"/>
      <c r="F789" s="6"/>
      <c r="G789" s="30"/>
      <c r="H789" s="31"/>
    </row>
    <row r="790" spans="1:8" x14ac:dyDescent="0.2">
      <c r="A790" s="22"/>
      <c r="B790" s="24"/>
      <c r="C790" s="3"/>
      <c r="D790" s="24"/>
      <c r="E790" s="3"/>
      <c r="F790" s="3"/>
      <c r="G790" s="25"/>
      <c r="H790" s="26"/>
    </row>
    <row r="791" spans="1:8" x14ac:dyDescent="0.2">
      <c r="A791" s="27"/>
      <c r="B791" s="29"/>
      <c r="C791" s="6"/>
      <c r="D791" s="29"/>
      <c r="E791" s="6"/>
      <c r="F791" s="6"/>
      <c r="G791" s="30"/>
      <c r="H791" s="31"/>
    </row>
    <row r="792" spans="1:8" x14ac:dyDescent="0.2">
      <c r="A792" s="22"/>
      <c r="B792" s="24"/>
      <c r="C792" s="3"/>
      <c r="D792" s="24"/>
      <c r="E792" s="3"/>
      <c r="F792" s="3"/>
      <c r="G792" s="25"/>
      <c r="H792" s="26"/>
    </row>
    <row r="793" spans="1:8" x14ac:dyDescent="0.2">
      <c r="A793" s="27"/>
      <c r="B793" s="29"/>
      <c r="C793" s="6"/>
      <c r="D793" s="29"/>
      <c r="E793" s="6"/>
      <c r="F793" s="6"/>
      <c r="G793" s="30"/>
      <c r="H793" s="31"/>
    </row>
    <row r="794" spans="1:8" x14ac:dyDescent="0.2">
      <c r="A794" s="22"/>
      <c r="B794" s="24"/>
      <c r="C794" s="3"/>
      <c r="D794" s="24"/>
      <c r="E794" s="3"/>
      <c r="F794" s="3"/>
      <c r="G794" s="25"/>
      <c r="H794" s="26"/>
    </row>
    <row r="795" spans="1:8" x14ac:dyDescent="0.2">
      <c r="A795" s="27"/>
      <c r="B795" s="29"/>
      <c r="C795" s="6"/>
      <c r="D795" s="29"/>
      <c r="E795" s="6"/>
      <c r="F795" s="6"/>
      <c r="G795" s="30"/>
      <c r="H795" s="31"/>
    </row>
    <row r="796" spans="1:8" x14ac:dyDescent="0.2">
      <c r="A796" s="22"/>
      <c r="B796" s="24"/>
      <c r="C796" s="3"/>
      <c r="D796" s="24"/>
      <c r="E796" s="3"/>
      <c r="F796" s="3"/>
      <c r="G796" s="25"/>
      <c r="H796" s="26"/>
    </row>
    <row r="797" spans="1:8" x14ac:dyDescent="0.2">
      <c r="A797" s="27"/>
      <c r="B797" s="29"/>
      <c r="C797" s="6"/>
      <c r="D797" s="29"/>
      <c r="E797" s="6"/>
      <c r="F797" s="6"/>
      <c r="G797" s="30"/>
      <c r="H797" s="31"/>
    </row>
    <row r="798" spans="1:8" x14ac:dyDescent="0.2">
      <c r="A798" s="22"/>
      <c r="B798" s="24"/>
      <c r="C798" s="3"/>
      <c r="D798" s="24"/>
      <c r="E798" s="3"/>
      <c r="F798" s="3"/>
      <c r="G798" s="25"/>
      <c r="H798" s="26"/>
    </row>
    <row r="799" spans="1:8" x14ac:dyDescent="0.2">
      <c r="A799" s="27"/>
      <c r="B799" s="29"/>
      <c r="C799" s="6"/>
      <c r="D799" s="29"/>
      <c r="E799" s="6"/>
      <c r="F799" s="6"/>
      <c r="G799" s="30"/>
      <c r="H799" s="31"/>
    </row>
    <row r="800" spans="1:8" x14ac:dyDescent="0.2">
      <c r="A800" s="22"/>
      <c r="B800" s="24"/>
      <c r="C800" s="3"/>
      <c r="D800" s="24"/>
      <c r="E800" s="3"/>
      <c r="F800" s="3"/>
      <c r="G800" s="25"/>
      <c r="H800" s="26"/>
    </row>
    <row r="801" spans="1:8" x14ac:dyDescent="0.2">
      <c r="A801" s="27"/>
      <c r="B801" s="29"/>
      <c r="C801" s="6"/>
      <c r="D801" s="29"/>
      <c r="E801" s="6"/>
      <c r="F801" s="6"/>
      <c r="G801" s="30"/>
      <c r="H801" s="31"/>
    </row>
    <row r="802" spans="1:8" x14ac:dyDescent="0.2">
      <c r="A802" s="22"/>
      <c r="B802" s="24"/>
      <c r="C802" s="3"/>
      <c r="D802" s="24"/>
      <c r="E802" s="3"/>
      <c r="F802" s="3"/>
      <c r="G802" s="25"/>
      <c r="H802" s="26"/>
    </row>
    <row r="803" spans="1:8" x14ac:dyDescent="0.2">
      <c r="A803" s="27"/>
      <c r="B803" s="29"/>
      <c r="C803" s="6"/>
      <c r="D803" s="29"/>
      <c r="E803" s="6"/>
      <c r="F803" s="6"/>
      <c r="G803" s="30"/>
      <c r="H803" s="31"/>
    </row>
    <row r="804" spans="1:8" x14ac:dyDescent="0.2">
      <c r="A804" s="22"/>
      <c r="B804" s="24"/>
      <c r="C804" s="3"/>
      <c r="D804" s="24"/>
      <c r="E804" s="3"/>
      <c r="F804" s="3"/>
      <c r="G804" s="25"/>
      <c r="H804" s="26"/>
    </row>
    <row r="805" spans="1:8" x14ac:dyDescent="0.2">
      <c r="A805" s="27"/>
      <c r="B805" s="29"/>
      <c r="C805" s="6"/>
      <c r="D805" s="29"/>
      <c r="E805" s="6"/>
      <c r="F805" s="6"/>
      <c r="G805" s="30"/>
      <c r="H805" s="31"/>
    </row>
    <row r="806" spans="1:8" x14ac:dyDescent="0.2">
      <c r="A806" s="22"/>
      <c r="B806" s="24"/>
      <c r="C806" s="3"/>
      <c r="D806" s="24"/>
      <c r="E806" s="3"/>
      <c r="F806" s="3"/>
      <c r="G806" s="25"/>
      <c r="H806" s="26"/>
    </row>
    <row r="807" spans="1:8" x14ac:dyDescent="0.2">
      <c r="A807" s="27"/>
      <c r="B807" s="29"/>
      <c r="C807" s="6"/>
      <c r="D807" s="29"/>
      <c r="E807" s="6"/>
      <c r="F807" s="6"/>
      <c r="G807" s="30"/>
      <c r="H807" s="31"/>
    </row>
    <row r="808" spans="1:8" x14ac:dyDescent="0.2">
      <c r="A808" s="22"/>
      <c r="B808" s="24"/>
      <c r="C808" s="3"/>
      <c r="D808" s="24"/>
      <c r="E808" s="3"/>
      <c r="F808" s="3"/>
      <c r="G808" s="25"/>
      <c r="H808" s="26"/>
    </row>
    <row r="809" spans="1:8" x14ac:dyDescent="0.2">
      <c r="A809" s="27"/>
      <c r="B809" s="29"/>
      <c r="C809" s="6"/>
      <c r="D809" s="29"/>
      <c r="E809" s="6"/>
      <c r="F809" s="6"/>
      <c r="G809" s="30"/>
      <c r="H809" s="31"/>
    </row>
    <row r="810" spans="1:8" x14ac:dyDescent="0.2">
      <c r="A810" s="22"/>
      <c r="B810" s="24"/>
      <c r="C810" s="3"/>
      <c r="D810" s="24"/>
      <c r="E810" s="3"/>
      <c r="F810" s="3"/>
      <c r="G810" s="25"/>
      <c r="H810" s="26"/>
    </row>
    <row r="811" spans="1:8" x14ac:dyDescent="0.2">
      <c r="A811" s="27"/>
      <c r="B811" s="29"/>
      <c r="C811" s="6"/>
      <c r="D811" s="29"/>
      <c r="E811" s="6"/>
      <c r="F811" s="6"/>
      <c r="G811" s="30"/>
      <c r="H811" s="31"/>
    </row>
    <row r="812" spans="1:8" x14ac:dyDescent="0.2">
      <c r="A812" s="22"/>
      <c r="B812" s="24"/>
      <c r="C812" s="3"/>
      <c r="D812" s="24"/>
      <c r="E812" s="3"/>
      <c r="F812" s="3"/>
      <c r="G812" s="25"/>
      <c r="H812" s="26"/>
    </row>
    <row r="813" spans="1:8" x14ac:dyDescent="0.2">
      <c r="A813" s="27"/>
      <c r="B813" s="29"/>
      <c r="C813" s="6"/>
      <c r="D813" s="29"/>
      <c r="E813" s="6"/>
      <c r="F813" s="6"/>
      <c r="G813" s="30"/>
      <c r="H813" s="31"/>
    </row>
    <row r="814" spans="1:8" x14ac:dyDescent="0.2">
      <c r="A814" s="22"/>
      <c r="B814" s="24"/>
      <c r="C814" s="3"/>
      <c r="D814" s="24"/>
      <c r="E814" s="3"/>
      <c r="F814" s="3"/>
      <c r="G814" s="25"/>
      <c r="H814" s="26"/>
    </row>
    <row r="815" spans="1:8" x14ac:dyDescent="0.2">
      <c r="A815" s="27"/>
      <c r="B815" s="29"/>
      <c r="C815" s="6"/>
      <c r="D815" s="29"/>
      <c r="E815" s="6"/>
      <c r="F815" s="6"/>
      <c r="G815" s="30"/>
      <c r="H815" s="31"/>
    </row>
    <row r="816" spans="1:8" x14ac:dyDescent="0.2">
      <c r="A816" s="22"/>
      <c r="B816" s="24"/>
      <c r="C816" s="3"/>
      <c r="D816" s="24"/>
      <c r="E816" s="3"/>
      <c r="F816" s="3"/>
      <c r="G816" s="25"/>
      <c r="H816" s="26"/>
    </row>
    <row r="817" spans="1:8" x14ac:dyDescent="0.2">
      <c r="A817" s="27"/>
      <c r="B817" s="29"/>
      <c r="C817" s="6"/>
      <c r="D817" s="29"/>
      <c r="E817" s="6"/>
      <c r="F817" s="6"/>
      <c r="G817" s="30"/>
      <c r="H817" s="31"/>
    </row>
    <row r="818" spans="1:8" x14ac:dyDescent="0.2">
      <c r="A818" s="22"/>
      <c r="B818" s="24"/>
      <c r="C818" s="3"/>
      <c r="D818" s="24"/>
      <c r="E818" s="3"/>
      <c r="F818" s="3"/>
      <c r="G818" s="25"/>
      <c r="H818" s="26"/>
    </row>
    <row r="819" spans="1:8" x14ac:dyDescent="0.2">
      <c r="A819" s="27"/>
      <c r="B819" s="29"/>
      <c r="C819" s="6"/>
      <c r="D819" s="29"/>
      <c r="E819" s="6"/>
      <c r="F819" s="6"/>
      <c r="G819" s="30"/>
      <c r="H819" s="31"/>
    </row>
    <row r="820" spans="1:8" x14ac:dyDescent="0.2">
      <c r="A820" s="22"/>
      <c r="B820" s="24"/>
      <c r="C820" s="3"/>
      <c r="D820" s="24"/>
      <c r="E820" s="3"/>
      <c r="F820" s="3"/>
      <c r="G820" s="25"/>
      <c r="H820" s="26"/>
    </row>
    <row r="821" spans="1:8" x14ac:dyDescent="0.2">
      <c r="A821" s="27"/>
      <c r="B821" s="29"/>
      <c r="C821" s="6"/>
      <c r="D821" s="29"/>
      <c r="E821" s="6"/>
      <c r="F821" s="6"/>
      <c r="G821" s="30"/>
      <c r="H821" s="31"/>
    </row>
    <row r="822" spans="1:8" x14ac:dyDescent="0.2">
      <c r="A822" s="22"/>
      <c r="B822" s="24"/>
      <c r="C822" s="3"/>
      <c r="D822" s="24"/>
      <c r="E822" s="3"/>
      <c r="F822" s="3"/>
      <c r="G822" s="25"/>
      <c r="H822" s="26"/>
    </row>
    <row r="823" spans="1:8" x14ac:dyDescent="0.2">
      <c r="A823" s="27"/>
      <c r="B823" s="29"/>
      <c r="C823" s="6"/>
      <c r="D823" s="29"/>
      <c r="E823" s="6"/>
      <c r="F823" s="6"/>
      <c r="G823" s="30"/>
      <c r="H823" s="31"/>
    </row>
    <row r="824" spans="1:8" x14ac:dyDescent="0.2">
      <c r="A824" s="22"/>
      <c r="B824" s="24"/>
      <c r="C824" s="3"/>
      <c r="D824" s="24"/>
      <c r="E824" s="3"/>
      <c r="F824" s="3"/>
      <c r="G824" s="25"/>
      <c r="H824" s="26"/>
    </row>
    <row r="825" spans="1:8" x14ac:dyDescent="0.2">
      <c r="A825" s="27"/>
      <c r="B825" s="29"/>
      <c r="C825" s="6"/>
      <c r="D825" s="29"/>
      <c r="E825" s="6"/>
      <c r="F825" s="6"/>
      <c r="G825" s="30"/>
      <c r="H825" s="31"/>
    </row>
    <row r="826" spans="1:8" x14ac:dyDescent="0.2">
      <c r="A826" s="22"/>
      <c r="B826" s="24"/>
      <c r="C826" s="3"/>
      <c r="D826" s="24"/>
      <c r="E826" s="3"/>
      <c r="F826" s="3"/>
      <c r="G826" s="25"/>
      <c r="H826" s="26"/>
    </row>
    <row r="827" spans="1:8" x14ac:dyDescent="0.2">
      <c r="A827" s="27"/>
      <c r="B827" s="29"/>
      <c r="C827" s="6"/>
      <c r="D827" s="29"/>
      <c r="E827" s="6"/>
      <c r="F827" s="6"/>
      <c r="G827" s="30"/>
      <c r="H827" s="31"/>
    </row>
    <row r="828" spans="1:8" x14ac:dyDescent="0.2">
      <c r="A828" s="22"/>
      <c r="B828" s="24"/>
      <c r="C828" s="3"/>
      <c r="D828" s="24"/>
      <c r="E828" s="3"/>
      <c r="F828" s="3"/>
      <c r="G828" s="25"/>
      <c r="H828" s="26"/>
    </row>
    <row r="829" spans="1:8" x14ac:dyDescent="0.2">
      <c r="A829" s="27"/>
      <c r="B829" s="29"/>
      <c r="C829" s="6"/>
      <c r="D829" s="29"/>
      <c r="E829" s="6"/>
      <c r="F829" s="6"/>
      <c r="G829" s="30"/>
      <c r="H829" s="31"/>
    </row>
    <row r="830" spans="1:8" x14ac:dyDescent="0.2">
      <c r="A830" s="22"/>
      <c r="B830" s="24"/>
      <c r="C830" s="3"/>
      <c r="D830" s="24"/>
      <c r="E830" s="3"/>
      <c r="F830" s="3"/>
      <c r="G830" s="25"/>
      <c r="H830" s="26"/>
    </row>
    <row r="831" spans="1:8" x14ac:dyDescent="0.2">
      <c r="A831" s="27"/>
      <c r="B831" s="29"/>
      <c r="C831" s="6"/>
      <c r="D831" s="29"/>
      <c r="E831" s="6"/>
      <c r="F831" s="6"/>
      <c r="G831" s="30"/>
      <c r="H831" s="31"/>
    </row>
    <row r="832" spans="1:8" x14ac:dyDescent="0.2">
      <c r="A832" s="22"/>
      <c r="B832" s="24"/>
      <c r="C832" s="3"/>
      <c r="D832" s="24"/>
      <c r="E832" s="3"/>
      <c r="F832" s="3"/>
      <c r="G832" s="25"/>
      <c r="H832" s="26"/>
    </row>
    <row r="833" spans="1:8" x14ac:dyDescent="0.2">
      <c r="A833" s="27"/>
      <c r="B833" s="29"/>
      <c r="C833" s="6"/>
      <c r="D833" s="29"/>
      <c r="E833" s="6"/>
      <c r="F833" s="6"/>
      <c r="G833" s="30"/>
      <c r="H833" s="31"/>
    </row>
    <row r="834" spans="1:8" x14ac:dyDescent="0.2">
      <c r="A834" s="22"/>
      <c r="B834" s="24"/>
      <c r="C834" s="3"/>
      <c r="D834" s="24"/>
      <c r="E834" s="3"/>
      <c r="F834" s="3"/>
      <c r="G834" s="25"/>
      <c r="H834" s="26"/>
    </row>
    <row r="835" spans="1:8" x14ac:dyDescent="0.2">
      <c r="A835" s="27"/>
      <c r="B835" s="29"/>
      <c r="C835" s="6"/>
      <c r="D835" s="29"/>
      <c r="E835" s="6"/>
      <c r="F835" s="6"/>
      <c r="G835" s="30"/>
      <c r="H835" s="31"/>
    </row>
    <row r="836" spans="1:8" x14ac:dyDescent="0.2">
      <c r="A836" s="22"/>
      <c r="B836" s="24"/>
      <c r="C836" s="3"/>
      <c r="D836" s="24"/>
      <c r="E836" s="3"/>
      <c r="F836" s="3"/>
      <c r="G836" s="25"/>
      <c r="H836" s="26"/>
    </row>
    <row r="837" spans="1:8" x14ac:dyDescent="0.2">
      <c r="A837" s="27"/>
      <c r="B837" s="29"/>
      <c r="C837" s="6"/>
      <c r="D837" s="29"/>
      <c r="E837" s="6"/>
      <c r="F837" s="6"/>
      <c r="G837" s="30"/>
      <c r="H837" s="31"/>
    </row>
    <row r="838" spans="1:8" x14ac:dyDescent="0.2">
      <c r="A838" s="22"/>
      <c r="B838" s="24"/>
      <c r="C838" s="3"/>
      <c r="D838" s="24"/>
      <c r="E838" s="3"/>
      <c r="F838" s="3"/>
      <c r="G838" s="25"/>
      <c r="H838" s="26"/>
    </row>
    <row r="839" spans="1:8" x14ac:dyDescent="0.2">
      <c r="A839" s="27"/>
      <c r="B839" s="29"/>
      <c r="C839" s="6"/>
      <c r="D839" s="29"/>
      <c r="E839" s="6"/>
      <c r="F839" s="6"/>
      <c r="G839" s="30"/>
      <c r="H839" s="31"/>
    </row>
    <row r="840" spans="1:8" x14ac:dyDescent="0.2">
      <c r="A840" s="22"/>
      <c r="B840" s="24"/>
      <c r="C840" s="3"/>
      <c r="D840" s="24"/>
      <c r="E840" s="3"/>
      <c r="F840" s="3"/>
      <c r="G840" s="25"/>
      <c r="H840" s="26"/>
    </row>
    <row r="841" spans="1:8" x14ac:dyDescent="0.2">
      <c r="A841" s="27"/>
      <c r="B841" s="29"/>
      <c r="C841" s="6"/>
      <c r="D841" s="29"/>
      <c r="E841" s="6"/>
      <c r="F841" s="6"/>
      <c r="G841" s="30"/>
      <c r="H841" s="31"/>
    </row>
    <row r="842" spans="1:8" x14ac:dyDescent="0.2">
      <c r="A842" s="22"/>
      <c r="B842" s="24"/>
      <c r="C842" s="3"/>
      <c r="D842" s="24"/>
      <c r="E842" s="3"/>
      <c r="F842" s="3"/>
      <c r="G842" s="25"/>
      <c r="H842" s="26"/>
    </row>
    <row r="843" spans="1:8" x14ac:dyDescent="0.2">
      <c r="A843" s="27"/>
      <c r="B843" s="29"/>
      <c r="C843" s="6"/>
      <c r="D843" s="29"/>
      <c r="E843" s="6"/>
      <c r="F843" s="6"/>
      <c r="G843" s="30"/>
      <c r="H843" s="31"/>
    </row>
    <row r="844" spans="1:8" x14ac:dyDescent="0.2">
      <c r="A844" s="22"/>
      <c r="B844" s="24"/>
      <c r="C844" s="3"/>
      <c r="D844" s="24"/>
      <c r="E844" s="3"/>
      <c r="F844" s="3"/>
      <c r="G844" s="25"/>
      <c r="H844" s="26"/>
    </row>
    <row r="845" spans="1:8" x14ac:dyDescent="0.2">
      <c r="A845" s="27"/>
      <c r="B845" s="29"/>
      <c r="C845" s="6"/>
      <c r="D845" s="29"/>
      <c r="E845" s="6"/>
      <c r="F845" s="6"/>
      <c r="G845" s="30"/>
      <c r="H845" s="31"/>
    </row>
    <row r="846" spans="1:8" x14ac:dyDescent="0.2">
      <c r="A846" s="22"/>
      <c r="B846" s="24"/>
      <c r="C846" s="3"/>
      <c r="D846" s="24"/>
      <c r="E846" s="3"/>
      <c r="F846" s="3"/>
      <c r="G846" s="25"/>
      <c r="H846" s="26"/>
    </row>
    <row r="847" spans="1:8" x14ac:dyDescent="0.2">
      <c r="A847" s="27"/>
      <c r="B847" s="29"/>
      <c r="C847" s="6"/>
      <c r="D847" s="29"/>
      <c r="E847" s="6"/>
      <c r="F847" s="6"/>
      <c r="G847" s="30"/>
      <c r="H847" s="31"/>
    </row>
    <row r="848" spans="1:8" x14ac:dyDescent="0.2">
      <c r="A848" s="22"/>
      <c r="B848" s="24"/>
      <c r="C848" s="3"/>
      <c r="D848" s="24"/>
      <c r="E848" s="3"/>
      <c r="F848" s="3"/>
      <c r="G848" s="25"/>
      <c r="H848" s="26"/>
    </row>
    <row r="849" spans="1:8" x14ac:dyDescent="0.2">
      <c r="A849" s="27"/>
      <c r="B849" s="29"/>
      <c r="C849" s="6"/>
      <c r="D849" s="29"/>
      <c r="E849" s="6"/>
      <c r="F849" s="6"/>
      <c r="G849" s="30"/>
      <c r="H849" s="31"/>
    </row>
    <row r="850" spans="1:8" x14ac:dyDescent="0.2">
      <c r="A850" s="22"/>
      <c r="B850" s="24"/>
      <c r="C850" s="3"/>
      <c r="D850" s="24"/>
      <c r="E850" s="3"/>
      <c r="F850" s="3"/>
      <c r="G850" s="25"/>
      <c r="H850" s="26"/>
    </row>
    <row r="851" spans="1:8" x14ac:dyDescent="0.2">
      <c r="A851" s="27"/>
      <c r="B851" s="29"/>
      <c r="C851" s="6"/>
      <c r="D851" s="29"/>
      <c r="E851" s="6"/>
      <c r="F851" s="6"/>
      <c r="G851" s="30"/>
      <c r="H851" s="31"/>
    </row>
    <row r="852" spans="1:8" x14ac:dyDescent="0.2">
      <c r="A852" s="22"/>
      <c r="B852" s="24"/>
      <c r="C852" s="3"/>
      <c r="D852" s="24"/>
      <c r="E852" s="3"/>
      <c r="F852" s="3"/>
      <c r="G852" s="25"/>
      <c r="H852" s="26"/>
    </row>
    <row r="853" spans="1:8" x14ac:dyDescent="0.2">
      <c r="A853" s="27"/>
      <c r="B853" s="29"/>
      <c r="C853" s="6"/>
      <c r="D853" s="29"/>
      <c r="E853" s="6"/>
      <c r="F853" s="6"/>
      <c r="G853" s="30"/>
      <c r="H853" s="31"/>
    </row>
    <row r="854" spans="1:8" x14ac:dyDescent="0.2">
      <c r="A854" s="22"/>
      <c r="B854" s="24"/>
      <c r="C854" s="3"/>
      <c r="D854" s="24"/>
      <c r="E854" s="3"/>
      <c r="F854" s="3"/>
      <c r="G854" s="25"/>
      <c r="H854" s="26"/>
    </row>
    <row r="855" spans="1:8" x14ac:dyDescent="0.2">
      <c r="A855" s="27"/>
      <c r="B855" s="29"/>
      <c r="C855" s="6"/>
      <c r="D855" s="29"/>
      <c r="E855" s="6"/>
      <c r="F855" s="6"/>
      <c r="G855" s="30"/>
      <c r="H855" s="31"/>
    </row>
    <row r="856" spans="1:8" x14ac:dyDescent="0.2">
      <c r="A856" s="22"/>
      <c r="B856" s="24"/>
      <c r="C856" s="3"/>
      <c r="D856" s="24"/>
      <c r="E856" s="3"/>
      <c r="F856" s="3"/>
      <c r="G856" s="25"/>
      <c r="H856" s="26"/>
    </row>
    <row r="857" spans="1:8" x14ac:dyDescent="0.2">
      <c r="A857" s="27"/>
      <c r="B857" s="29"/>
      <c r="C857" s="6"/>
      <c r="D857" s="29"/>
      <c r="E857" s="6"/>
      <c r="F857" s="6"/>
      <c r="G857" s="30"/>
      <c r="H857" s="31"/>
    </row>
    <row r="858" spans="1:8" x14ac:dyDescent="0.2">
      <c r="A858" s="22"/>
      <c r="B858" s="24"/>
      <c r="C858" s="3"/>
      <c r="D858" s="24"/>
      <c r="E858" s="3"/>
      <c r="F858" s="3"/>
      <c r="G858" s="25"/>
      <c r="H858" s="26"/>
    </row>
    <row r="859" spans="1:8" x14ac:dyDescent="0.2">
      <c r="A859" s="27"/>
      <c r="B859" s="29"/>
      <c r="C859" s="6"/>
      <c r="D859" s="29"/>
      <c r="E859" s="6"/>
      <c r="F859" s="6"/>
      <c r="G859" s="30"/>
      <c r="H859" s="31"/>
    </row>
    <row r="860" spans="1:8" x14ac:dyDescent="0.2">
      <c r="A860" s="22"/>
      <c r="B860" s="24"/>
      <c r="C860" s="3"/>
      <c r="D860" s="24"/>
      <c r="E860" s="3"/>
      <c r="F860" s="3"/>
      <c r="G860" s="25"/>
      <c r="H860" s="26"/>
    </row>
    <row r="861" spans="1:8" x14ac:dyDescent="0.2">
      <c r="A861" s="27"/>
      <c r="B861" s="29"/>
      <c r="C861" s="6"/>
      <c r="D861" s="29"/>
      <c r="E861" s="6"/>
      <c r="F861" s="6"/>
      <c r="G861" s="30"/>
      <c r="H861" s="31"/>
    </row>
    <row r="862" spans="1:8" x14ac:dyDescent="0.2">
      <c r="A862" s="22"/>
      <c r="B862" s="24"/>
      <c r="C862" s="3"/>
      <c r="D862" s="24"/>
      <c r="E862" s="3"/>
      <c r="F862" s="3"/>
      <c r="G862" s="25"/>
      <c r="H862" s="26"/>
    </row>
    <row r="863" spans="1:8" x14ac:dyDescent="0.2">
      <c r="A863" s="27"/>
      <c r="B863" s="29"/>
      <c r="C863" s="6"/>
      <c r="D863" s="29"/>
      <c r="E863" s="6"/>
      <c r="F863" s="6"/>
      <c r="G863" s="30"/>
      <c r="H863" s="31"/>
    </row>
    <row r="864" spans="1:8" x14ac:dyDescent="0.2">
      <c r="A864" s="22"/>
      <c r="B864" s="24"/>
      <c r="C864" s="3"/>
      <c r="D864" s="24"/>
      <c r="E864" s="3"/>
      <c r="F864" s="3"/>
      <c r="G864" s="25"/>
      <c r="H864" s="26"/>
    </row>
    <row r="865" spans="1:8" x14ac:dyDescent="0.2">
      <c r="A865" s="27"/>
      <c r="B865" s="29"/>
      <c r="C865" s="6"/>
      <c r="D865" s="29"/>
      <c r="E865" s="6"/>
      <c r="F865" s="6"/>
      <c r="G865" s="30"/>
      <c r="H865" s="31"/>
    </row>
    <row r="866" spans="1:8" x14ac:dyDescent="0.2">
      <c r="A866" s="22"/>
      <c r="B866" s="24"/>
      <c r="C866" s="3"/>
      <c r="D866" s="24"/>
      <c r="E866" s="3"/>
      <c r="F866" s="3"/>
      <c r="G866" s="25"/>
      <c r="H866" s="26"/>
    </row>
    <row r="867" spans="1:8" x14ac:dyDescent="0.2">
      <c r="A867" s="27"/>
      <c r="B867" s="29"/>
      <c r="C867" s="6"/>
      <c r="D867" s="29"/>
      <c r="E867" s="6"/>
      <c r="F867" s="6"/>
      <c r="G867" s="30"/>
      <c r="H867" s="31"/>
    </row>
    <row r="868" spans="1:8" x14ac:dyDescent="0.2">
      <c r="A868" s="22"/>
      <c r="B868" s="24"/>
      <c r="C868" s="3"/>
      <c r="D868" s="24"/>
      <c r="E868" s="3"/>
      <c r="F868" s="3"/>
      <c r="G868" s="25"/>
      <c r="H868" s="26"/>
    </row>
    <row r="869" spans="1:8" x14ac:dyDescent="0.2">
      <c r="A869" s="27"/>
      <c r="B869" s="29"/>
      <c r="C869" s="6"/>
      <c r="D869" s="29"/>
      <c r="E869" s="6"/>
      <c r="F869" s="6"/>
      <c r="G869" s="30"/>
      <c r="H869" s="31"/>
    </row>
    <row r="870" spans="1:8" x14ac:dyDescent="0.2">
      <c r="A870" s="22"/>
      <c r="B870" s="24"/>
      <c r="C870" s="3"/>
      <c r="D870" s="24"/>
      <c r="E870" s="3"/>
      <c r="F870" s="3"/>
      <c r="G870" s="25"/>
      <c r="H870" s="26"/>
    </row>
    <row r="871" spans="1:8" x14ac:dyDescent="0.2">
      <c r="A871" s="27"/>
      <c r="B871" s="29"/>
      <c r="C871" s="6"/>
      <c r="D871" s="29"/>
      <c r="E871" s="6"/>
      <c r="F871" s="6"/>
      <c r="G871" s="30"/>
      <c r="H871" s="31"/>
    </row>
    <row r="872" spans="1:8" x14ac:dyDescent="0.2">
      <c r="A872" s="22"/>
      <c r="B872" s="24"/>
      <c r="C872" s="3"/>
      <c r="D872" s="24"/>
      <c r="E872" s="3"/>
      <c r="F872" s="3"/>
      <c r="G872" s="25"/>
      <c r="H872" s="26"/>
    </row>
    <row r="873" spans="1:8" x14ac:dyDescent="0.2">
      <c r="A873" s="27"/>
      <c r="B873" s="29"/>
      <c r="C873" s="6"/>
      <c r="D873" s="29"/>
      <c r="E873" s="6"/>
      <c r="F873" s="6"/>
      <c r="G873" s="30"/>
      <c r="H873" s="31"/>
    </row>
    <row r="874" spans="1:8" x14ac:dyDescent="0.2">
      <c r="A874" s="22"/>
      <c r="B874" s="24"/>
      <c r="C874" s="3"/>
      <c r="D874" s="24"/>
      <c r="E874" s="3"/>
      <c r="F874" s="3"/>
      <c r="G874" s="25"/>
      <c r="H874" s="26"/>
    </row>
    <row r="875" spans="1:8" x14ac:dyDescent="0.2">
      <c r="A875" s="27"/>
      <c r="B875" s="29"/>
      <c r="C875" s="6"/>
      <c r="D875" s="29"/>
      <c r="E875" s="6"/>
      <c r="F875" s="6"/>
      <c r="G875" s="30"/>
      <c r="H875" s="31"/>
    </row>
    <row r="876" spans="1:8" x14ac:dyDescent="0.2">
      <c r="A876" s="22"/>
      <c r="B876" s="24"/>
      <c r="C876" s="3"/>
      <c r="D876" s="24"/>
      <c r="E876" s="3"/>
      <c r="F876" s="3"/>
      <c r="G876" s="25"/>
      <c r="H876" s="26"/>
    </row>
    <row r="877" spans="1:8" x14ac:dyDescent="0.2">
      <c r="A877" s="27"/>
      <c r="B877" s="29"/>
      <c r="C877" s="6"/>
      <c r="D877" s="29"/>
      <c r="E877" s="6"/>
      <c r="F877" s="6"/>
      <c r="G877" s="30"/>
      <c r="H877" s="31"/>
    </row>
    <row r="878" spans="1:8" x14ac:dyDescent="0.2">
      <c r="A878" s="22"/>
      <c r="B878" s="24"/>
      <c r="C878" s="3"/>
      <c r="D878" s="24"/>
      <c r="E878" s="3"/>
      <c r="F878" s="3"/>
      <c r="G878" s="25"/>
      <c r="H878" s="26"/>
    </row>
    <row r="879" spans="1:8" x14ac:dyDescent="0.2">
      <c r="A879" s="27"/>
      <c r="B879" s="29"/>
      <c r="C879" s="6"/>
      <c r="D879" s="29"/>
      <c r="E879" s="6"/>
      <c r="F879" s="6"/>
      <c r="G879" s="30"/>
      <c r="H879" s="31"/>
    </row>
    <row r="880" spans="1:8" x14ac:dyDescent="0.2">
      <c r="A880" s="22"/>
      <c r="B880" s="24"/>
      <c r="C880" s="3"/>
      <c r="D880" s="24"/>
      <c r="E880" s="3"/>
      <c r="F880" s="3"/>
      <c r="G880" s="25"/>
      <c r="H880" s="26"/>
    </row>
    <row r="881" spans="1:8" x14ac:dyDescent="0.2">
      <c r="A881" s="27"/>
      <c r="B881" s="29"/>
      <c r="C881" s="6"/>
      <c r="D881" s="29"/>
      <c r="E881" s="6"/>
      <c r="F881" s="6"/>
      <c r="G881" s="30"/>
      <c r="H881" s="31"/>
    </row>
    <row r="882" spans="1:8" x14ac:dyDescent="0.2">
      <c r="A882" s="22"/>
      <c r="B882" s="24"/>
      <c r="C882" s="3"/>
      <c r="D882" s="24"/>
      <c r="E882" s="3"/>
      <c r="F882" s="3"/>
      <c r="G882" s="25"/>
      <c r="H882" s="26"/>
    </row>
    <row r="883" spans="1:8" x14ac:dyDescent="0.2">
      <c r="A883" s="27"/>
      <c r="B883" s="29"/>
      <c r="C883" s="6"/>
      <c r="D883" s="29"/>
      <c r="E883" s="6"/>
      <c r="F883" s="6"/>
      <c r="G883" s="30"/>
      <c r="H883" s="31"/>
    </row>
    <row r="884" spans="1:8" x14ac:dyDescent="0.2">
      <c r="A884" s="22"/>
      <c r="B884" s="24"/>
      <c r="C884" s="3"/>
      <c r="D884" s="24"/>
      <c r="E884" s="3"/>
      <c r="F884" s="3"/>
      <c r="G884" s="25"/>
      <c r="H884" s="26"/>
    </row>
    <row r="885" spans="1:8" x14ac:dyDescent="0.2">
      <c r="A885" s="27"/>
      <c r="B885" s="29"/>
      <c r="C885" s="6"/>
      <c r="D885" s="29"/>
      <c r="E885" s="6"/>
      <c r="F885" s="6"/>
      <c r="G885" s="30"/>
      <c r="H885" s="31"/>
    </row>
    <row r="886" spans="1:8" x14ac:dyDescent="0.2">
      <c r="A886" s="22"/>
      <c r="B886" s="24"/>
      <c r="C886" s="3"/>
      <c r="D886" s="24"/>
      <c r="E886" s="3"/>
      <c r="F886" s="3"/>
      <c r="G886" s="25"/>
      <c r="H886" s="26"/>
    </row>
    <row r="887" spans="1:8" x14ac:dyDescent="0.2">
      <c r="A887" s="27"/>
      <c r="B887" s="29"/>
      <c r="C887" s="6"/>
      <c r="D887" s="29"/>
      <c r="E887" s="6"/>
      <c r="F887" s="6"/>
      <c r="G887" s="30"/>
      <c r="H887" s="31"/>
    </row>
    <row r="888" spans="1:8" x14ac:dyDescent="0.2">
      <c r="A888" s="22"/>
      <c r="B888" s="24"/>
      <c r="C888" s="3"/>
      <c r="D888" s="24"/>
      <c r="E888" s="3"/>
      <c r="F888" s="3"/>
      <c r="G888" s="25"/>
      <c r="H888" s="26"/>
    </row>
    <row r="889" spans="1:8" x14ac:dyDescent="0.2">
      <c r="A889" s="27"/>
      <c r="B889" s="29"/>
      <c r="C889" s="6"/>
      <c r="D889" s="29"/>
      <c r="E889" s="6"/>
      <c r="F889" s="6"/>
      <c r="G889" s="30"/>
      <c r="H889" s="31"/>
    </row>
    <row r="890" spans="1:8" x14ac:dyDescent="0.2">
      <c r="A890" s="22"/>
      <c r="B890" s="24"/>
      <c r="C890" s="3"/>
      <c r="D890" s="24"/>
      <c r="E890" s="3"/>
      <c r="F890" s="3"/>
      <c r="G890" s="25"/>
      <c r="H890" s="26"/>
    </row>
    <row r="891" spans="1:8" x14ac:dyDescent="0.2">
      <c r="A891" s="27"/>
      <c r="B891" s="29"/>
      <c r="C891" s="6"/>
      <c r="D891" s="29"/>
      <c r="E891" s="6"/>
      <c r="F891" s="6"/>
      <c r="G891" s="30"/>
      <c r="H891" s="31"/>
    </row>
    <row r="892" spans="1:8" x14ac:dyDescent="0.2">
      <c r="A892" s="22"/>
      <c r="B892" s="24"/>
      <c r="C892" s="3"/>
      <c r="D892" s="24"/>
      <c r="E892" s="3"/>
      <c r="F892" s="3"/>
      <c r="G892" s="25"/>
      <c r="H892" s="26"/>
    </row>
    <row r="893" spans="1:8" x14ac:dyDescent="0.2">
      <c r="A893" s="27"/>
      <c r="B893" s="29"/>
      <c r="C893" s="6"/>
      <c r="D893" s="29"/>
      <c r="E893" s="6"/>
      <c r="F893" s="6"/>
      <c r="G893" s="30"/>
      <c r="H893" s="31"/>
    </row>
    <row r="894" spans="1:8" x14ac:dyDescent="0.2">
      <c r="A894" s="22"/>
      <c r="B894" s="24"/>
      <c r="C894" s="3"/>
      <c r="D894" s="24"/>
      <c r="E894" s="3"/>
      <c r="F894" s="3"/>
      <c r="G894" s="25"/>
      <c r="H894" s="26"/>
    </row>
    <row r="895" spans="1:8" x14ac:dyDescent="0.2">
      <c r="A895" s="27"/>
      <c r="B895" s="29"/>
      <c r="C895" s="6"/>
      <c r="D895" s="29"/>
      <c r="E895" s="6"/>
      <c r="F895" s="6"/>
      <c r="G895" s="30"/>
      <c r="H895" s="31"/>
    </row>
    <row r="896" spans="1:8" x14ac:dyDescent="0.2">
      <c r="A896" s="22"/>
      <c r="B896" s="24"/>
      <c r="C896" s="3"/>
      <c r="D896" s="24"/>
      <c r="E896" s="3"/>
      <c r="F896" s="3"/>
      <c r="G896" s="25"/>
      <c r="H896" s="26"/>
    </row>
    <row r="897" spans="1:8" x14ac:dyDescent="0.2">
      <c r="A897" s="27"/>
      <c r="B897" s="29"/>
      <c r="C897" s="6"/>
      <c r="D897" s="29"/>
      <c r="E897" s="6"/>
      <c r="F897" s="6"/>
      <c r="G897" s="30"/>
      <c r="H897" s="31"/>
    </row>
    <row r="898" spans="1:8" x14ac:dyDescent="0.2">
      <c r="A898" s="22"/>
      <c r="B898" s="24"/>
      <c r="C898" s="3"/>
      <c r="D898" s="24"/>
      <c r="E898" s="3"/>
      <c r="F898" s="3"/>
      <c r="G898" s="25"/>
      <c r="H898" s="26"/>
    </row>
    <row r="899" spans="1:8" x14ac:dyDescent="0.2">
      <c r="A899" s="27"/>
      <c r="B899" s="29"/>
      <c r="C899" s="6"/>
      <c r="D899" s="29"/>
      <c r="E899" s="6"/>
      <c r="F899" s="6"/>
      <c r="G899" s="30"/>
      <c r="H899" s="31"/>
    </row>
    <row r="900" spans="1:8" x14ac:dyDescent="0.2">
      <c r="A900" s="22"/>
      <c r="B900" s="24"/>
      <c r="C900" s="3"/>
      <c r="D900" s="24"/>
      <c r="E900" s="3"/>
      <c r="F900" s="3"/>
      <c r="G900" s="25"/>
      <c r="H900" s="26"/>
    </row>
    <row r="901" spans="1:8" x14ac:dyDescent="0.2">
      <c r="A901" s="27"/>
      <c r="B901" s="29"/>
      <c r="C901" s="6"/>
      <c r="D901" s="29"/>
      <c r="E901" s="6"/>
      <c r="F901" s="6"/>
      <c r="G901" s="30"/>
      <c r="H901" s="31"/>
    </row>
    <row r="902" spans="1:8" x14ac:dyDescent="0.2">
      <c r="A902" s="22"/>
      <c r="B902" s="24"/>
      <c r="C902" s="3"/>
      <c r="D902" s="24"/>
      <c r="E902" s="3"/>
      <c r="F902" s="3"/>
      <c r="G902" s="25"/>
      <c r="H902" s="26"/>
    </row>
    <row r="903" spans="1:8" x14ac:dyDescent="0.2">
      <c r="A903" s="27"/>
      <c r="B903" s="29"/>
      <c r="C903" s="6"/>
      <c r="D903" s="29"/>
      <c r="E903" s="6"/>
      <c r="F903" s="6"/>
      <c r="G903" s="30"/>
      <c r="H903" s="31"/>
    </row>
    <row r="904" spans="1:8" x14ac:dyDescent="0.2">
      <c r="A904" s="22"/>
      <c r="B904" s="24"/>
      <c r="C904" s="3"/>
      <c r="D904" s="24"/>
      <c r="E904" s="3"/>
      <c r="F904" s="3"/>
      <c r="G904" s="25"/>
      <c r="H904" s="26"/>
    </row>
    <row r="905" spans="1:8" x14ac:dyDescent="0.2">
      <c r="A905" s="27"/>
      <c r="B905" s="29"/>
      <c r="C905" s="6"/>
      <c r="D905" s="29"/>
      <c r="E905" s="6"/>
      <c r="F905" s="6"/>
      <c r="G905" s="30"/>
      <c r="H905" s="31"/>
    </row>
    <row r="906" spans="1:8" x14ac:dyDescent="0.2">
      <c r="A906" s="22"/>
      <c r="B906" s="24"/>
      <c r="C906" s="3"/>
      <c r="D906" s="24"/>
      <c r="E906" s="3"/>
      <c r="F906" s="3"/>
      <c r="G906" s="25"/>
      <c r="H906" s="26"/>
    </row>
    <row r="907" spans="1:8" x14ac:dyDescent="0.2">
      <c r="A907" s="27"/>
      <c r="B907" s="29"/>
      <c r="C907" s="6"/>
      <c r="D907" s="29"/>
      <c r="E907" s="6"/>
      <c r="F907" s="6"/>
      <c r="G907" s="30"/>
      <c r="H907" s="31"/>
    </row>
    <row r="908" spans="1:8" x14ac:dyDescent="0.2">
      <c r="A908" s="22"/>
      <c r="B908" s="24"/>
      <c r="C908" s="3"/>
      <c r="D908" s="24"/>
      <c r="E908" s="3"/>
      <c r="F908" s="3"/>
      <c r="G908" s="25"/>
      <c r="H908" s="26"/>
    </row>
    <row r="909" spans="1:8" x14ac:dyDescent="0.2">
      <c r="A909" s="27"/>
      <c r="B909" s="29"/>
      <c r="C909" s="6"/>
      <c r="D909" s="29"/>
      <c r="E909" s="6"/>
      <c r="F909" s="6"/>
      <c r="G909" s="30"/>
      <c r="H909" s="31"/>
    </row>
    <row r="910" spans="1:8" x14ac:dyDescent="0.2">
      <c r="A910" s="22"/>
      <c r="B910" s="24"/>
      <c r="C910" s="3"/>
      <c r="D910" s="24"/>
      <c r="E910" s="3"/>
      <c r="F910" s="3"/>
      <c r="G910" s="25"/>
      <c r="H910" s="26"/>
    </row>
    <row r="911" spans="1:8" x14ac:dyDescent="0.2">
      <c r="A911" s="27"/>
      <c r="B911" s="29"/>
      <c r="C911" s="6"/>
      <c r="D911" s="29"/>
      <c r="E911" s="6"/>
      <c r="F911" s="6"/>
      <c r="G911" s="30"/>
      <c r="H911" s="31"/>
    </row>
    <row r="912" spans="1:8" x14ac:dyDescent="0.2">
      <c r="A912" s="22"/>
      <c r="B912" s="24"/>
      <c r="C912" s="3"/>
      <c r="D912" s="24"/>
      <c r="E912" s="3"/>
      <c r="F912" s="3"/>
      <c r="G912" s="25"/>
      <c r="H912" s="26"/>
    </row>
    <row r="913" spans="1:8" x14ac:dyDescent="0.2">
      <c r="A913" s="27"/>
      <c r="B913" s="29"/>
      <c r="C913" s="6"/>
      <c r="D913" s="29"/>
      <c r="E913" s="6"/>
      <c r="F913" s="6"/>
      <c r="G913" s="30"/>
      <c r="H913" s="31"/>
    </row>
    <row r="914" spans="1:8" x14ac:dyDescent="0.2">
      <c r="A914" s="22"/>
      <c r="B914" s="24"/>
      <c r="C914" s="3"/>
      <c r="D914" s="24"/>
      <c r="E914" s="3"/>
      <c r="F914" s="3"/>
      <c r="G914" s="25"/>
      <c r="H914" s="26"/>
    </row>
    <row r="915" spans="1:8" x14ac:dyDescent="0.2">
      <c r="A915" s="27"/>
      <c r="B915" s="29"/>
      <c r="C915" s="6"/>
      <c r="D915" s="29"/>
      <c r="E915" s="6"/>
      <c r="F915" s="6"/>
      <c r="G915" s="30"/>
      <c r="H915" s="31"/>
    </row>
    <row r="916" spans="1:8" x14ac:dyDescent="0.2">
      <c r="A916" s="22"/>
      <c r="B916" s="24"/>
      <c r="C916" s="3"/>
      <c r="D916" s="24"/>
      <c r="E916" s="3"/>
      <c r="F916" s="3"/>
      <c r="G916" s="25"/>
      <c r="H916" s="26"/>
    </row>
    <row r="917" spans="1:8" x14ac:dyDescent="0.2">
      <c r="A917" s="27"/>
      <c r="B917" s="29"/>
      <c r="C917" s="6"/>
      <c r="D917" s="29"/>
      <c r="E917" s="6"/>
      <c r="F917" s="6"/>
      <c r="G917" s="30"/>
      <c r="H917" s="31"/>
    </row>
    <row r="918" spans="1:8" x14ac:dyDescent="0.2">
      <c r="A918" s="22"/>
      <c r="B918" s="24"/>
      <c r="C918" s="3"/>
      <c r="D918" s="24"/>
      <c r="E918" s="3"/>
      <c r="F918" s="3"/>
      <c r="G918" s="25"/>
      <c r="H918" s="26"/>
    </row>
    <row r="919" spans="1:8" x14ac:dyDescent="0.2">
      <c r="A919" s="27"/>
      <c r="B919" s="29"/>
      <c r="C919" s="6"/>
      <c r="D919" s="29"/>
      <c r="E919" s="6"/>
      <c r="F919" s="6"/>
      <c r="G919" s="30"/>
      <c r="H919" s="31"/>
    </row>
    <row r="920" spans="1:8" x14ac:dyDescent="0.2">
      <c r="A920" s="22"/>
      <c r="B920" s="24"/>
      <c r="C920" s="3"/>
      <c r="D920" s="24"/>
      <c r="E920" s="3"/>
      <c r="F920" s="3"/>
      <c r="G920" s="25"/>
      <c r="H920" s="26"/>
    </row>
    <row r="921" spans="1:8" x14ac:dyDescent="0.2">
      <c r="A921" s="27"/>
      <c r="B921" s="29"/>
      <c r="C921" s="6"/>
      <c r="D921" s="29"/>
      <c r="E921" s="6"/>
      <c r="F921" s="6"/>
      <c r="G921" s="30"/>
      <c r="H921" s="31"/>
    </row>
    <row r="922" spans="1:8" x14ac:dyDescent="0.2">
      <c r="A922" s="22"/>
      <c r="B922" s="24"/>
      <c r="C922" s="3"/>
      <c r="D922" s="24"/>
      <c r="E922" s="3"/>
      <c r="F922" s="3"/>
      <c r="G922" s="25"/>
      <c r="H922" s="26"/>
    </row>
    <row r="923" spans="1:8" x14ac:dyDescent="0.2">
      <c r="A923" s="27"/>
      <c r="B923" s="29"/>
      <c r="C923" s="6"/>
      <c r="D923" s="29"/>
      <c r="E923" s="6"/>
      <c r="F923" s="6"/>
      <c r="G923" s="30"/>
      <c r="H923" s="31"/>
    </row>
    <row r="924" spans="1:8" x14ac:dyDescent="0.2">
      <c r="A924" s="22"/>
      <c r="B924" s="24"/>
      <c r="C924" s="3"/>
      <c r="D924" s="24"/>
      <c r="E924" s="3"/>
      <c r="F924" s="3"/>
      <c r="G924" s="25"/>
      <c r="H924" s="26"/>
    </row>
    <row r="925" spans="1:8" x14ac:dyDescent="0.2">
      <c r="A925" s="27"/>
      <c r="B925" s="29"/>
      <c r="C925" s="6"/>
      <c r="D925" s="29"/>
      <c r="E925" s="6"/>
      <c r="F925" s="6"/>
      <c r="G925" s="30"/>
      <c r="H925" s="31"/>
    </row>
    <row r="926" spans="1:8" x14ac:dyDescent="0.2">
      <c r="A926" s="22"/>
      <c r="B926" s="24"/>
      <c r="C926" s="3"/>
      <c r="D926" s="24"/>
      <c r="E926" s="3"/>
      <c r="F926" s="3"/>
      <c r="G926" s="25"/>
      <c r="H926" s="26"/>
    </row>
    <row r="927" spans="1:8" x14ac:dyDescent="0.2">
      <c r="A927" s="27"/>
      <c r="B927" s="29"/>
      <c r="C927" s="6"/>
      <c r="D927" s="29"/>
      <c r="E927" s="6"/>
      <c r="F927" s="6"/>
      <c r="G927" s="30"/>
      <c r="H927" s="31"/>
    </row>
    <row r="928" spans="1:8" x14ac:dyDescent="0.2">
      <c r="A928" s="22"/>
      <c r="B928" s="24"/>
      <c r="C928" s="3"/>
      <c r="D928" s="24"/>
      <c r="E928" s="3"/>
      <c r="F928" s="3"/>
      <c r="G928" s="25"/>
      <c r="H928" s="26"/>
    </row>
    <row r="929" spans="1:8" x14ac:dyDescent="0.2">
      <c r="A929" s="27"/>
      <c r="B929" s="29"/>
      <c r="C929" s="6"/>
      <c r="D929" s="29"/>
      <c r="E929" s="6"/>
      <c r="F929" s="6"/>
      <c r="G929" s="30"/>
      <c r="H929" s="31"/>
    </row>
    <row r="930" spans="1:8" x14ac:dyDescent="0.2">
      <c r="A930" s="22"/>
      <c r="B930" s="24"/>
      <c r="C930" s="3"/>
      <c r="D930" s="24"/>
      <c r="E930" s="3"/>
      <c r="F930" s="3"/>
      <c r="G930" s="25"/>
      <c r="H930" s="26"/>
    </row>
    <row r="931" spans="1:8" x14ac:dyDescent="0.2">
      <c r="A931" s="27"/>
      <c r="B931" s="29"/>
      <c r="C931" s="6"/>
      <c r="D931" s="29"/>
      <c r="E931" s="6"/>
      <c r="F931" s="6"/>
      <c r="G931" s="30"/>
      <c r="H931" s="31"/>
    </row>
    <row r="932" spans="1:8" x14ac:dyDescent="0.2">
      <c r="A932" s="22"/>
      <c r="B932" s="24"/>
      <c r="C932" s="3"/>
      <c r="D932" s="24"/>
      <c r="E932" s="3"/>
      <c r="F932" s="3"/>
      <c r="G932" s="25"/>
      <c r="H932" s="26"/>
    </row>
    <row r="933" spans="1:8" x14ac:dyDescent="0.2">
      <c r="A933" s="27"/>
      <c r="B933" s="29"/>
      <c r="C933" s="6"/>
      <c r="D933" s="29"/>
      <c r="E933" s="6"/>
      <c r="F933" s="6"/>
      <c r="G933" s="30"/>
      <c r="H933" s="31"/>
    </row>
    <row r="934" spans="1:8" x14ac:dyDescent="0.2">
      <c r="A934" s="22"/>
      <c r="B934" s="24"/>
      <c r="C934" s="3"/>
      <c r="D934" s="24"/>
      <c r="E934" s="3"/>
      <c r="F934" s="3"/>
      <c r="G934" s="25"/>
      <c r="H934" s="26"/>
    </row>
    <row r="935" spans="1:8" x14ac:dyDescent="0.2">
      <c r="A935" s="27"/>
      <c r="B935" s="29"/>
      <c r="C935" s="6"/>
      <c r="D935" s="29"/>
      <c r="E935" s="6"/>
      <c r="F935" s="6"/>
      <c r="G935" s="30"/>
      <c r="H935" s="31"/>
    </row>
    <row r="936" spans="1:8" x14ac:dyDescent="0.2">
      <c r="A936" s="22"/>
      <c r="B936" s="24"/>
      <c r="C936" s="3"/>
      <c r="D936" s="24"/>
      <c r="E936" s="3"/>
      <c r="F936" s="3"/>
      <c r="G936" s="25"/>
      <c r="H936" s="26"/>
    </row>
    <row r="937" spans="1:8" x14ac:dyDescent="0.2">
      <c r="A937" s="27"/>
      <c r="B937" s="29"/>
      <c r="C937" s="6"/>
      <c r="D937" s="29"/>
      <c r="E937" s="6"/>
      <c r="F937" s="6"/>
      <c r="G937" s="30"/>
      <c r="H937" s="31"/>
    </row>
    <row r="938" spans="1:8" x14ac:dyDescent="0.2">
      <c r="A938" s="22"/>
      <c r="B938" s="24"/>
      <c r="C938" s="3"/>
      <c r="D938" s="24"/>
      <c r="E938" s="3"/>
      <c r="F938" s="3"/>
      <c r="G938" s="25"/>
      <c r="H938" s="26"/>
    </row>
    <row r="939" spans="1:8" x14ac:dyDescent="0.2">
      <c r="A939" s="27"/>
      <c r="B939" s="29"/>
      <c r="C939" s="6"/>
      <c r="D939" s="29"/>
      <c r="E939" s="6"/>
      <c r="F939" s="6"/>
      <c r="G939" s="30"/>
      <c r="H939" s="31"/>
    </row>
    <row r="940" spans="1:8" x14ac:dyDescent="0.2">
      <c r="A940" s="22"/>
      <c r="B940" s="24"/>
      <c r="C940" s="3"/>
      <c r="D940" s="24"/>
      <c r="E940" s="3"/>
      <c r="F940" s="3"/>
      <c r="G940" s="25"/>
      <c r="H940" s="26"/>
    </row>
    <row r="941" spans="1:8" x14ac:dyDescent="0.2">
      <c r="A941" s="27"/>
      <c r="B941" s="29"/>
      <c r="C941" s="6"/>
      <c r="D941" s="29"/>
      <c r="E941" s="6"/>
      <c r="F941" s="6"/>
      <c r="G941" s="30"/>
      <c r="H941" s="31"/>
    </row>
    <row r="942" spans="1:8" x14ac:dyDescent="0.2">
      <c r="A942" s="22"/>
      <c r="B942" s="24"/>
      <c r="C942" s="3"/>
      <c r="D942" s="24"/>
      <c r="E942" s="3"/>
      <c r="F942" s="3"/>
      <c r="G942" s="25"/>
      <c r="H942" s="26"/>
    </row>
    <row r="943" spans="1:8" x14ac:dyDescent="0.2">
      <c r="A943" s="27"/>
      <c r="B943" s="29"/>
      <c r="C943" s="6"/>
      <c r="D943" s="29"/>
      <c r="E943" s="6"/>
      <c r="F943" s="6"/>
      <c r="G943" s="30"/>
      <c r="H943" s="31"/>
    </row>
    <row r="944" spans="1:8" x14ac:dyDescent="0.2">
      <c r="A944" s="22"/>
      <c r="B944" s="24"/>
      <c r="C944" s="3"/>
      <c r="D944" s="24"/>
      <c r="E944" s="3"/>
      <c r="F944" s="3"/>
      <c r="G944" s="25"/>
      <c r="H944" s="26"/>
    </row>
    <row r="945" spans="1:8" x14ac:dyDescent="0.2">
      <c r="A945" s="27"/>
      <c r="B945" s="29"/>
      <c r="C945" s="6"/>
      <c r="D945" s="29"/>
      <c r="E945" s="6"/>
      <c r="F945" s="6"/>
      <c r="G945" s="30"/>
      <c r="H945" s="31"/>
    </row>
    <row r="946" spans="1:8" x14ac:dyDescent="0.2">
      <c r="A946" s="22"/>
      <c r="B946" s="24"/>
      <c r="C946" s="3"/>
      <c r="D946" s="24"/>
      <c r="E946" s="3"/>
      <c r="F946" s="3"/>
      <c r="G946" s="25"/>
      <c r="H946" s="26"/>
    </row>
    <row r="947" spans="1:8" x14ac:dyDescent="0.2">
      <c r="A947" s="27"/>
      <c r="B947" s="29"/>
      <c r="C947" s="6"/>
      <c r="D947" s="29"/>
      <c r="E947" s="6"/>
      <c r="F947" s="6"/>
      <c r="G947" s="30"/>
      <c r="H947" s="31"/>
    </row>
    <row r="948" spans="1:8" x14ac:dyDescent="0.2">
      <c r="A948" s="22"/>
      <c r="B948" s="24"/>
      <c r="C948" s="3"/>
      <c r="D948" s="24"/>
      <c r="E948" s="3"/>
      <c r="F948" s="3"/>
      <c r="G948" s="25"/>
      <c r="H948" s="26"/>
    </row>
    <row r="949" spans="1:8" x14ac:dyDescent="0.2">
      <c r="A949" s="27"/>
      <c r="B949" s="29"/>
      <c r="C949" s="6"/>
      <c r="D949" s="29"/>
      <c r="E949" s="6"/>
      <c r="F949" s="6"/>
      <c r="G949" s="30"/>
      <c r="H949" s="31"/>
    </row>
    <row r="950" spans="1:8" x14ac:dyDescent="0.2">
      <c r="A950" s="22"/>
      <c r="B950" s="24"/>
      <c r="C950" s="3"/>
      <c r="D950" s="24"/>
      <c r="E950" s="3"/>
      <c r="F950" s="3"/>
      <c r="G950" s="25"/>
      <c r="H950" s="26"/>
    </row>
    <row r="951" spans="1:8" x14ac:dyDescent="0.2">
      <c r="A951" s="27"/>
      <c r="B951" s="29"/>
      <c r="C951" s="6"/>
      <c r="D951" s="29"/>
      <c r="E951" s="6"/>
      <c r="F951" s="6"/>
      <c r="G951" s="30"/>
      <c r="H951" s="31"/>
    </row>
    <row r="952" spans="1:8" x14ac:dyDescent="0.2">
      <c r="A952" s="22"/>
      <c r="B952" s="24"/>
      <c r="C952" s="3"/>
      <c r="D952" s="24"/>
      <c r="E952" s="3"/>
      <c r="F952" s="3"/>
      <c r="G952" s="25"/>
      <c r="H952" s="26"/>
    </row>
    <row r="953" spans="1:8" x14ac:dyDescent="0.2">
      <c r="A953" s="27"/>
      <c r="B953" s="29"/>
      <c r="C953" s="6"/>
      <c r="D953" s="29"/>
      <c r="E953" s="6"/>
      <c r="F953" s="6"/>
      <c r="G953" s="30"/>
      <c r="H953" s="31"/>
    </row>
    <row r="954" spans="1:8" x14ac:dyDescent="0.2">
      <c r="A954" s="22"/>
      <c r="B954" s="24"/>
      <c r="C954" s="3"/>
      <c r="D954" s="24"/>
      <c r="E954" s="3"/>
      <c r="F954" s="3"/>
      <c r="G954" s="25"/>
      <c r="H954" s="26"/>
    </row>
    <row r="955" spans="1:8" x14ac:dyDescent="0.2">
      <c r="A955" s="27"/>
      <c r="B955" s="29"/>
      <c r="C955" s="6"/>
      <c r="D955" s="29"/>
      <c r="E955" s="6"/>
      <c r="F955" s="6"/>
      <c r="G955" s="30"/>
      <c r="H955" s="31"/>
    </row>
    <row r="956" spans="1:8" x14ac:dyDescent="0.2">
      <c r="A956" s="22"/>
      <c r="B956" s="24"/>
      <c r="C956" s="3"/>
      <c r="D956" s="24"/>
      <c r="E956" s="3"/>
      <c r="F956" s="3"/>
      <c r="G956" s="25"/>
      <c r="H956" s="26"/>
    </row>
    <row r="957" spans="1:8" x14ac:dyDescent="0.2">
      <c r="A957" s="27"/>
      <c r="B957" s="29"/>
      <c r="C957" s="6"/>
      <c r="D957" s="29"/>
      <c r="E957" s="6"/>
      <c r="F957" s="6"/>
      <c r="G957" s="30"/>
      <c r="H957" s="31"/>
    </row>
    <row r="958" spans="1:8" x14ac:dyDescent="0.2">
      <c r="A958" s="22"/>
      <c r="B958" s="24"/>
      <c r="C958" s="3"/>
      <c r="D958" s="24"/>
      <c r="E958" s="3"/>
      <c r="F958" s="3"/>
      <c r="G958" s="25"/>
      <c r="H958" s="26"/>
    </row>
    <row r="959" spans="1:8" x14ac:dyDescent="0.2">
      <c r="A959" s="27"/>
      <c r="B959" s="29"/>
      <c r="C959" s="6"/>
      <c r="D959" s="29"/>
      <c r="E959" s="6"/>
      <c r="F959" s="6"/>
      <c r="G959" s="30"/>
      <c r="H959" s="31"/>
    </row>
    <row r="960" spans="1:8" x14ac:dyDescent="0.2">
      <c r="A960" s="22"/>
      <c r="B960" s="24"/>
      <c r="C960" s="3"/>
      <c r="D960" s="24"/>
      <c r="E960" s="3"/>
      <c r="F960" s="3"/>
      <c r="G960" s="25"/>
      <c r="H960" s="26"/>
    </row>
    <row r="961" spans="1:8" x14ac:dyDescent="0.2">
      <c r="A961" s="27"/>
      <c r="B961" s="29"/>
      <c r="C961" s="6"/>
      <c r="D961" s="29"/>
      <c r="E961" s="6"/>
      <c r="F961" s="6"/>
      <c r="G961" s="30"/>
      <c r="H961" s="31"/>
    </row>
    <row r="962" spans="1:8" x14ac:dyDescent="0.2">
      <c r="A962" s="22"/>
      <c r="B962" s="24"/>
      <c r="C962" s="3"/>
      <c r="D962" s="24"/>
      <c r="E962" s="3"/>
      <c r="F962" s="3"/>
      <c r="G962" s="25"/>
      <c r="H962" s="26"/>
    </row>
    <row r="963" spans="1:8" x14ac:dyDescent="0.2">
      <c r="A963" s="27"/>
      <c r="B963" s="29"/>
      <c r="C963" s="6"/>
      <c r="D963" s="29"/>
      <c r="E963" s="6"/>
      <c r="F963" s="6"/>
      <c r="G963" s="30"/>
      <c r="H963" s="31"/>
    </row>
    <row r="964" spans="1:8" x14ac:dyDescent="0.2">
      <c r="A964" s="22"/>
      <c r="B964" s="24"/>
      <c r="C964" s="3"/>
      <c r="D964" s="24"/>
      <c r="E964" s="3"/>
      <c r="F964" s="3"/>
      <c r="G964" s="25"/>
      <c r="H964" s="26"/>
    </row>
    <row r="965" spans="1:8" x14ac:dyDescent="0.2">
      <c r="A965" s="27"/>
      <c r="B965" s="29"/>
      <c r="C965" s="6"/>
      <c r="D965" s="29"/>
      <c r="E965" s="6"/>
      <c r="F965" s="6"/>
      <c r="G965" s="30"/>
      <c r="H965" s="31"/>
    </row>
    <row r="966" spans="1:8" x14ac:dyDescent="0.2">
      <c r="A966" s="22"/>
      <c r="B966" s="24"/>
      <c r="C966" s="3"/>
      <c r="D966" s="24"/>
      <c r="E966" s="3"/>
      <c r="F966" s="3"/>
      <c r="G966" s="25"/>
      <c r="H966" s="26"/>
    </row>
    <row r="967" spans="1:8" x14ac:dyDescent="0.2">
      <c r="A967" s="27"/>
      <c r="B967" s="29"/>
      <c r="C967" s="6"/>
      <c r="D967" s="29"/>
      <c r="E967" s="6"/>
      <c r="F967" s="6"/>
      <c r="G967" s="30"/>
      <c r="H967" s="31"/>
    </row>
    <row r="968" spans="1:8" x14ac:dyDescent="0.2">
      <c r="A968" s="22"/>
      <c r="B968" s="24"/>
      <c r="C968" s="3"/>
      <c r="D968" s="24"/>
      <c r="E968" s="3"/>
      <c r="F968" s="3"/>
      <c r="G968" s="25"/>
      <c r="H968" s="26"/>
    </row>
    <row r="969" spans="1:8" x14ac:dyDescent="0.2">
      <c r="A969" s="27"/>
      <c r="B969" s="29"/>
      <c r="C969" s="6"/>
      <c r="D969" s="29"/>
      <c r="E969" s="6"/>
      <c r="F969" s="6"/>
      <c r="G969" s="30"/>
      <c r="H969" s="31"/>
    </row>
    <row r="970" spans="1:8" x14ac:dyDescent="0.2">
      <c r="A970" s="22"/>
      <c r="B970" s="24"/>
      <c r="C970" s="3"/>
      <c r="D970" s="24"/>
      <c r="E970" s="3"/>
      <c r="F970" s="3"/>
      <c r="G970" s="25"/>
      <c r="H970" s="26"/>
    </row>
    <row r="971" spans="1:8" x14ac:dyDescent="0.2">
      <c r="A971" s="27"/>
      <c r="B971" s="29"/>
      <c r="C971" s="6"/>
      <c r="D971" s="29"/>
      <c r="E971" s="6"/>
      <c r="F971" s="6"/>
      <c r="G971" s="30"/>
      <c r="H971" s="31"/>
    </row>
    <row r="972" spans="1:8" x14ac:dyDescent="0.2">
      <c r="A972" s="22"/>
      <c r="B972" s="24"/>
      <c r="C972" s="3"/>
      <c r="D972" s="24"/>
      <c r="E972" s="3"/>
      <c r="F972" s="3"/>
      <c r="G972" s="25"/>
      <c r="H972" s="26"/>
    </row>
    <row r="973" spans="1:8" x14ac:dyDescent="0.2">
      <c r="A973" s="27"/>
      <c r="B973" s="29"/>
      <c r="C973" s="6"/>
      <c r="D973" s="29"/>
      <c r="E973" s="6"/>
      <c r="F973" s="6"/>
      <c r="G973" s="30"/>
      <c r="H973" s="31"/>
    </row>
    <row r="974" spans="1:8" x14ac:dyDescent="0.2">
      <c r="A974" s="22"/>
      <c r="B974" s="24"/>
      <c r="C974" s="3"/>
      <c r="D974" s="24"/>
      <c r="E974" s="3"/>
      <c r="F974" s="3"/>
      <c r="G974" s="25"/>
      <c r="H974" s="26"/>
    </row>
    <row r="975" spans="1:8" x14ac:dyDescent="0.2">
      <c r="A975" s="27"/>
      <c r="B975" s="29"/>
      <c r="C975" s="6"/>
      <c r="D975" s="29"/>
      <c r="E975" s="6"/>
      <c r="F975" s="6"/>
      <c r="G975" s="30"/>
      <c r="H975" s="31"/>
    </row>
    <row r="976" spans="1:8" x14ac:dyDescent="0.2">
      <c r="A976" s="22"/>
      <c r="B976" s="24"/>
      <c r="C976" s="3"/>
      <c r="D976" s="24"/>
      <c r="E976" s="3"/>
      <c r="F976" s="3"/>
      <c r="G976" s="25"/>
      <c r="H976" s="26"/>
    </row>
    <row r="977" spans="1:8" x14ac:dyDescent="0.2">
      <c r="A977" s="27"/>
      <c r="B977" s="29"/>
      <c r="C977" s="6"/>
      <c r="D977" s="29"/>
      <c r="E977" s="6"/>
      <c r="F977" s="6"/>
      <c r="G977" s="30"/>
      <c r="H977" s="31"/>
    </row>
    <row r="978" spans="1:8" x14ac:dyDescent="0.2">
      <c r="A978" s="22"/>
      <c r="B978" s="24"/>
      <c r="C978" s="3"/>
      <c r="D978" s="24"/>
      <c r="E978" s="3"/>
      <c r="F978" s="3"/>
      <c r="G978" s="25"/>
      <c r="H978" s="26"/>
    </row>
    <row r="979" spans="1:8" x14ac:dyDescent="0.2">
      <c r="A979" s="27"/>
      <c r="B979" s="29"/>
      <c r="C979" s="6"/>
      <c r="D979" s="29"/>
      <c r="E979" s="6"/>
      <c r="F979" s="6"/>
      <c r="G979" s="30"/>
      <c r="H979" s="31"/>
    </row>
    <row r="980" spans="1:8" x14ac:dyDescent="0.2">
      <c r="A980" s="22"/>
      <c r="B980" s="24"/>
      <c r="C980" s="3"/>
      <c r="D980" s="24"/>
      <c r="E980" s="3"/>
      <c r="F980" s="3"/>
      <c r="G980" s="25"/>
      <c r="H980" s="26"/>
    </row>
    <row r="981" spans="1:8" x14ac:dyDescent="0.2">
      <c r="A981" s="27"/>
      <c r="B981" s="29"/>
      <c r="C981" s="6"/>
      <c r="D981" s="29"/>
      <c r="E981" s="6"/>
      <c r="F981" s="6"/>
      <c r="G981" s="30"/>
      <c r="H981" s="31"/>
    </row>
    <row r="982" spans="1:8" x14ac:dyDescent="0.2">
      <c r="A982" s="22"/>
      <c r="B982" s="24"/>
      <c r="C982" s="3"/>
      <c r="D982" s="24"/>
      <c r="E982" s="3"/>
      <c r="F982" s="3"/>
      <c r="G982" s="25"/>
      <c r="H982" s="26"/>
    </row>
    <row r="983" spans="1:8" x14ac:dyDescent="0.2">
      <c r="A983" s="27"/>
      <c r="B983" s="29"/>
      <c r="C983" s="6"/>
      <c r="D983" s="29"/>
      <c r="E983" s="6"/>
      <c r="F983" s="6"/>
      <c r="G983" s="30"/>
      <c r="H983" s="31"/>
    </row>
    <row r="984" spans="1:8" x14ac:dyDescent="0.2">
      <c r="A984" s="22"/>
      <c r="B984" s="24"/>
      <c r="C984" s="3"/>
      <c r="D984" s="24"/>
      <c r="E984" s="3"/>
      <c r="F984" s="3"/>
      <c r="G984" s="25"/>
      <c r="H984" s="26"/>
    </row>
    <row r="985" spans="1:8" x14ac:dyDescent="0.2">
      <c r="A985" s="27"/>
      <c r="B985" s="29"/>
      <c r="C985" s="6"/>
      <c r="D985" s="29"/>
      <c r="E985" s="6"/>
      <c r="F985" s="6"/>
      <c r="G985" s="30"/>
      <c r="H985" s="31"/>
    </row>
    <row r="986" spans="1:8" x14ac:dyDescent="0.2">
      <c r="A986" s="22"/>
      <c r="B986" s="24"/>
      <c r="C986" s="3"/>
      <c r="D986" s="24"/>
      <c r="E986" s="3"/>
      <c r="F986" s="3"/>
      <c r="G986" s="25"/>
      <c r="H986" s="26"/>
    </row>
    <row r="987" spans="1:8" x14ac:dyDescent="0.2">
      <c r="A987" s="27"/>
      <c r="B987" s="29"/>
      <c r="C987" s="6"/>
      <c r="D987" s="29"/>
      <c r="E987" s="6"/>
      <c r="F987" s="6"/>
      <c r="G987" s="30"/>
      <c r="H987" s="31"/>
    </row>
    <row r="988" spans="1:8" x14ac:dyDescent="0.2">
      <c r="A988" s="22"/>
      <c r="B988" s="24"/>
      <c r="C988" s="3"/>
      <c r="D988" s="24"/>
      <c r="E988" s="3"/>
      <c r="F988" s="3"/>
      <c r="G988" s="25"/>
      <c r="H988" s="26"/>
    </row>
    <row r="989" spans="1:8" x14ac:dyDescent="0.2">
      <c r="A989" s="27"/>
      <c r="B989" s="29"/>
      <c r="C989" s="6"/>
      <c r="D989" s="29"/>
      <c r="E989" s="6"/>
      <c r="F989" s="6"/>
      <c r="G989" s="30"/>
      <c r="H989" s="31"/>
    </row>
    <row r="990" spans="1:8" x14ac:dyDescent="0.2">
      <c r="A990" s="22"/>
      <c r="B990" s="24"/>
      <c r="C990" s="3"/>
      <c r="D990" s="24"/>
      <c r="E990" s="3"/>
      <c r="F990" s="3"/>
      <c r="G990" s="25"/>
      <c r="H990" s="26"/>
    </row>
    <row r="991" spans="1:8" x14ac:dyDescent="0.2">
      <c r="A991" s="27"/>
      <c r="B991" s="29"/>
      <c r="C991" s="6"/>
      <c r="D991" s="29"/>
      <c r="E991" s="6"/>
      <c r="F991" s="6"/>
      <c r="G991" s="30"/>
      <c r="H991" s="31"/>
    </row>
    <row r="992" spans="1:8" x14ac:dyDescent="0.2">
      <c r="A992" s="22"/>
      <c r="B992" s="24"/>
      <c r="C992" s="3"/>
      <c r="D992" s="24"/>
      <c r="E992" s="3"/>
      <c r="F992" s="3"/>
      <c r="G992" s="25"/>
      <c r="H992" s="26"/>
    </row>
    <row r="993" spans="1:8" x14ac:dyDescent="0.2">
      <c r="A993" s="27"/>
      <c r="B993" s="29"/>
      <c r="C993" s="6"/>
      <c r="D993" s="29"/>
      <c r="E993" s="6"/>
      <c r="F993" s="6"/>
      <c r="G993" s="30"/>
      <c r="H993" s="31"/>
    </row>
    <row r="994" spans="1:8" x14ac:dyDescent="0.2">
      <c r="A994" s="22"/>
      <c r="B994" s="24"/>
      <c r="C994" s="3"/>
      <c r="D994" s="24"/>
      <c r="E994" s="3"/>
      <c r="F994" s="3"/>
      <c r="G994" s="25"/>
      <c r="H994" s="26"/>
    </row>
    <row r="995" spans="1:8" x14ac:dyDescent="0.2">
      <c r="A995" s="27"/>
      <c r="B995" s="29"/>
      <c r="C995" s="6"/>
      <c r="D995" s="29"/>
      <c r="E995" s="6"/>
      <c r="F995" s="6"/>
      <c r="G995" s="30"/>
      <c r="H995" s="31"/>
    </row>
    <row r="996" spans="1:8" x14ac:dyDescent="0.2">
      <c r="A996" s="22"/>
      <c r="B996" s="24"/>
      <c r="C996" s="3"/>
      <c r="D996" s="24"/>
      <c r="E996" s="3"/>
      <c r="F996" s="3"/>
      <c r="G996" s="25"/>
      <c r="H996" s="26"/>
    </row>
    <row r="997" spans="1:8" x14ac:dyDescent="0.2">
      <c r="A997" s="27"/>
      <c r="B997" s="29"/>
      <c r="C997" s="6"/>
      <c r="D997" s="29"/>
      <c r="E997" s="6"/>
      <c r="F997" s="6"/>
      <c r="G997" s="30"/>
      <c r="H997" s="31"/>
    </row>
    <row r="998" spans="1:8" x14ac:dyDescent="0.2">
      <c r="A998" s="22"/>
      <c r="B998" s="24"/>
      <c r="C998" s="3"/>
      <c r="D998" s="24"/>
      <c r="E998" s="3"/>
      <c r="F998" s="3"/>
      <c r="G998" s="25"/>
      <c r="H998" s="26"/>
    </row>
    <row r="999" spans="1:8" x14ac:dyDescent="0.2">
      <c r="A999" s="27"/>
      <c r="B999" s="29"/>
      <c r="C999" s="6"/>
      <c r="D999" s="29"/>
      <c r="E999" s="6"/>
      <c r="F999" s="6"/>
      <c r="G999" s="30"/>
      <c r="H999" s="31"/>
    </row>
    <row r="1000" spans="1:8" x14ac:dyDescent="0.2">
      <c r="A1000" s="22"/>
      <c r="B1000" s="24"/>
      <c r="C1000" s="3"/>
      <c r="D1000" s="24"/>
      <c r="E1000" s="3"/>
      <c r="F1000" s="3"/>
      <c r="G1000" s="25"/>
      <c r="H1000" s="26"/>
    </row>
    <row r="1001" spans="1:8" x14ac:dyDescent="0.2">
      <c r="A1001" s="27"/>
      <c r="B1001" s="29"/>
      <c r="C1001" s="6"/>
      <c r="D1001" s="29"/>
      <c r="E1001" s="6"/>
      <c r="F1001" s="6"/>
      <c r="G1001" s="30"/>
      <c r="H1001" s="31"/>
    </row>
    <row r="1002" spans="1:8" x14ac:dyDescent="0.2">
      <c r="A1002" s="22"/>
      <c r="B1002" s="24"/>
      <c r="C1002" s="3"/>
      <c r="D1002" s="24"/>
      <c r="E1002" s="3"/>
      <c r="F1002" s="3"/>
      <c r="G1002" s="25"/>
      <c r="H1002" s="26"/>
    </row>
    <row r="1003" spans="1:8" x14ac:dyDescent="0.2">
      <c r="A1003" s="27"/>
      <c r="B1003" s="29"/>
      <c r="C1003" s="6"/>
      <c r="D1003" s="29"/>
      <c r="E1003" s="6"/>
      <c r="F1003" s="6"/>
      <c r="G1003" s="30"/>
      <c r="H1003" s="31"/>
    </row>
    <row r="1004" spans="1:8" x14ac:dyDescent="0.2">
      <c r="A1004" s="22"/>
      <c r="B1004" s="24"/>
      <c r="C1004" s="3"/>
      <c r="D1004" s="24"/>
      <c r="E1004" s="3"/>
      <c r="F1004" s="3"/>
      <c r="G1004" s="25"/>
      <c r="H1004" s="26"/>
    </row>
    <row r="1005" spans="1:8" x14ac:dyDescent="0.2">
      <c r="A1005" s="27"/>
      <c r="B1005" s="29"/>
      <c r="C1005" s="6"/>
      <c r="D1005" s="29"/>
      <c r="E1005" s="6"/>
      <c r="F1005" s="6"/>
      <c r="G1005" s="30"/>
      <c r="H1005" s="31"/>
    </row>
    <row r="1006" spans="1:8" x14ac:dyDescent="0.2">
      <c r="A1006" s="22"/>
      <c r="B1006" s="24"/>
      <c r="C1006" s="3"/>
      <c r="D1006" s="24"/>
      <c r="E1006" s="3"/>
      <c r="F1006" s="3"/>
      <c r="G1006" s="25"/>
      <c r="H1006" s="26"/>
    </row>
    <row r="1007" spans="1:8" x14ac:dyDescent="0.2">
      <c r="A1007" s="27"/>
      <c r="B1007" s="29"/>
      <c r="C1007" s="6"/>
      <c r="D1007" s="29"/>
      <c r="E1007" s="6"/>
      <c r="F1007" s="6"/>
      <c r="G1007" s="30"/>
      <c r="H1007" s="31"/>
    </row>
    <row r="1008" spans="1:8" x14ac:dyDescent="0.2">
      <c r="A1008" s="22"/>
      <c r="B1008" s="24"/>
      <c r="C1008" s="3"/>
      <c r="D1008" s="24"/>
      <c r="E1008" s="3"/>
      <c r="F1008" s="3"/>
      <c r="G1008" s="25"/>
      <c r="H1008" s="26"/>
    </row>
    <row r="1009" spans="1:8" x14ac:dyDescent="0.2">
      <c r="A1009" s="27"/>
      <c r="B1009" s="29"/>
      <c r="C1009" s="6"/>
      <c r="D1009" s="29"/>
      <c r="E1009" s="6"/>
      <c r="F1009" s="6"/>
      <c r="G1009" s="30"/>
      <c r="H1009" s="31"/>
    </row>
    <row r="1010" spans="1:8" x14ac:dyDescent="0.2">
      <c r="A1010" s="22"/>
      <c r="B1010" s="24"/>
      <c r="C1010" s="3"/>
      <c r="D1010" s="24"/>
      <c r="E1010" s="3"/>
      <c r="F1010" s="3"/>
      <c r="G1010" s="25"/>
      <c r="H1010" s="26"/>
    </row>
    <row r="1011" spans="1:8" x14ac:dyDescent="0.2">
      <c r="A1011" s="27"/>
      <c r="B1011" s="29"/>
      <c r="C1011" s="6"/>
      <c r="D1011" s="29"/>
      <c r="E1011" s="6"/>
      <c r="F1011" s="6"/>
      <c r="G1011" s="30"/>
      <c r="H1011" s="31"/>
    </row>
    <row r="1012" spans="1:8" x14ac:dyDescent="0.2">
      <c r="A1012" s="22"/>
      <c r="B1012" s="24"/>
      <c r="C1012" s="3"/>
      <c r="D1012" s="24"/>
      <c r="E1012" s="3"/>
      <c r="F1012" s="3"/>
      <c r="G1012" s="25"/>
      <c r="H1012" s="26"/>
    </row>
    <row r="1013" spans="1:8" x14ac:dyDescent="0.2">
      <c r="A1013" s="27"/>
      <c r="B1013" s="29"/>
      <c r="C1013" s="6"/>
      <c r="D1013" s="29"/>
      <c r="E1013" s="6"/>
      <c r="F1013" s="6"/>
      <c r="G1013" s="30"/>
      <c r="H1013" s="31"/>
    </row>
    <row r="1014" spans="1:8" x14ac:dyDescent="0.2">
      <c r="A1014" s="22"/>
      <c r="B1014" s="24"/>
      <c r="C1014" s="3"/>
      <c r="D1014" s="24"/>
      <c r="E1014" s="3"/>
      <c r="F1014" s="3"/>
      <c r="G1014" s="25"/>
      <c r="H1014" s="26"/>
    </row>
    <row r="1015" spans="1:8" x14ac:dyDescent="0.2">
      <c r="A1015" s="27"/>
      <c r="B1015" s="29"/>
      <c r="C1015" s="6"/>
      <c r="D1015" s="29"/>
      <c r="E1015" s="6"/>
      <c r="F1015" s="6"/>
      <c r="G1015" s="30"/>
      <c r="H1015" s="31"/>
    </row>
    <row r="1016" spans="1:8" x14ac:dyDescent="0.2">
      <c r="A1016" s="34"/>
      <c r="B1016" s="35"/>
      <c r="C1016" s="36"/>
      <c r="D1016" s="35"/>
      <c r="E1016" s="36"/>
      <c r="F1016" s="36"/>
      <c r="G1016" s="37"/>
      <c r="H1016" s="38"/>
    </row>
  </sheetData>
  <dataValidations count="5">
    <dataValidation type="list" allowBlank="1" sqref="C2:C1016" xr:uid="{00000000-0002-0000-0100-000000000000}">
      <formula1>"Not started,Compliance Sent,Compliance Passed"</formula1>
    </dataValidation>
    <dataValidation type="list" allowBlank="1" sqref="F2:F1016" xr:uid="{00000000-0002-0000-0100-000001000000}">
      <formula1>"Editing invite,Invite sent,Call completed,Not started,Interview/No Marketing,Survey/No Marketing,Interview/Survey Completed"</formula1>
    </dataValidation>
    <dataValidation type="list" allowBlank="1" sqref="E2:E1016" xr:uid="{00000000-0002-0000-0100-000002000000}">
      <formula1>"Reached out,Not reached out,Date confirmed"</formula1>
    </dataValidation>
    <dataValidation type="custom" allowBlank="1" showDropDown="1" sqref="G2:H1016" xr:uid="{00000000-0002-0000-0100-000003000000}">
      <formula1>OR(NOT(ISERROR(DATEVALUE(G2))), AND(ISNUMBER(G2), LEFT(CELL("format", G2))="D"))</formula1>
    </dataValidation>
    <dataValidation allowBlank="1" showDropDown="1" sqref="A2:A1016 D2:D1016" xr:uid="{00000000-0002-0000-0100-000004000000}"/>
  </dataValidations>
  <hyperlinks>
    <hyperlink ref="B2" r:id="rId1" xr:uid="{00000000-0004-0000-0100-000000000000}"/>
    <hyperlink ref="B3" r:id="rId2" xr:uid="{00000000-0004-0000-0100-000001000000}"/>
    <hyperlink ref="B4" r:id="rId3" xr:uid="{00000000-0004-0000-0100-000002000000}"/>
    <hyperlink ref="B5" r:id="rId4" xr:uid="{00000000-0004-0000-0100-000003000000}"/>
    <hyperlink ref="B6" r:id="rId5" xr:uid="{00000000-0004-0000-0100-000004000000}"/>
    <hyperlink ref="B7" r:id="rId6" xr:uid="{00000000-0004-0000-0100-000005000000}"/>
    <hyperlink ref="B8" r:id="rId7" xr:uid="{00000000-0004-0000-0100-000006000000}"/>
    <hyperlink ref="B9" r:id="rId8" xr:uid="{00000000-0004-0000-0100-000007000000}"/>
    <hyperlink ref="B10" r:id="rId9" xr:uid="{00000000-0004-0000-0100-000008000000}"/>
    <hyperlink ref="B11" r:id="rId10" xr:uid="{00000000-0004-0000-0100-000009000000}"/>
    <hyperlink ref="B12" r:id="rId11" xr:uid="{00000000-0004-0000-0100-00000A000000}"/>
    <hyperlink ref="B13" r:id="rId12" xr:uid="{00000000-0004-0000-0100-00000B000000}"/>
    <hyperlink ref="B14" r:id="rId13" xr:uid="{00000000-0004-0000-0100-00000C000000}"/>
    <hyperlink ref="B15" r:id="rId14" xr:uid="{00000000-0004-0000-0100-00000D000000}"/>
    <hyperlink ref="B16" r:id="rId15" xr:uid="{00000000-0004-0000-0100-00000E000000}"/>
    <hyperlink ref="B17" r:id="rId16" xr:uid="{00000000-0004-0000-0100-00000F000000}"/>
    <hyperlink ref="B18" r:id="rId17" xr:uid="{00000000-0004-0000-0100-000010000000}"/>
    <hyperlink ref="B19" r:id="rId18" xr:uid="{00000000-0004-0000-0100-000011000000}"/>
    <hyperlink ref="B20" r:id="rId19" xr:uid="{00000000-0004-0000-0100-000012000000}"/>
    <hyperlink ref="B21" r:id="rId20" xr:uid="{00000000-0004-0000-0100-000013000000}"/>
    <hyperlink ref="B22" r:id="rId21" xr:uid="{00000000-0004-0000-0100-000014000000}"/>
    <hyperlink ref="B23" r:id="rId22" xr:uid="{00000000-0004-0000-0100-000015000000}"/>
    <hyperlink ref="B24" r:id="rId23" xr:uid="{00000000-0004-0000-0100-000016000000}"/>
    <hyperlink ref="B25" r:id="rId24" xr:uid="{00000000-0004-0000-0100-000017000000}"/>
  </hyperlinks>
  <pageMargins left="0.7" right="0.7" top="0.75" bottom="0.75" header="0.3" footer="0.3"/>
  <tableParts count="1">
    <tablePart r:id="rId2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7B7B7"/>
    <outlinePr summaryBelow="0" summaryRight="0"/>
  </sheetPr>
  <dimension ref="A1:B11601"/>
  <sheetViews>
    <sheetView workbookViewId="0"/>
  </sheetViews>
  <sheetFormatPr defaultColWidth="12.5703125" defaultRowHeight="15.75" customHeight="1" x14ac:dyDescent="0.2"/>
  <cols>
    <col min="1" max="1" width="50.28515625" customWidth="1"/>
    <col min="2" max="2" width="13" customWidth="1"/>
  </cols>
  <sheetData>
    <row r="1" spans="1:2" x14ac:dyDescent="0.2">
      <c r="A1" s="39" t="s">
        <v>355</v>
      </c>
      <c r="B1" s="39" t="s">
        <v>356</v>
      </c>
    </row>
    <row r="2" spans="1:2" x14ac:dyDescent="0.2">
      <c r="A2" s="40" t="str">
        <f ca="1">IFERROR(__xludf.DUMMYFUNCTION("unique(IFERROR(index('Published Replays'!B:B,small(if(ISNUMBER(match('Published Replays'!B:B,'Calls without notes'!A:A,0)),ROW('Published Replays'!B:B),""""),ROW(A1))),""""))"),"DRVN, MCW, VVV: Servicing Autos in Q3")</f>
        <v>DRVN, MCW, VVV: Servicing Autos in Q3</v>
      </c>
      <c r="B2" s="41">
        <f ca="1">IFERROR(__xludf.DUMMYFUNCTION("FILTER('Published Replays'!D:D,ISNUMBER(match('Published Replays'!B:B,'Calls without notes'!A:A,0)))"),45588)</f>
        <v>45588</v>
      </c>
    </row>
    <row r="3" spans="1:2" x14ac:dyDescent="0.2">
      <c r="A3" s="40" t="str">
        <f ca="1">IFERROR(__xludf.DUMMYFUNCTION("unique(IFERROR(index('Published Replays'!B:B,small(if(ISNUMBER(match('Published Replays'!B:B,'Calls without notes'!A:A,0)),ROW('Published Replays'!B:B),""""),ROW(A2))),""""))"),"Cosmetics: Glow Up for the Holidays?")</f>
        <v>Cosmetics: Glow Up for the Holidays?</v>
      </c>
      <c r="B3" s="41">
        <f ca="1">IFERROR(__xludf.DUMMYFUNCTION("""COMPUTED_VALUE"""),45588)</f>
        <v>45588</v>
      </c>
    </row>
    <row r="4" spans="1:2" x14ac:dyDescent="0.2">
      <c r="A4" s="40" t="str">
        <f ca="1">IFERROR(__xludf.DUMMYFUNCTION("unique(IFERROR(index('Published Replays'!B:B,small(if(ISNUMBER(match('Published Replays'!B:B,'Calls without notes'!A:A,0)),ROW('Published Replays'!B:B),""""),ROW(A3))),""""))"),"CROX, YETI &amp; Q3 Discretionary Spend")</f>
        <v>CROX, YETI &amp; Q3 Discretionary Spend</v>
      </c>
      <c r="B4" s="41">
        <f ca="1">IFERROR(__xludf.DUMMYFUNCTION("""COMPUTED_VALUE"""),45588)</f>
        <v>45588</v>
      </c>
    </row>
    <row r="5" spans="1:2" x14ac:dyDescent="0.2">
      <c r="A5" s="40" t="str">
        <f ca="1">IFERROR(__xludf.DUMMYFUNCTION("unique(IFERROR(index('Published Replays'!B:B,small(if(ISNUMBER(match('Published Replays'!B:B,'Calls without notes'!A:A,0)),ROW('Published Replays'!B:B),""""),ROW(A4))),""""))"),"Foodservice Distribution: Looking for Traffic in Q3?")</f>
        <v>Foodservice Distribution: Looking for Traffic in Q3?</v>
      </c>
      <c r="B5" s="41">
        <f ca="1">IFERROR(__xludf.DUMMYFUNCTION("""COMPUTED_VALUE"""),45586)</f>
        <v>45586</v>
      </c>
    </row>
    <row r="6" spans="1:2" x14ac:dyDescent="0.2">
      <c r="A6" s="40" t="str">
        <f ca="1">IFERROR(__xludf.DUMMYFUNCTION("unique(IFERROR(index('Published Replays'!B:B,small(if(ISNUMBER(match('Published Replays'!B:B,'Calls without notes'!A:A,0)),ROW('Published Replays'!B:B),""""),ROW(A5))),""""))"),"Cybersecurity Securing Deals in Q3?")</f>
        <v>Cybersecurity Securing Deals in Q3?</v>
      </c>
      <c r="B6" s="41">
        <f ca="1">IFERROR(__xludf.DUMMYFUNCTION("""COMPUTED_VALUE"""),45586)</f>
        <v>45586</v>
      </c>
    </row>
    <row r="7" spans="1:2" x14ac:dyDescent="0.2">
      <c r="A7" s="40" t="str">
        <f ca="1">IFERROR(__xludf.DUMMYFUNCTION("unique(IFERROR(index('Published Replays'!B:B,small(if(ISNUMBER(match('Published Replays'!B:B,'Calls without notes'!A:A,0)),ROW('Published Replays'!B:B),""""),ROW(A6))),""""))"),"TEAM &amp; GTLB: Q3’24 Update")</f>
        <v>TEAM &amp; GTLB: Q3’24 Update</v>
      </c>
      <c r="B7" s="41">
        <f ca="1">IFERROR(__xludf.DUMMYFUNCTION("""COMPUTED_VALUE"""),45583)</f>
        <v>45583</v>
      </c>
    </row>
    <row r="8" spans="1:2" x14ac:dyDescent="0.2">
      <c r="A8" s="40" t="str">
        <f ca="1">IFERROR(__xludf.DUMMYFUNCTION("unique(IFERROR(index('Published Replays'!B:B,small(if(ISNUMBER(match('Published Replays'!B:B,'Calls without notes'!A:A,0)),ROW('Published Replays'!B:B),""""),ROW(A7))),""""))"),"Tequila: Take a Shot on Q3?")</f>
        <v>Tequila: Take a Shot on Q3?</v>
      </c>
      <c r="B8" s="41">
        <f ca="1">IFERROR(__xludf.DUMMYFUNCTION("""COMPUTED_VALUE"""),45583)</f>
        <v>45583</v>
      </c>
    </row>
    <row r="9" spans="1:2" x14ac:dyDescent="0.2">
      <c r="A9" s="40" t="str">
        <f ca="1">IFERROR(__xludf.DUMMYFUNCTION("unique(IFERROR(index('Published Replays'!B:B,small(if(ISNUMBER(match('Published Replays'!B:B,'Calls without notes'!A:A,0)),ROW('Published Replays'!B:B),""""),ROW(A8))),""""))"),"Building Products: Rates Down, Demand Up?")</f>
        <v>Building Products: Rates Down, Demand Up?</v>
      </c>
      <c r="B9" s="41">
        <f ca="1">IFERROR(__xludf.DUMMYFUNCTION("""COMPUTED_VALUE"""),45582)</f>
        <v>45582</v>
      </c>
    </row>
    <row r="10" spans="1:2" x14ac:dyDescent="0.2">
      <c r="A10" s="40" t="str">
        <f ca="1">IFERROR(__xludf.DUMMYFUNCTION("unique(IFERROR(index('Published Replays'!B:B,small(if(ISNUMBER(match('Published Replays'!B:B,'Calls without notes'!A:A,0)),ROW('Published Replays'!B:B),""""),ROW(A9))),""""))"),"Theme Parks in for a Halloween Scare?")</f>
        <v>Theme Parks in for a Halloween Scare?</v>
      </c>
      <c r="B10" s="41">
        <f ca="1">IFERROR(__xludf.DUMMYFUNCTION("""COMPUTED_VALUE"""),45582)</f>
        <v>45582</v>
      </c>
    </row>
    <row r="11" spans="1:2" x14ac:dyDescent="0.2">
      <c r="A11" s="40" t="str">
        <f ca="1">IFERROR(__xludf.DUMMYFUNCTION("unique(IFERROR(index('Published Replays'!B:B,small(if(ISNUMBER(match('Published Replays'!B:B,'Calls without notes'!A:A,0)),ROW('Published Replays'!B:B),""""),ROW(A10))),""""))"),"DHI, LEN, TOL: Laying Foundations in Q3")</f>
        <v>DHI, LEN, TOL: Laying Foundations in Q3</v>
      </c>
      <c r="B11" s="41">
        <f ca="1">IFERROR(__xludf.DUMMYFUNCTION("""COMPUTED_VALUE"""),45581)</f>
        <v>45581</v>
      </c>
    </row>
    <row r="12" spans="1:2" x14ac:dyDescent="0.2">
      <c r="A12" s="40" t="str">
        <f ca="1">IFERROR(__xludf.DUMMYFUNCTION("unique(IFERROR(index('Published Replays'!B:B,small(if(ISNUMBER(match('Published Replays'!B:B,'Calls without notes'!A:A,0)),ROW('Published Replays'!B:B),""""),ROW(A11))),""""))"),"MHK &amp; Flooring: Laying a Base in Q3?")</f>
        <v>MHK &amp; Flooring: Laying a Base in Q3?</v>
      </c>
      <c r="B12" s="41">
        <f ca="1">IFERROR(__xludf.DUMMYFUNCTION("""COMPUTED_VALUE"""),45581)</f>
        <v>45581</v>
      </c>
    </row>
    <row r="13" spans="1:2" x14ac:dyDescent="0.2">
      <c r="A13" s="40" t="str">
        <f ca="1">IFERROR(__xludf.DUMMYFUNCTION("unique(IFERROR(index('Published Replays'!B:B,small(if(ISNUMBER(match('Published Replays'!B:B,'Calls without notes'!A:A,0)),ROW('Published Replays'!B:B),""""),ROW(A12))),""""))"),"Wayfair &amp; Furniture Retail in Q3")</f>
        <v>Wayfair &amp; Furniture Retail in Q3</v>
      </c>
      <c r="B13" s="41">
        <f ca="1">IFERROR(__xludf.DUMMYFUNCTION("""COMPUTED_VALUE"""),45580)</f>
        <v>45580</v>
      </c>
    </row>
    <row r="14" spans="1:2" x14ac:dyDescent="0.2">
      <c r="A14" s="40" t="str">
        <f ca="1">IFERROR(__xludf.DUMMYFUNCTION("unique(IFERROR(index('Published Replays'!B:B,small(if(ISNUMBER(match('Published Replays'!B:B,'Calls without notes'!A:A,0)),ROW('Published Replays'!B:B),""""),ROW(A13))),""""))"),"DDOG: Bits AI Driving Growth?")</f>
        <v>DDOG: Bits AI Driving Growth?</v>
      </c>
      <c r="B14" s="41">
        <f ca="1">IFERROR(__xludf.DUMMYFUNCTION("""COMPUTED_VALUE"""),45580)</f>
        <v>45580</v>
      </c>
    </row>
    <row r="15" spans="1:2" x14ac:dyDescent="0.2">
      <c r="A15" s="40" t="str">
        <f ca="1">IFERROR(__xludf.DUMMYFUNCTION("unique(IFERROR(index('Published Replays'!B:B,small(if(ISNUMBER(match('Published Replays'!B:B,'Calls without notes'!A:A,0)),ROW('Published Replays'!B:B),""""),ROW(A14))),""""))"),"Regional Casinos &amp; Rate Cut Roulette")</f>
        <v>Regional Casinos &amp; Rate Cut Roulette</v>
      </c>
      <c r="B15" s="41">
        <f ca="1">IFERROR(__xludf.DUMMYFUNCTION("""COMPUTED_VALUE"""),45580)</f>
        <v>45580</v>
      </c>
    </row>
    <row r="16" spans="1:2" x14ac:dyDescent="0.2">
      <c r="A16" s="40" t="str">
        <f ca="1">IFERROR(__xludf.DUMMYFUNCTION("unique(IFERROR(index('Published Replays'!B:B,small(if(ISNUMBER(match('Published Replays'!B:B,'Calls without notes'!A:A,0)),ROW('Published Replays'!B:B),""""),ROW(A15))),""""))"),"BC: Navigating Rocky Boat Demand")</f>
        <v>BC: Navigating Rocky Boat Demand</v>
      </c>
      <c r="B16" s="41">
        <f ca="1">IFERROR(__xludf.DUMMYFUNCTION("""COMPUTED_VALUE"""),45579)</f>
        <v>45579</v>
      </c>
    </row>
    <row r="17" spans="1:2" x14ac:dyDescent="0.2">
      <c r="A17" s="40" t="str">
        <f ca="1">IFERROR(__xludf.DUMMYFUNCTION("unique(IFERROR(index('Published Replays'!B:B,small(if(ISNUMBER(match('Published Replays'!B:B,'Calls without notes'!A:A,0)),ROW('Published Replays'!B:B),""""),ROW(A16))),""""))"),"TTD's Inventory &amp; Demand in Q3'24")</f>
        <v>TTD's Inventory &amp; Demand in Q3'24</v>
      </c>
      <c r="B17" s="41">
        <f ca="1">IFERROR(__xludf.DUMMYFUNCTION("""COMPUTED_VALUE"""),45579)</f>
        <v>45579</v>
      </c>
    </row>
    <row r="18" spans="1:2" x14ac:dyDescent="0.2">
      <c r="A18" s="40" t="str">
        <f ca="1">IFERROR(__xludf.DUMMYFUNCTION("unique(IFERROR(index('Published Replays'!B:B,small(if(ISNUMBER(match('Published Replays'!B:B,'Calls without notes'!A:A,0)),ROW('Published Replays'!B:B),""""),ROW(A17))),""""))"),"ONON, DECK &amp; NKE: Competition in 2H’24 &amp; 2025")</f>
        <v>ONON, DECK &amp; NKE: Competition in 2H’24 &amp; 2025</v>
      </c>
      <c r="B18" s="41">
        <f ca="1">IFERROR(__xludf.DUMMYFUNCTION("""COMPUTED_VALUE"""),45576)</f>
        <v>45576</v>
      </c>
    </row>
    <row r="19" spans="1:2" x14ac:dyDescent="0.2">
      <c r="A19" s="40" t="str">
        <f ca="1">IFERROR(__xludf.DUMMYFUNCTION("unique(IFERROR(index('Published Replays'!B:B,small(if(ISNUMBER(match('Published Replays'!B:B,'Calls without notes'!A:A,0)),ROW('Published Replays'!B:B),""""),ROW(A18))),""""))"),"Residential Solar: Are the Clouds Clearing?")</f>
        <v>Residential Solar: Are the Clouds Clearing?</v>
      </c>
      <c r="B19" s="41">
        <f ca="1">IFERROR(__xludf.DUMMYFUNCTION("""COMPUTED_VALUE"""),45575)</f>
        <v>45575</v>
      </c>
    </row>
    <row r="20" spans="1:2" x14ac:dyDescent="0.2">
      <c r="A20" s="40" t="str">
        <f ca="1">IFERROR(__xludf.DUMMYFUNCTION("unique(IFERROR(index('Published Replays'!B:B,small(if(ISNUMBER(match('Published Replays'!B:B,'Calls without notes'!A:A,0)),ROW('Published Replays'!B:B),""""),ROW(A19))),""""))"),"Hasbro Stacking the Deck for 2025?")</f>
        <v>Hasbro Stacking the Deck for 2025?</v>
      </c>
      <c r="B20" s="41">
        <f ca="1">IFERROR(__xludf.DUMMYFUNCTION("""COMPUTED_VALUE"""),45575)</f>
        <v>45575</v>
      </c>
    </row>
    <row r="21" spans="1:2" x14ac:dyDescent="0.2">
      <c r="A21" s="40" t="str">
        <f ca="1">IFERROR(__xludf.DUMMYFUNCTION("unique(IFERROR(index('Published Replays'!B:B,small(if(ISNUMBER(match('Published Replays'!B:B,'Calls without notes'!A:A,0)),ROW('Published Replays'!B:B),""""),ROW(A20))),""""))"),"Q3 Review and Outlook with ServiceNow Elite Partner")</f>
        <v>Q3 Review and Outlook with ServiceNow Elite Partner</v>
      </c>
      <c r="B21" s="41">
        <f ca="1">IFERROR(__xludf.DUMMYFUNCTION("""COMPUTED_VALUE"""),45575)</f>
        <v>45575</v>
      </c>
    </row>
    <row r="22" spans="1:2" x14ac:dyDescent="0.2">
      <c r="A22" s="40" t="str">
        <f ca="1">IFERROR(__xludf.DUMMYFUNCTION("unique(IFERROR(index('Published Replays'!B:B,small(if(ISNUMBER(match('Published Replays'!B:B,'Calls without notes'!A:A,0)),ROW('Published Replays'!B:B),""""),ROW(A21))),""""))"),"Q3'24 Social Ad Spend Shifts")</f>
        <v>Q3'24 Social Ad Spend Shifts</v>
      </c>
      <c r="B22" s="41">
        <f ca="1">IFERROR(__xludf.DUMMYFUNCTION("""COMPUTED_VALUE"""),45574)</f>
        <v>45574</v>
      </c>
    </row>
    <row r="23" spans="1:2" x14ac:dyDescent="0.2">
      <c r="A23" s="40" t="str">
        <f ca="1">IFERROR(__xludf.DUMMYFUNCTION("unique(IFERROR(index('Published Replays'!B:B,small(if(ISNUMBER(match('Published Replays'!B:B,'Calls without notes'!A:A,0)),ROW('Published Replays'!B:B),""""),ROW(A22))),""""))"),"Aerospace MRO: Keeping Engines Running?")</f>
        <v>Aerospace MRO: Keeping Engines Running?</v>
      </c>
      <c r="B23" s="41">
        <f ca="1">IFERROR(__xludf.DUMMYFUNCTION("""COMPUTED_VALUE"""),45573)</f>
        <v>45573</v>
      </c>
    </row>
    <row r="24" spans="1:2" x14ac:dyDescent="0.2">
      <c r="A24" s="40" t="str">
        <f ca="1">IFERROR(__xludf.DUMMYFUNCTION("unique(IFERROR(index('Published Replays'!B:B,small(if(ISNUMBER(match('Published Replays'!B:B,'Calls without notes'!A:A,0)),ROW('Published Replays'!B:B),""""),ROW(A23))),""""))"),"ABNB &amp; Vacation Rentals: Q3’24 Bookings")</f>
        <v>ABNB &amp; Vacation Rentals: Q3’24 Bookings</v>
      </c>
      <c r="B24" s="41">
        <f ca="1">IFERROR(__xludf.DUMMYFUNCTION("""COMPUTED_VALUE"""),45573)</f>
        <v>45573</v>
      </c>
    </row>
    <row r="25" spans="1:2" x14ac:dyDescent="0.2">
      <c r="A25" s="40" t="str">
        <f ca="1">IFERROR(__xludf.DUMMYFUNCTION("unique(IFERROR(index('Published Replays'!B:B,small(if(ISNUMBER(match('Published Replays'!B:B,'Calls without notes'!A:A,0)),ROW('Published Replays'!B:B),""""),ROW(A24))),""""))"),"PPG &amp; SHW: Painting the Town Red?")</f>
        <v>PPG &amp; SHW: Painting the Town Red?</v>
      </c>
      <c r="B25" s="41">
        <f ca="1">IFERROR(__xludf.DUMMYFUNCTION("""COMPUTED_VALUE"""),45573)</f>
        <v>45573</v>
      </c>
    </row>
    <row r="26" spans="1:2" x14ac:dyDescent="0.2">
      <c r="A26" s="40" t="str">
        <f ca="1">IFERROR(__xludf.DUMMYFUNCTION("unique(IFERROR(index('Published Replays'!B:B,small(if(ISNUMBER(match('Published Replays'!B:B,'Calls without notes'!A:A,0)),ROW('Published Replays'!B:B),""""),ROW(A25))),""""))"),"Q3'24 Software Update with $500M IT Integrator")</f>
        <v>Q3'24 Software Update with $500M IT Integrator</v>
      </c>
      <c r="B26" s="41">
        <f ca="1">IFERROR(__xludf.DUMMYFUNCTION("""COMPUTED_VALUE"""),45572)</f>
        <v>45572</v>
      </c>
    </row>
    <row r="27" spans="1:2" x14ac:dyDescent="0.2">
      <c r="A27" s="40" t="str">
        <f ca="1">IFERROR(__xludf.DUMMYFUNCTION("unique(IFERROR(index('Published Replays'!B:B,small(if(ISNUMBER(match('Published Replays'!B:B,'Calls without notes'!A:A,0)),ROW('Published Replays'!B:B),""""),ROW(A26))),""""))"),"ROL, RTO LN: Who You Gonna Call?")</f>
        <v>ROL, RTO LN: Who You Gonna Call?</v>
      </c>
      <c r="B27" s="41">
        <f ca="1">IFERROR(__xludf.DUMMYFUNCTION("""COMPUTED_VALUE"""),45572)</f>
        <v>45572</v>
      </c>
    </row>
    <row r="28" spans="1:2" x14ac:dyDescent="0.2">
      <c r="A28" s="40" t="str">
        <f ca="1">IFERROR(__xludf.DUMMYFUNCTION("unique(IFERROR(index('Published Replays'!B:B,small(if(ISNUMBER(match('Published Replays'!B:B,'Calls without notes'!A:A,0)),ROW('Published Replays'!B:B),""""),ROW(A27))),""""))"),"Macau Stumbles with Chinese Economy")</f>
        <v>Macau Stumbles with Chinese Economy</v>
      </c>
      <c r="B28" s="41">
        <f ca="1">IFERROR(__xludf.DUMMYFUNCTION("""COMPUTED_VALUE"""),45572)</f>
        <v>45572</v>
      </c>
    </row>
    <row r="29" spans="1:2" x14ac:dyDescent="0.2">
      <c r="A29" s="40" t="str">
        <f ca="1">IFERROR(__xludf.DUMMYFUNCTION("unique(IFERROR(index('Published Replays'!B:B,small(if(ISNUMBER(match('Published Replays'!B:B,'Calls without notes'!A:A,0)),ROW('Published Replays'!B:B),""""),ROW(A28))),""""))"),"Used Car Affordability &amp; Q3 Demand")</f>
        <v>Used Car Affordability &amp; Q3 Demand</v>
      </c>
      <c r="B29" s="41">
        <f ca="1">IFERROR(__xludf.DUMMYFUNCTION("""COMPUTED_VALUE"""),45568)</f>
        <v>45568</v>
      </c>
    </row>
    <row r="30" spans="1:2" x14ac:dyDescent="0.2">
      <c r="A30" s="40" t="str">
        <f ca="1">IFERROR(__xludf.DUMMYFUNCTION("unique(IFERROR(index('Published Replays'!B:B,small(if(ISNUMBER(match('Published Replays'!B:B,'Calls without notes'!A:A,0)),ROW('Published Replays'!B:B),""""),ROW(A29))),""""))"),"Q3 2024 Digital Advertising Update")</f>
        <v>Q3 2024 Digital Advertising Update</v>
      </c>
      <c r="B30" s="41">
        <f ca="1">IFERROR(__xludf.DUMMYFUNCTION("""COMPUTED_VALUE"""),45567)</f>
        <v>45567</v>
      </c>
    </row>
    <row r="31" spans="1:2" x14ac:dyDescent="0.2">
      <c r="A31" s="40" t="str">
        <f ca="1">IFERROR(__xludf.DUMMYFUNCTION("unique(IFERROR(index('Published Replays'!B:B,small(if(ISNUMBER(match('Published Replays'!B:B,'Calls without notes'!A:A,0)),ROW('Published Replays'!B:B),""""),ROW(A30))),""""))"),"POOL, LESL: Rate Cuts to the Rescue?")</f>
        <v>POOL, LESL: Rate Cuts to the Rescue?</v>
      </c>
      <c r="B31" s="41">
        <f ca="1">IFERROR(__xludf.DUMMYFUNCTION("""COMPUTED_VALUE"""),45567)</f>
        <v>45567</v>
      </c>
    </row>
    <row r="32" spans="1:2" x14ac:dyDescent="0.2">
      <c r="A32" s="40" t="str">
        <f ca="1">IFERROR(__xludf.DUMMYFUNCTION("unique(IFERROR(index('Published Replays'!B:B,small(if(ISNUMBER(match('Published Replays'!B:B,'Calls without notes'!A:A,0)),ROW('Published Replays'!B:B),""""),ROW(A31))),""""))"),"Utility Solar: Tariffs &amp; Growing Power Needs")</f>
        <v>Utility Solar: Tariffs &amp; Growing Power Needs</v>
      </c>
      <c r="B32" s="41">
        <f ca="1">IFERROR(__xludf.DUMMYFUNCTION("""COMPUTED_VALUE"""),45566)</f>
        <v>45566</v>
      </c>
    </row>
    <row r="33" spans="1:2" x14ac:dyDescent="0.2">
      <c r="A33" s="40" t="str">
        <f ca="1">IFERROR(__xludf.DUMMYFUNCTION("unique(IFERROR(index('Published Replays'!B:B,small(if(ISNUMBER(match('Published Replays'!B:B,'Calls without notes'!A:A,0)),ROW('Published Replays'!B:B),""""),ROW(A32))),""""))"),"WillScot &amp; Modular Storage Demand")</f>
        <v>WillScot &amp; Modular Storage Demand</v>
      </c>
      <c r="B33" s="41">
        <f ca="1">IFERROR(__xludf.DUMMYFUNCTION("""COMPUTED_VALUE"""),45566)</f>
        <v>45566</v>
      </c>
    </row>
    <row r="34" spans="1:2" x14ac:dyDescent="0.2">
      <c r="A34" s="40" t="str">
        <f ca="1">IFERROR(__xludf.DUMMYFUNCTION("unique(IFERROR(index('Published Replays'!B:B,small(if(ISNUMBER(match('Published Replays'!B:B,'Calls without notes'!A:A,0)),ROW('Published Replays'!B:B),""""),ROW(A33))),""""))"),"AI &amp; Enterprise IT Spending")</f>
        <v>AI &amp; Enterprise IT Spending</v>
      </c>
      <c r="B34" s="41">
        <f ca="1">IFERROR(__xludf.DUMMYFUNCTION("""COMPUTED_VALUE"""),45561)</f>
        <v>45561</v>
      </c>
    </row>
    <row r="35" spans="1:2" x14ac:dyDescent="0.2">
      <c r="A35" s="40" t="str">
        <f ca="1">IFERROR(__xludf.DUMMYFUNCTION("unique(IFERROR(index('Published Replays'!B:B,small(if(ISNUMBER(match('Published Replays'!B:B,'Calls without notes'!A:A,0)),ROW('Published Replays'!B:B),""""),ROW(A34))),""""))"),"AI Market Dynamics with Former Microsoft Director")</f>
        <v>AI Market Dynamics with Former Microsoft Director</v>
      </c>
      <c r="B35" s="41">
        <f ca="1">IFERROR(__xludf.DUMMYFUNCTION("""COMPUTED_VALUE"""),45554)</f>
        <v>45554</v>
      </c>
    </row>
    <row r="36" spans="1:2" x14ac:dyDescent="0.2">
      <c r="A36" s="40" t="str">
        <f ca="1">IFERROR(__xludf.DUMMYFUNCTION("unique(IFERROR(index('Published Replays'!B:B,small(if(ISNUMBER(match('Published Replays'!B:B,'Calls without notes'!A:A,0)),ROW('Published Replays'!B:B),""""),ROW(A35))),""""))"),"Vail Resorts: Smooth Trails or Rough Terrain?")</f>
        <v>Vail Resorts: Smooth Trails or Rough Terrain?</v>
      </c>
      <c r="B36" s="41">
        <f ca="1">IFERROR(__xludf.DUMMYFUNCTION("""COMPUTED_VALUE"""),45553)</f>
        <v>45553</v>
      </c>
    </row>
    <row r="37" spans="1:2" x14ac:dyDescent="0.2">
      <c r="A37" s="40" t="str">
        <f ca="1">IFERROR(__xludf.DUMMYFUNCTION("unique(IFERROR(index('Published Replays'!B:B,small(if(ISNUMBER(match('Published Replays'!B:B,'Calls without notes'!A:A,0)),ROW('Published Replays'!B:B),""""),ROW(A36))),""""))"),"Q3’24 CTV/OTT &amp; Digital Ad Demand")</f>
        <v>Q3’24 CTV/OTT &amp; Digital Ad Demand</v>
      </c>
      <c r="B37" s="41">
        <f ca="1">IFERROR(__xludf.DUMMYFUNCTION("""COMPUTED_VALUE"""),45552)</f>
        <v>45552</v>
      </c>
    </row>
    <row r="38" spans="1:2" x14ac:dyDescent="0.2">
      <c r="A38" s="40" t="str">
        <f ca="1">IFERROR(__xludf.DUMMYFUNCTION("unique(IFERROR(index('Published Replays'!B:B,small(if(ISNUMBER(match('Published Replays'!B:B,'Calls without notes'!A:A,0)),ROW('Published Replays'!B:B),""""),ROW(A37))),""""))"),"Navigating the Trucking Cycle")</f>
        <v>Navigating the Trucking Cycle</v>
      </c>
      <c r="B38" s="41">
        <f ca="1">IFERROR(__xludf.DUMMYFUNCTION("""COMPUTED_VALUE"""),45545)</f>
        <v>45545</v>
      </c>
    </row>
    <row r="39" spans="1:2" x14ac:dyDescent="0.2">
      <c r="A39" s="40" t="str">
        <f ca="1">IFERROR(__xludf.DUMMYFUNCTION("unique(IFERROR(index('Published Replays'!B:B,small(if(ISNUMBER(match('Published Replays'!B:B,'Calls without notes'!A:A,0)),ROW('Published Replays'!B:B),""""),ROW(A38))),""""))"),"LW’s Q1’25: French Fry Price War?")</f>
        <v>LW’s Q1’25: French Fry Price War?</v>
      </c>
      <c r="B39" s="41">
        <f ca="1">IFERROR(__xludf.DUMMYFUNCTION("""COMPUTED_VALUE"""),45545)</f>
        <v>45545</v>
      </c>
    </row>
    <row r="40" spans="1:2" x14ac:dyDescent="0.2">
      <c r="A40" s="40" t="str">
        <f ca="1">IFERROR(__xludf.DUMMYFUNCTION("unique(IFERROR(index('Published Replays'!B:B,small(if(ISNUMBER(match('Published Replays'!B:B,'Calls without notes'!A:A,0)),ROW('Published Replays'!B:B),""""),ROW(A39))),""""))"),"FERG &amp; Pending Rate Cuts")</f>
        <v>FERG &amp; Pending Rate Cuts</v>
      </c>
      <c r="B40" s="41">
        <f ca="1">IFERROR(__xludf.DUMMYFUNCTION("""COMPUTED_VALUE"""),45540)</f>
        <v>45540</v>
      </c>
    </row>
    <row r="41" spans="1:2" x14ac:dyDescent="0.2">
      <c r="A41" s="40" t="str">
        <f ca="1">IFERROR(__xludf.DUMMYFUNCTION("unique(IFERROR(index('Published Replays'!B:B,small(if(ISNUMBER(match('Published Replays'!B:B,'Calls without notes'!A:A,0)),ROW('Published Replays'!B:B),""""),ROW(A40))),""""))"),"CRWD, OKTA: Securing the Enterprise in Q2")</f>
        <v>CRWD, OKTA: Securing the Enterprise in Q2</v>
      </c>
      <c r="B41" s="41">
        <f ca="1">IFERROR(__xludf.DUMMYFUNCTION("""COMPUTED_VALUE"""),45527)</f>
        <v>45527</v>
      </c>
    </row>
    <row r="42" spans="1:2" x14ac:dyDescent="0.2">
      <c r="A42" s="40" t="str">
        <f ca="1">IFERROR(__xludf.DUMMYFUNCTION("unique(IFERROR(index('Published Replays'!B:B,small(if(ISNUMBER(match('Published Replays'!B:B,'Calls without notes'!A:A,0)),ROW('Published Replays'!B:B),""""),ROW(A41))),""""))"),"Deciphering CRM's Q2 Performance")</f>
        <v>Deciphering CRM's Q2 Performance</v>
      </c>
      <c r="B42" s="41">
        <f ca="1">IFERROR(__xludf.DUMMYFUNCTION("""COMPUTED_VALUE"""),45518)</f>
        <v>45518</v>
      </c>
    </row>
    <row r="43" spans="1:2" x14ac:dyDescent="0.2">
      <c r="A43" s="40" t="str">
        <f ca="1">IFERROR(__xludf.DUMMYFUNCTION("unique(IFERROR(index('Published Replays'!B:B,small(if(ISNUMBER(match('Published Replays'!B:B,'Calls without notes'!A:A,0)),ROW('Published Replays'!B:B),""""),ROW(A42))),""""))"),"Q2’24 Grocery &amp; Consumer Health")</f>
        <v>Q2’24 Grocery &amp; Consumer Health</v>
      </c>
      <c r="B43" s="41">
        <f ca="1">IFERROR(__xludf.DUMMYFUNCTION("""COMPUTED_VALUE"""),45511)</f>
        <v>45511</v>
      </c>
    </row>
    <row r="44" spans="1:2" x14ac:dyDescent="0.2">
      <c r="A44" s="40" t="str">
        <f ca="1">IFERROR(__xludf.DUMMYFUNCTION("unique(IFERROR(index('Published Replays'!B:B,small(if(ISNUMBER(match('Published Replays'!B:B,'Calls without notes'!A:A,0)),ROW('Published Replays'!B:B),""""),ROW(A43))),""""))"),"CALM &amp; VITL: Premium Eggs Getting Pricey?")</f>
        <v>CALM &amp; VITL: Premium Eggs Getting Pricey?</v>
      </c>
      <c r="B44" s="41">
        <f ca="1">IFERROR(__xludf.DUMMYFUNCTION("""COMPUTED_VALUE"""),45506)</f>
        <v>45506</v>
      </c>
    </row>
    <row r="45" spans="1:2" x14ac:dyDescent="0.2">
      <c r="A45" s="40" t="str">
        <f ca="1">IFERROR(__xludf.DUMMYFUNCTION("unique(IFERROR(index('Published Replays'!B:B,small(if(ISNUMBER(match('Published Replays'!B:B,'Calls without notes'!A:A,0)),ROW('Published Replays'!B:B),""""),ROW(A44))),""""))"),"Can Off-Price Continue Upbeat Trends?")</f>
        <v>Can Off-Price Continue Upbeat Trends?</v>
      </c>
      <c r="B45" s="41">
        <f ca="1">IFERROR(__xludf.DUMMYFUNCTION("""COMPUTED_VALUE"""),45505)</f>
        <v>45505</v>
      </c>
    </row>
    <row r="46" spans="1:2" x14ac:dyDescent="0.2">
      <c r="A46" s="40" t="str">
        <f ca="1">IFERROR(__xludf.DUMMYFUNCTION("unique(IFERROR(index('Published Replays'!B:B,small(if(ISNUMBER(match('Published Replays'!B:B,'Calls without notes'!A:A,0)),ROW('Published Replays'!B:B),""""),ROW(A45))),""""))"),"ATKR: Q2’24 Distributor Update")</f>
        <v>ATKR: Q2’24 Distributor Update</v>
      </c>
      <c r="B46" s="41">
        <f ca="1">IFERROR(__xludf.DUMMYFUNCTION("""COMPUTED_VALUE"""),45503)</f>
        <v>45503</v>
      </c>
    </row>
    <row r="47" spans="1:2" x14ac:dyDescent="0.2">
      <c r="A47" s="40" t="str">
        <f ca="1">IFERROR(__xludf.DUMMYFUNCTION("unique(IFERROR(index('Published Replays'!B:B,small(if(ISNUMBER(match('Published Replays'!B:B,'Calls without notes'!A:A,0)),ROW('Published Replays'!B:B),""""),ROW(A46))),""""))"),"Can PLNT Build on Strength?")</f>
        <v>Can PLNT Build on Strength?</v>
      </c>
      <c r="B47" s="41">
        <f ca="1">IFERROR(__xludf.DUMMYFUNCTION("""COMPUTED_VALUE"""),45499)</f>
        <v>45499</v>
      </c>
    </row>
    <row r="48" spans="1:2" x14ac:dyDescent="0.2">
      <c r="A48" s="40" t="str">
        <f ca="1">IFERROR(__xludf.DUMMYFUNCTION("unique(IFERROR(index('Published Replays'!B:B,small(if(ISNUMBER(match('Published Replays'!B:B,'Calls without notes'!A:A,0)),ROW('Published Replays'!B:B),""""),ROW(A47))),""""))"),"ASO, DKS: Apparel, Footwear, and Accessories in Q2’24")</f>
        <v>ASO, DKS: Apparel, Footwear, and Accessories in Q2’24</v>
      </c>
      <c r="B48" s="41">
        <f ca="1">IFERROR(__xludf.DUMMYFUNCTION("""COMPUTED_VALUE"""),45498)</f>
        <v>45498</v>
      </c>
    </row>
    <row r="49" spans="1:2" x14ac:dyDescent="0.2">
      <c r="A49" s="40" t="str">
        <f ca="1">IFERROR(__xludf.DUMMYFUNCTION("unique(IFERROR(index('Published Replays'!B:B,small(if(ISNUMBER(match('Published Replays'!B:B,'Calls without notes'!A:A,0)),ROW('Published Replays'!B:B),""""),ROW(A48))),""""))"),"ZoomInfo: Q2'24, Copilot &amp; Demand Growth")</f>
        <v>ZoomInfo: Q2'24, Copilot &amp; Demand Growth</v>
      </c>
      <c r="B49" s="41">
        <f ca="1">IFERROR(__xludf.DUMMYFUNCTION("""COMPUTED_VALUE"""),45498)</f>
        <v>45498</v>
      </c>
    </row>
    <row r="50" spans="1:2" x14ac:dyDescent="0.2">
      <c r="A50" s="40" t="str">
        <f ca="1">IFERROR(__xludf.DUMMYFUNCTION("unique(IFERROR(index('Published Replays'!B:B,small(if(ISNUMBER(match('Published Replays'!B:B,'Calls without notes'!A:A,0)),ROW('Published Replays'!B:B),""""),ROW(A49))),""""))"),"TEAM &amp; GTLB: Q2’24 Update")</f>
        <v>TEAM &amp; GTLB: Q2’24 Update</v>
      </c>
      <c r="B50" s="41">
        <f ca="1">IFERROR(__xludf.DUMMYFUNCTION("""COMPUTED_VALUE"""),45498)</f>
        <v>45498</v>
      </c>
    </row>
    <row r="51" spans="1:2" x14ac:dyDescent="0.2">
      <c r="A51" s="40" t="str">
        <f ca="1">IFERROR(__xludf.DUMMYFUNCTION("unique(IFERROR(index('Published Replays'!B:B,small(if(ISNUMBER(match('Published Replays'!B:B,'Calls without notes'!A:A,0)),ROW('Published Replays'!B:B),""""),ROW(A50))),""""))"),"TPX: No Rest for the Weary?")</f>
        <v>TPX: No Rest for the Weary?</v>
      </c>
      <c r="B51" s="41">
        <f ca="1">IFERROR(__xludf.DUMMYFUNCTION("""COMPUTED_VALUE"""),45498)</f>
        <v>45498</v>
      </c>
    </row>
    <row r="52" spans="1:2" x14ac:dyDescent="0.2">
      <c r="A52" s="40" t="str">
        <f ca="1">IFERROR(__xludf.DUMMYFUNCTION("unique(IFERROR(index('Published Replays'!B:B,small(if(ISNUMBER(match('Published Replays'!B:B,'Calls without notes'!A:A,0)),ROW('Published Replays'!B:B),""""),ROW(A51))),""""))"),"Auto Services: Oil Changes &amp; Car Washes in Q2'24")</f>
        <v>Auto Services: Oil Changes &amp; Car Washes in Q2'24</v>
      </c>
      <c r="B52" s="41">
        <f ca="1">IFERROR(__xludf.DUMMYFUNCTION("""COMPUTED_VALUE"""),45498)</f>
        <v>45498</v>
      </c>
    </row>
    <row r="53" spans="1:2" x14ac:dyDescent="0.2">
      <c r="A53" s="40" t="str">
        <f ca="1">IFERROR(__xludf.DUMMYFUNCTION("unique(IFERROR(index('Published Replays'!B:B,small(if(ISNUMBER(match('Published Replays'!B:B,'Calls without notes'!A:A,0)),ROW('Published Replays'!B:B),""""),ROW(A52))),""""))"),"Q2'24 Self-Storage: Rates, Retention &amp; Demand")</f>
        <v>Q2'24 Self-Storage: Rates, Retention &amp; Demand</v>
      </c>
      <c r="B53" s="41">
        <f ca="1">IFERROR(__xludf.DUMMYFUNCTION("""COMPUTED_VALUE"""),45497)</f>
        <v>45497</v>
      </c>
    </row>
    <row r="54" spans="1:2" x14ac:dyDescent="0.2">
      <c r="A54" s="40" t="str">
        <f ca="1">IFERROR(__xludf.DUMMYFUNCTION("unique(IFERROR(index('Published Replays'!B:B,small(if(ISNUMBER(match('Published Replays'!B:B,'Calls without notes'!A:A,0)),ROW('Published Replays'!B:B),""""),ROW(A53))),""""))"),"Data Center Photonics: Insights From LITE Former")</f>
        <v>Data Center Photonics: Insights From LITE Former</v>
      </c>
      <c r="B54" s="41">
        <f ca="1">IFERROR(__xludf.DUMMYFUNCTION("""COMPUTED_VALUE"""),45496)</f>
        <v>45496</v>
      </c>
    </row>
    <row r="55" spans="1:2" x14ac:dyDescent="0.2">
      <c r="A55" s="40" t="str">
        <f ca="1">IFERROR(__xludf.DUMMYFUNCTION("unique(IFERROR(index('Published Replays'!B:B,small(if(ISNUMBER(match('Published Replays'!B:B,'Calls without notes'!A:A,0)),ROW('Published Replays'!B:B),""""),ROW(A54))),""""))"),"Building Products Gearing Up for Better Demand?")</f>
        <v>Building Products Gearing Up for Better Demand?</v>
      </c>
      <c r="B55" s="41">
        <f ca="1">IFERROR(__xludf.DUMMYFUNCTION("""COMPUTED_VALUE"""),45496)</f>
        <v>45496</v>
      </c>
    </row>
    <row r="56" spans="1:2" x14ac:dyDescent="0.2">
      <c r="A56" s="40" t="str">
        <f ca="1">IFERROR(__xludf.DUMMYFUNCTION("unique(IFERROR(index('Published Replays'!B:B,small(if(ISNUMBER(match('Published Replays'!B:B,'Calls without notes'!A:A,0)),ROW('Published Replays'!B:B),""""),ROW(A55))),""""))"),"Cosmetics: Can They Makeup Growth?")</f>
        <v>Cosmetics: Can They Makeup Growth?</v>
      </c>
      <c r="B56" s="41">
        <f ca="1">IFERROR(__xludf.DUMMYFUNCTION("""COMPUTED_VALUE"""),45496)</f>
        <v>45496</v>
      </c>
    </row>
    <row r="57" spans="1:2" x14ac:dyDescent="0.2">
      <c r="A57" s="40" t="str">
        <f ca="1">IFERROR(__xludf.DUMMYFUNCTION("unique(IFERROR(index('Published Replays'!B:B,small(if(ISNUMBER(match('Published Replays'!B:B,'Calls without notes'!A:A,0)),ROW('Published Replays'!B:B),""""),ROW(A56))),""""))"),"Foodservice: Q2’24 Private Label &amp; Volume Growth")</f>
        <v>Foodservice: Q2’24 Private Label &amp; Volume Growth</v>
      </c>
      <c r="B57" s="41">
        <f ca="1">IFERROR(__xludf.DUMMYFUNCTION("""COMPUTED_VALUE"""),45495)</f>
        <v>45495</v>
      </c>
    </row>
    <row r="58" spans="1:2" x14ac:dyDescent="0.2">
      <c r="A58" s="40" t="str">
        <f ca="1">IFERROR(__xludf.DUMMYFUNCTION("unique(IFERROR(index('Published Replays'!B:B,small(if(ISNUMBER(match('Published Replays'!B:B,'Calls without notes'!A:A,0)),ROW('Published Replays'!B:B),""""),ROW(A57))),""""))"),"TTD's Inventory &amp; Demand in Q2'24")</f>
        <v>TTD's Inventory &amp; Demand in Q2'24</v>
      </c>
      <c r="B58" s="41">
        <f ca="1">IFERROR(__xludf.DUMMYFUNCTION("""COMPUTED_VALUE"""),45495)</f>
        <v>45495</v>
      </c>
    </row>
    <row r="59" spans="1:2" x14ac:dyDescent="0.2">
      <c r="A59" s="40" t="str">
        <f ca="1">IFERROR(__xludf.DUMMYFUNCTION("unique(IFERROR(index('Published Replays'!B:B,small(if(ISNUMBER(match('Published Replays'!B:B,'Calls without notes'!A:A,0)),ROW('Published Replays'!B:B),""""),ROW(A58))),""""))"),"CROX &amp; YETI: Sales on Ice?")</f>
        <v>CROX &amp; YETI: Sales on Ice?</v>
      </c>
      <c r="B59" s="41">
        <f ca="1">IFERROR(__xludf.DUMMYFUNCTION("""COMPUTED_VALUE"""),45495)</f>
        <v>45495</v>
      </c>
    </row>
    <row r="60" spans="1:2" x14ac:dyDescent="0.2">
      <c r="A60" s="40" t="str">
        <f ca="1">IFERROR(__xludf.DUMMYFUNCTION("unique(IFERROR(index('Published Replays'!B:B,small(if(ISNUMBER(match('Published Replays'!B:B,'Calls without notes'!A:A,0)),ROW('Published Replays'!B:B),""""),ROW(A59))),""""))"),"ABNB, Vacation Rentals &amp; Summer Demand")</f>
        <v>ABNB, Vacation Rentals &amp; Summer Demand</v>
      </c>
      <c r="B60" s="41">
        <f ca="1">IFERROR(__xludf.DUMMYFUNCTION("""COMPUTED_VALUE"""),45492)</f>
        <v>45492</v>
      </c>
    </row>
    <row r="61" spans="1:2" x14ac:dyDescent="0.2">
      <c r="A61" s="40" t="str">
        <f ca="1">IFERROR(__xludf.DUMMYFUNCTION("unique(IFERROR(index('Published Replays'!B:B,small(if(ISNUMBER(match('Published Replays'!B:B,'Calls without notes'!A:A,0)),ROW('Published Replays'!B:B),""""),ROW(A60))),""""))"),"ONON, DECK &amp; NKE: Lapping Weak Results")</f>
        <v>ONON, DECK &amp; NKE: Lapping Weak Results</v>
      </c>
      <c r="B61" s="41">
        <f ca="1">IFERROR(__xludf.DUMMYFUNCTION("""COMPUTED_VALUE"""),45492)</f>
        <v>45492</v>
      </c>
    </row>
    <row r="62" spans="1:2" x14ac:dyDescent="0.2">
      <c r="A62" s="40" t="str">
        <f ca="1">IFERROR(__xludf.DUMMYFUNCTION("unique(IFERROR(index('Published Replays'!B:B,small(if(ISNUMBER(match('Published Replays'!B:B,'Calls without notes'!A:A,0)),ROW('Published Replays'!B:B),""""),ROW(A61))),""""))"),"Regional Casinos: Limping into Q2?")</f>
        <v>Regional Casinos: Limping into Q2?</v>
      </c>
      <c r="B62" s="41">
        <f ca="1">IFERROR(__xludf.DUMMYFUNCTION("""COMPUTED_VALUE"""),45491)</f>
        <v>45491</v>
      </c>
    </row>
    <row r="63" spans="1:2" x14ac:dyDescent="0.2">
      <c r="A63" s="40" t="str">
        <f ca="1">IFERROR(__xludf.DUMMYFUNCTION("unique(IFERROR(index('Published Replays'!B:B,small(if(ISNUMBER(match('Published Replays'!B:B,'Calls without notes'!A:A,0)),ROW('Published Replays'!B:B),""""),ROW(A62))),""""))"),"ROL, RTO LN: Exterminating the Competition?")</f>
        <v>ROL, RTO LN: Exterminating the Competition?</v>
      </c>
      <c r="B63" s="41">
        <f ca="1">IFERROR(__xludf.DUMMYFUNCTION("""COMPUTED_VALUE"""),45491)</f>
        <v>45491</v>
      </c>
    </row>
    <row r="64" spans="1:2" x14ac:dyDescent="0.2">
      <c r="A64" s="40" t="str">
        <f ca="1">IFERROR(__xludf.DUMMYFUNCTION("unique(IFERROR(index('Published Replays'!B:B,small(if(ISNUMBER(match('Published Replays'!B:B,'Calls without notes'!A:A,0)),ROW('Published Replays'!B:B),""""),ROW(A63))),""""))"),"BC: Boat Demand Staying Afloat?")</f>
        <v>BC: Boat Demand Staying Afloat?</v>
      </c>
      <c r="B64" s="41">
        <f ca="1">IFERROR(__xludf.DUMMYFUNCTION("""COMPUTED_VALUE"""),45490)</f>
        <v>45490</v>
      </c>
    </row>
    <row r="65" spans="1:2" x14ac:dyDescent="0.2">
      <c r="A65" s="40" t="str">
        <f ca="1">IFERROR(__xludf.DUMMYFUNCTION("unique(IFERROR(index('Published Replays'!B:B,small(if(ISNUMBER(match('Published Replays'!B:B,'Calls without notes'!A:A,0)),ROW('Published Replays'!B:B),""""),ROW(A64))),""""))"),"2Q’24 HUBS, KVYO &amp; Martech Demand")</f>
        <v>2Q’24 HUBS, KVYO &amp; Martech Demand</v>
      </c>
      <c r="B65" s="41">
        <f ca="1">IFERROR(__xludf.DUMMYFUNCTION("""COMPUTED_VALUE"""),45490)</f>
        <v>45490</v>
      </c>
    </row>
    <row r="66" spans="1:2" x14ac:dyDescent="0.2">
      <c r="A66" s="40" t="str">
        <f ca="1">IFERROR(__xludf.DUMMYFUNCTION("unique(IFERROR(index('Published Replays'!B:B,small(if(ISNUMBER(match('Published Replays'!B:B,'Calls without notes'!A:A,0)),ROW('Published Replays'!B:B),""""),ROW(A65))),""""))"),"Theme Parks: Rain or Shine in Q2?")</f>
        <v>Theme Parks: Rain or Shine in Q2?</v>
      </c>
      <c r="B66" s="41">
        <f ca="1">IFERROR(__xludf.DUMMYFUNCTION("""COMPUTED_VALUE"""),45490)</f>
        <v>45490</v>
      </c>
    </row>
    <row r="67" spans="1:2" x14ac:dyDescent="0.2">
      <c r="A67" s="40" t="str">
        <f ca="1">IFERROR(__xludf.DUMMYFUNCTION("unique(IFERROR(index('Published Replays'!B:B,small(if(ISNUMBER(match('Published Replays'!B:B,'Calls without notes'!A:A,0)),ROW('Published Replays'!B:B),""""),ROW(A66))),""""))"),"Residential Solar Looking a bit Cloudy?")</f>
        <v>Residential Solar Looking a bit Cloudy?</v>
      </c>
      <c r="B67" s="41">
        <f ca="1">IFERROR(__xludf.DUMMYFUNCTION("""COMPUTED_VALUE"""),45489)</f>
        <v>45489</v>
      </c>
    </row>
    <row r="68" spans="1:2" x14ac:dyDescent="0.2">
      <c r="A68" s="40" t="str">
        <f ca="1">IFERROR(__xludf.DUMMYFUNCTION("unique(IFERROR(index('Published Replays'!B:B,small(if(ISNUMBER(match('Published Replays'!B:B,'Calls without notes'!A:A,0)),ROW('Published Replays'!B:B),""""),ROW(A67))),""""))"),"DDOG: Q2’24 Growth Prospects")</f>
        <v>DDOG: Q2’24 Growth Prospects</v>
      </c>
      <c r="B68" s="41">
        <f ca="1">IFERROR(__xludf.DUMMYFUNCTION("""COMPUTED_VALUE"""),45489)</f>
        <v>45489</v>
      </c>
    </row>
    <row r="69" spans="1:2" x14ac:dyDescent="0.2">
      <c r="A69" s="40" t="str">
        <f ca="1">IFERROR(__xludf.DUMMYFUNCTION("unique(IFERROR(index('Published Replays'!B:B,small(if(ISNUMBER(match('Published Replays'!B:B,'Calls without notes'!A:A,0)),ROW('Published Replays'!B:B),""""),ROW(A68))),""""))"),"Has Hasbro lost the Magic?")</f>
        <v>Has Hasbro lost the Magic?</v>
      </c>
      <c r="B69" s="41">
        <f ca="1">IFERROR(__xludf.DUMMYFUNCTION("""COMPUTED_VALUE"""),45488)</f>
        <v>45488</v>
      </c>
    </row>
    <row r="70" spans="1:2" x14ac:dyDescent="0.2">
      <c r="A70" s="40" t="str">
        <f ca="1">IFERROR(__xludf.DUMMYFUNCTION("unique(IFERROR(index('Published Replays'!B:B,small(if(ISNUMBER(match('Published Replays'!B:B,'Calls without notes'!A:A,0)),ROW('Published Replays'!B:B),""""),ROW(A69))),""""))"),"Diabetes Tools: Monitoring CGM &amp; Pump Demand")</f>
        <v>Diabetes Tools: Monitoring CGM &amp; Pump Demand</v>
      </c>
      <c r="B70" s="41">
        <f ca="1">IFERROR(__xludf.DUMMYFUNCTION("""COMPUTED_VALUE"""),45488)</f>
        <v>45488</v>
      </c>
    </row>
    <row r="71" spans="1:2" x14ac:dyDescent="0.2">
      <c r="A71" s="40" t="str">
        <f ca="1">IFERROR(__xludf.DUMMYFUNCTION("unique(IFERROR(index('Published Replays'!B:B,small(if(ISNUMBER(match('Published Replays'!B:B,'Calls without notes'!A:A,0)),ROW('Published Replays'!B:B),""""),ROW(A70))),""""))"),"ServiceNow: Q2'24 Review w/ Elite Partner")</f>
        <v>ServiceNow: Q2'24 Review w/ Elite Partner</v>
      </c>
      <c r="B71" s="41">
        <f ca="1">IFERROR(__xludf.DUMMYFUNCTION("""COMPUTED_VALUE"""),45488)</f>
        <v>45488</v>
      </c>
    </row>
    <row r="72" spans="1:2" x14ac:dyDescent="0.2">
      <c r="A72" s="40" t="str">
        <f ca="1">IFERROR(__xludf.DUMMYFUNCTION("unique(IFERROR(index('Published Replays'!B:B,small(if(ISNUMBER(match('Published Replays'!B:B,'Calls without notes'!A:A,0)),ROW('Published Replays'!B:B),""""),ROW(A71))),""""))"),"Aerospace MRO Demand in Q2'24")</f>
        <v>Aerospace MRO Demand in Q2'24</v>
      </c>
      <c r="B72" s="41">
        <f ca="1">IFERROR(__xludf.DUMMYFUNCTION("""COMPUTED_VALUE"""),45485)</f>
        <v>45485</v>
      </c>
    </row>
    <row r="73" spans="1:2" x14ac:dyDescent="0.2">
      <c r="A73" s="40" t="str">
        <f ca="1">IFERROR(__xludf.DUMMYFUNCTION("unique(IFERROR(index('Published Replays'!B:B,small(if(ISNUMBER(match('Published Replays'!B:B,'Calls without notes'!A:A,0)),ROW('Published Replays'!B:B),""""),ROW(A72))),""""))"),"Trucking Demand: LTL vs TL Outlook")</f>
        <v>Trucking Demand: LTL vs TL Outlook</v>
      </c>
      <c r="B73" s="41">
        <f ca="1">IFERROR(__xludf.DUMMYFUNCTION("""COMPUTED_VALUE"""),45485)</f>
        <v>45485</v>
      </c>
    </row>
    <row r="74" spans="1:2" x14ac:dyDescent="0.2">
      <c r="A74" s="40" t="str">
        <f ca="1">IFERROR(__xludf.DUMMYFUNCTION("unique(IFERROR(index('Published Replays'!B:B,small(if(ISNUMBER(match('Published Replays'!B:B,'Calls without notes'!A:A,0)),ROW('Published Replays'!B:B),""""),ROW(A73))),""""))"),"Q2'24 Social Ad Spend Shifts")</f>
        <v>Q2'24 Social Ad Spend Shifts</v>
      </c>
      <c r="B74" s="41">
        <f ca="1">IFERROR(__xludf.DUMMYFUNCTION("""COMPUTED_VALUE"""),45484)</f>
        <v>45484</v>
      </c>
    </row>
    <row r="75" spans="1:2" x14ac:dyDescent="0.2">
      <c r="A75" s="40" t="str">
        <f ca="1">IFERROR(__xludf.DUMMYFUNCTION("unique(IFERROR(index('Published Replays'!B:B,small(if(ISNUMBER(match('Published Replays'!B:B,'Calls without notes'!A:A,0)),ROW('Published Replays'!B:B),""""),ROW(A74))),""""))"),"Auto Auctions Searching for Inventory")</f>
        <v>Auto Auctions Searching for Inventory</v>
      </c>
      <c r="B75" s="41">
        <f ca="1">IFERROR(__xludf.DUMMYFUNCTION("""COMPUTED_VALUE"""),45483)</f>
        <v>45483</v>
      </c>
    </row>
    <row r="76" spans="1:2" x14ac:dyDescent="0.2">
      <c r="A76" s="40" t="str">
        <f ca="1">IFERROR(__xludf.DUMMYFUNCTION("unique(IFERROR(index('Published Replays'!B:B,small(if(ISNUMBER(match('Published Replays'!B:B,'Calls without notes'!A:A,0)),ROW('Published Replays'!B:B),""""),ROW(A75))),""""))"),"Q2'24 Software Update with $500M IT Integrator")</f>
        <v>Q2'24 Software Update with $500M IT Integrator</v>
      </c>
      <c r="B76" s="41">
        <f ca="1">IFERROR(__xludf.DUMMYFUNCTION("""COMPUTED_VALUE"""),45483)</f>
        <v>45483</v>
      </c>
    </row>
    <row r="77" spans="1:2" x14ac:dyDescent="0.2">
      <c r="A77" s="40" t="str">
        <f ca="1">IFERROR(__xludf.DUMMYFUNCTION("unique(IFERROR(index('Published Replays'!B:B,small(if(ISNUMBER(match('Published Replays'!B:B,'Calls without notes'!A:A,0)),ROW('Published Replays'!B:B),""""),ROW(A76))),""""))"),"Macau: Summer Upswing?")</f>
        <v>Macau: Summer Upswing?</v>
      </c>
      <c r="B77" s="41">
        <f ca="1">IFERROR(__xludf.DUMMYFUNCTION("""COMPUTED_VALUE"""),45482)</f>
        <v>45482</v>
      </c>
    </row>
    <row r="78" spans="1:2" x14ac:dyDescent="0.2">
      <c r="A78" s="40" t="str">
        <f ca="1">IFERROR(__xludf.DUMMYFUNCTION("unique(IFERROR(index('Published Replays'!B:B,small(if(ISNUMBER(match('Published Replays'!B:B,'Calls without notes'!A:A,0)),ROW('Published Replays'!B:B),""""),ROW(A77))),""""))"),"Q2 2024 Digital Advertising Update")</f>
        <v>Q2 2024 Digital Advertising Update</v>
      </c>
      <c r="B78" s="41">
        <f ca="1">IFERROR(__xludf.DUMMYFUNCTION("""COMPUTED_VALUE"""),45475)</f>
        <v>45475</v>
      </c>
    </row>
    <row r="79" spans="1:2" x14ac:dyDescent="0.2">
      <c r="A79" s="40" t="str">
        <f ca="1">IFERROR(__xludf.DUMMYFUNCTION("unique(IFERROR(index('Published Replays'!B:B,small(if(ISNUMBER(match('Published Replays'!B:B,'Calls without notes'!A:A,0)),ROW('Published Replays'!B:B),""""),ROW(A78))),""""))"),"POOL, LESL: Summer Demand Heating Up?")</f>
        <v>POOL, LESL: Summer Demand Heating Up?</v>
      </c>
      <c r="B79" s="41">
        <f ca="1">IFERROR(__xludf.DUMMYFUNCTION("""COMPUTED_VALUE"""),45475)</f>
        <v>45475</v>
      </c>
    </row>
    <row r="80" spans="1:2" x14ac:dyDescent="0.2">
      <c r="A80" s="40" t="str">
        <f ca="1">IFERROR(__xludf.DUMMYFUNCTION("unique(IFERROR(index('Published Replays'!B:B,small(if(ISNUMBER(match('Published Replays'!B:B,'Calls without notes'!A:A,0)),ROW('Published Replays'!B:B),""""),ROW(A79))),""""))"),"Q2'24 Used Autos: Where's The Supply?")</f>
        <v>Q2'24 Used Autos: Where's The Supply?</v>
      </c>
      <c r="B80" s="41">
        <f ca="1">IFERROR(__xludf.DUMMYFUNCTION("""COMPUTED_VALUE"""),45475)</f>
        <v>45475</v>
      </c>
    </row>
    <row r="81" spans="1:2" x14ac:dyDescent="0.2">
      <c r="A81" s="40" t="str">
        <f ca="1">IFERROR(__xludf.DUMMYFUNCTION("unique(IFERROR(index('Published Replays'!B:B,small(if(ISNUMBER(match('Published Replays'!B:B,'Calls without notes'!A:A,0)),ROW('Published Replays'!B:B),""""),ROW(A80))),""""))"),"Is Mobile Game Demand Picking Up?")</f>
        <v>Is Mobile Game Demand Picking Up?</v>
      </c>
      <c r="B81" s="41">
        <f ca="1">IFERROR(__xludf.DUMMYFUNCTION("""COMPUTED_VALUE"""),45474)</f>
        <v>45474</v>
      </c>
    </row>
    <row r="82" spans="1:2" x14ac:dyDescent="0.2">
      <c r="A82" s="40" t="str">
        <f ca="1">IFERROR(__xludf.DUMMYFUNCTION("unique(IFERROR(index('Published Replays'!B:B,small(if(ISNUMBER(match('Published Replays'!B:B,'Calls without notes'!A:A,0)),ROW('Published Replays'!B:B),""""),ROW(A81))),""""))"),"DLTR &amp; the Scenarios for Family Dollar")</f>
        <v>DLTR &amp; the Scenarios for Family Dollar</v>
      </c>
      <c r="B82" s="41">
        <f ca="1">IFERROR(__xludf.DUMMYFUNCTION("""COMPUTED_VALUE"""),45471)</f>
        <v>45471</v>
      </c>
    </row>
    <row r="83" spans="1:2" x14ac:dyDescent="0.2">
      <c r="A83" s="40" t="str">
        <f ca="1">IFERROR(__xludf.DUMMYFUNCTION("unique(IFERROR(index('Published Replays'!B:B,small(if(ISNUMBER(match('Published Replays'!B:B,'Calls without notes'!A:A,0)),ROW('Published Replays'!B:B),""""),ROW(A82))),""""))"),"Sports Media Rights: Winners and Losers")</f>
        <v>Sports Media Rights: Winners and Losers</v>
      </c>
      <c r="B83" s="41">
        <f ca="1">IFERROR(__xludf.DUMMYFUNCTION("""COMPUTED_VALUE"""),45470)</f>
        <v>45470</v>
      </c>
    </row>
    <row r="84" spans="1:2" x14ac:dyDescent="0.2">
      <c r="A84" s="40" t="str">
        <f ca="1">IFERROR(__xludf.DUMMYFUNCTION("unique(IFERROR(index('Published Replays'!B:B,small(if(ISNUMBER(match('Published Replays'!B:B,'Calls without notes'!A:A,0)),ROW('Published Replays'!B:B),""""),ROW(A83))),""""))"),"Q2 Enterprise IT Spend Update")</f>
        <v>Q2 Enterprise IT Spend Update</v>
      </c>
      <c r="B84" s="41">
        <f ca="1">IFERROR(__xludf.DUMMYFUNCTION("""COMPUTED_VALUE"""),45467)</f>
        <v>45467</v>
      </c>
    </row>
    <row r="85" spans="1:2" x14ac:dyDescent="0.2">
      <c r="A85" s="40" t="str">
        <f ca="1">IFERROR(__xludf.DUMMYFUNCTION("unique(IFERROR(index('Published Replays'!B:B,small(if(ISNUMBER(match('Published Replays'!B:B,'Calls without notes'!A:A,0)),ROW('Published Replays'!B:B),""""),ROW(A84))),""""))"),"Q2’24 CTV/OTT &amp; Digital Ad Demand")</f>
        <v>Q2’24 CTV/OTT &amp; Digital Ad Demand</v>
      </c>
      <c r="B85" s="41">
        <f ca="1">IFERROR(__xludf.DUMMYFUNCTION("""COMPUTED_VALUE"""),45467)</f>
        <v>45467</v>
      </c>
    </row>
    <row r="86" spans="1:2" x14ac:dyDescent="0.2">
      <c r="A86" s="40" t="str">
        <f ca="1">IFERROR(__xludf.DUMMYFUNCTION("unique(IFERROR(index('Published Replays'!B:B,small(if(ISNUMBER(match('Published Replays'!B:B,'Calls without notes'!A:A,0)),ROW('Published Replays'!B:B),""""),ROW(A85))),""""))"),"Tobacco Demand &amp; Vape Ban Impacts")</f>
        <v>Tobacco Demand &amp; Vape Ban Impacts</v>
      </c>
      <c r="B86" s="41">
        <f ca="1">IFERROR(__xludf.DUMMYFUNCTION("""COMPUTED_VALUE"""),45463)</f>
        <v>45463</v>
      </c>
    </row>
    <row r="87" spans="1:2" x14ac:dyDescent="0.2">
      <c r="A87" s="40" t="str">
        <f ca="1">IFERROR(__xludf.DUMMYFUNCTION("unique(IFERROR(index('Published Replays'!B:B,small(if(ISNUMBER(match('Published Replays'!B:B,'Calls without notes'!A:A,0)),ROW('Published Replays'!B:B),""""),ROW(A86))),""""))"),"R&amp;R Industry Insights and Updates")</f>
        <v>R&amp;R Industry Insights and Updates</v>
      </c>
      <c r="B87" s="41">
        <f ca="1">IFERROR(__xludf.DUMMYFUNCTION("""COMPUTED_VALUE"""),45454)</f>
        <v>45454</v>
      </c>
    </row>
    <row r="88" spans="1:2" x14ac:dyDescent="0.2">
      <c r="A88" s="40" t="str">
        <f ca="1">IFERROR(__xludf.DUMMYFUNCTION("unique(IFERROR(index('Published Replays'!B:B,small(if(ISNUMBER(match('Published Replays'!B:B,'Calls without notes'!A:A,0)),ROW('Published Replays'!B:B),""""),ROW(A87))),""""))"),"Vail Resorts: Pass Sales Sliding Downhill?")</f>
        <v>Vail Resorts: Pass Sales Sliding Downhill?</v>
      </c>
      <c r="B88" s="41">
        <f ca="1">IFERROR(__xludf.DUMMYFUNCTION("""COMPUTED_VALUE"""),45441)</f>
        <v>45441</v>
      </c>
    </row>
    <row r="89" spans="1:2" x14ac:dyDescent="0.2">
      <c r="A89" s="40" t="str">
        <f ca="1">IFERROR(__xludf.DUMMYFUNCTION("unique(IFERROR(index('Published Replays'!B:B,small(if(ISNUMBER(match('Published Replays'!B:B,'Calls without notes'!A:A,0)),ROW('Published Replays'!B:B),""""),ROW(A88))),""""))"),"VITL &amp; CALM: Pricing &amp; Bird Flu Impacts")</f>
        <v>VITL &amp; CALM: Pricing &amp; Bird Flu Impacts</v>
      </c>
      <c r="B89" s="41">
        <f ca="1">IFERROR(__xludf.DUMMYFUNCTION("""COMPUTED_VALUE"""),45440)</f>
        <v>45440</v>
      </c>
    </row>
    <row r="90" spans="1:2" x14ac:dyDescent="0.2">
      <c r="A90" s="40" t="str">
        <f ca="1">IFERROR(__xludf.DUMMYFUNCTION("unique(IFERROR(index('Published Replays'!B:B,small(if(ISNUMBER(match('Published Replays'!B:B,'Calls without notes'!A:A,0)),ROW('Published Replays'!B:B),""""),ROW(A89))),""""))"),"Okta &amp; Q1’24 Identity Access Management Demand")</f>
        <v>Okta &amp; Q1’24 Identity Access Management Demand</v>
      </c>
      <c r="B90" s="41">
        <f ca="1">IFERROR(__xludf.DUMMYFUNCTION("""COMPUTED_VALUE"""),45434)</f>
        <v>45434</v>
      </c>
    </row>
    <row r="91" spans="1:2" x14ac:dyDescent="0.2">
      <c r="A91" s="40" t="str">
        <f ca="1">IFERROR(__xludf.DUMMYFUNCTION("unique(IFERROR(index('Published Replays'!B:B,small(if(ISNUMBER(match('Published Replays'!B:B,'Calls without notes'!A:A,0)),ROW('Published Replays'!B:B),""""),ROW(A90))),""""))"),"FERG: Turning on the Demand Spigot?")</f>
        <v>FERG: Turning on the Demand Spigot?</v>
      </c>
      <c r="B91" s="41">
        <f ca="1">IFERROR(__xludf.DUMMYFUNCTION("""COMPUTED_VALUE"""),45434)</f>
        <v>45434</v>
      </c>
    </row>
    <row r="92" spans="1:2" x14ac:dyDescent="0.2">
      <c r="A92" s="40" t="str">
        <f ca="1">IFERROR(__xludf.DUMMYFUNCTION("unique(IFERROR(index('Published Replays'!B:B,small(if(ISNUMBER(match('Published Replays'!B:B,'Calls without notes'!A:A,0)),ROW('Published Replays'!B:B),""""),ROW(A91))),""""))"),"Q1 Review with Salesforce Summit Partner")</f>
        <v>Q1 Review with Salesforce Summit Partner</v>
      </c>
      <c r="B92" s="41">
        <f ca="1">IFERROR(__xludf.DUMMYFUNCTION("""COMPUTED_VALUE"""),45429)</f>
        <v>45429</v>
      </c>
    </row>
    <row r="93" spans="1:2" x14ac:dyDescent="0.2">
      <c r="A93" s="40" t="str">
        <f ca="1">IFERROR(__xludf.DUMMYFUNCTION("unique(IFERROR(index('Published Replays'!B:B,small(if(ISNUMBER(match('Published Replays'!B:B,'Calls without notes'!A:A,0)),ROW('Published Replays'!B:B),""""),ROW(A92))),""""))"),"2024 Beauty Growth &amp; E-Commerce Outlook")</f>
        <v>2024 Beauty Growth &amp; E-Commerce Outlook</v>
      </c>
      <c r="B93" s="41">
        <f ca="1">IFERROR(__xludf.DUMMYFUNCTION("""COMPUTED_VALUE"""),45428)</f>
        <v>45428</v>
      </c>
    </row>
    <row r="94" spans="1:2" x14ac:dyDescent="0.2">
      <c r="A94" s="40" t="str">
        <f ca="1">IFERROR(__xludf.DUMMYFUNCTION("unique(IFERROR(index('Published Replays'!B:B,small(if(ISNUMBER(match('Published Replays'!B:B,'Calls without notes'!A:A,0)),ROW('Published Replays'!B:B),""""),ROW(A93))),""""))"),"Athleisure &amp; Growth Outside the Gym")</f>
        <v>Athleisure &amp; Growth Outside the Gym</v>
      </c>
      <c r="B94" s="41">
        <f ca="1">IFERROR(__xludf.DUMMYFUNCTION("""COMPUTED_VALUE"""),45421)</f>
        <v>45421</v>
      </c>
    </row>
    <row r="95" spans="1:2" x14ac:dyDescent="0.2">
      <c r="A95" s="40" t="str">
        <f ca="1">IFERROR(__xludf.DUMMYFUNCTION("unique(IFERROR(index('Published Replays'!B:B,small(if(ISNUMBER(match('Published Replays'!B:B,'Calls without notes'!A:A,0)),ROW('Published Replays'!B:B),""""),ROW(A94))),""""))"),"Coupang and the Southeast Asia E-commerce Boom")</f>
        <v>Coupang and the Southeast Asia E-commerce Boom</v>
      </c>
      <c r="B95" s="41">
        <f ca="1">IFERROR(__xludf.DUMMYFUNCTION("""COMPUTED_VALUE"""),45414)</f>
        <v>45414</v>
      </c>
    </row>
    <row r="96" spans="1:2" x14ac:dyDescent="0.2">
      <c r="A96" s="40" t="str">
        <f ca="1">IFERROR(__xludf.DUMMYFUNCTION("unique(IFERROR(index('Published Replays'!B:B,small(if(ISNUMBER(match('Published Replays'!B:B,'Calls without notes'!A:A,0)),ROW('Published Replays'!B:B),""""),ROW(A95))),""""))"),"Security Software’s Q1 &amp; 2024 Growth")</f>
        <v>Security Software’s Q1 &amp; 2024 Growth</v>
      </c>
      <c r="B96" s="41">
        <f ca="1">IFERROR(__xludf.DUMMYFUNCTION("""COMPUTED_VALUE"""),45412)</f>
        <v>45412</v>
      </c>
    </row>
    <row r="97" spans="1:2" x14ac:dyDescent="0.2">
      <c r="A97" s="40" t="str">
        <f ca="1">IFERROR(__xludf.DUMMYFUNCTION("unique(IFERROR(index('Published Replays'!B:B,small(if(ISNUMBER(match('Published Replays'!B:B,'Calls without notes'!A:A,0)),ROW('Published Replays'!B:B),""""),ROW(A96))),""""))"),"Q1’24 Grocery &amp; Food At Home Demand")</f>
        <v>Q1’24 Grocery &amp; Food At Home Demand</v>
      </c>
      <c r="B97" s="41">
        <f ca="1">IFERROR(__xludf.DUMMYFUNCTION("""COMPUTED_VALUE"""),45412)</f>
        <v>45412</v>
      </c>
    </row>
    <row r="98" spans="1:2" x14ac:dyDescent="0.2">
      <c r="A98" s="40" t="str">
        <f ca="1">IFERROR(__xludf.DUMMYFUNCTION("unique(IFERROR(index('Published Replays'!B:B,small(if(ISNUMBER(match('Published Replays'!B:B,'Calls without notes'!A:A,0)),ROW('Published Replays'!B:B),""""),ROW(A97))),""""))"),"ABNB &amp; Vacation Rentals: Q1’24 Bookings")</f>
        <v>ABNB &amp; Vacation Rentals: Q1’24 Bookings</v>
      </c>
      <c r="B98" s="41">
        <f ca="1">IFERROR(__xludf.DUMMYFUNCTION("""COMPUTED_VALUE"""),45412)</f>
        <v>45412</v>
      </c>
    </row>
    <row r="99" spans="1:2" x14ac:dyDescent="0.2">
      <c r="A99" s="40" t="str">
        <f ca="1">IFERROR(__xludf.DUMMYFUNCTION("unique(IFERROR(index('Published Replays'!B:B,small(if(ISNUMBER(match('Published Replays'!B:B,'Calls without notes'!A:A,0)),ROW('Published Replays'!B:B),""""),ROW(A98))),""""))"),"Q1'24 Mattresses &amp; TPX's Dominance")</f>
        <v>Q1'24 Mattresses &amp; TPX's Dominance</v>
      </c>
      <c r="B99" s="41">
        <f ca="1">IFERROR(__xludf.DUMMYFUNCTION("""COMPUTED_VALUE"""),45411)</f>
        <v>45411</v>
      </c>
    </row>
    <row r="100" spans="1:2" x14ac:dyDescent="0.2">
      <c r="A100" s="40" t="str">
        <f ca="1">IFERROR(__xludf.DUMMYFUNCTION("unique(IFERROR(index('Published Replays'!B:B,small(if(ISNUMBER(match('Published Replays'!B:B,'Calls without notes'!A:A,0)),ROW('Published Replays'!B:B),""""),ROW(A99))),""""))"),"PLNT: Getting Back in Shape?")</f>
        <v>PLNT: Getting Back in Shape?</v>
      </c>
      <c r="B100" s="41">
        <f ca="1">IFERROR(__xludf.DUMMYFUNCTION("""COMPUTED_VALUE"""),45408)</f>
        <v>45408</v>
      </c>
    </row>
    <row r="101" spans="1:2" x14ac:dyDescent="0.2">
      <c r="A101" s="40" t="str">
        <f ca="1">IFERROR(__xludf.DUMMYFUNCTION("unique(IFERROR(index('Published Replays'!B:B,small(if(ISNUMBER(match('Published Replays'!B:B,'Calls without notes'!A:A,0)),ROW('Published Replays'!B:B),""""),ROW(A100))),""""))"),"DDOG Q1 Growth &amp; AI Impacts")</f>
        <v>DDOG Q1 Growth &amp; AI Impacts</v>
      </c>
      <c r="B101" s="41">
        <f ca="1">IFERROR(__xludf.DUMMYFUNCTION("""COMPUTED_VALUE"""),45407)</f>
        <v>45407</v>
      </c>
    </row>
    <row r="102" spans="1:2" x14ac:dyDescent="0.2">
      <c r="A102" s="40" t="str">
        <f ca="1">IFERROR(__xludf.DUMMYFUNCTION("unique(IFERROR(index('Published Replays'!B:B,small(if(ISNUMBER(match('Published Replays'!B:B,'Calls without notes'!A:A,0)),ROW('Published Replays'!B:B),""""),ROW(A101))),""""))"),"Q1'24 Self-Storage Growth &amp; Competition")</f>
        <v>Q1'24 Self-Storage Growth &amp; Competition</v>
      </c>
      <c r="B102" s="41">
        <f ca="1">IFERROR(__xludf.DUMMYFUNCTION("""COMPUTED_VALUE"""),45407)</f>
        <v>45407</v>
      </c>
    </row>
    <row r="103" spans="1:2" x14ac:dyDescent="0.2">
      <c r="A103" s="40" t="str">
        <f ca="1">IFERROR(__xludf.DUMMYFUNCTION("unique(IFERROR(index('Published Replays'!B:B,small(if(ISNUMBER(match('Published Replays'!B:B,'Calls without notes'!A:A,0)),ROW('Published Replays'!B:B),""""),ROW(A102))),""""))"),"Foodservice Distribution &amp; Restaurant Volumes – Q1’24")</f>
        <v>Foodservice Distribution &amp; Restaurant Volumes – Q1’24</v>
      </c>
      <c r="B103" s="41">
        <f ca="1">IFERROR(__xludf.DUMMYFUNCTION("""COMPUTED_VALUE"""),45405)</f>
        <v>45405</v>
      </c>
    </row>
    <row r="104" spans="1:2" x14ac:dyDescent="0.2">
      <c r="A104" s="40" t="str">
        <f ca="1">IFERROR(__xludf.DUMMYFUNCTION("unique(IFERROR(index('Published Replays'!B:B,small(if(ISNUMBER(match('Published Replays'!B:B,'Calls without notes'!A:A,0)),ROW('Published Replays'!B:B),""""),ROW(A103))),""""))"),"ZoomInfo: Time to Get in Contact?")</f>
        <v>ZoomInfo: Time to Get in Contact?</v>
      </c>
      <c r="B104" s="41">
        <f ca="1">IFERROR(__xludf.DUMMYFUNCTION("""COMPUTED_VALUE"""),45404)</f>
        <v>45404</v>
      </c>
    </row>
    <row r="105" spans="1:2" x14ac:dyDescent="0.2">
      <c r="A105" s="40" t="str">
        <f ca="1">IFERROR(__xludf.DUMMYFUNCTION("unique(IFERROR(index('Published Replays'!B:B,small(if(ISNUMBER(match('Published Replays'!B:B,'Calls without notes'!A:A,0)),ROW('Published Replays'!B:B),""""),ROW(A104))),""""))"),"ONON, DECK &amp; NKE: Time for a Run?")</f>
        <v>ONON, DECK &amp; NKE: Time for a Run?</v>
      </c>
      <c r="B105" s="41">
        <f ca="1">IFERROR(__xludf.DUMMYFUNCTION("""COMPUTED_VALUE"""),45401)</f>
        <v>45401</v>
      </c>
    </row>
    <row r="106" spans="1:2" x14ac:dyDescent="0.2">
      <c r="A106" s="40" t="str">
        <f ca="1">IFERROR(__xludf.DUMMYFUNCTION("unique(IFERROR(index('Published Replays'!B:B,small(if(ISNUMBER(match('Published Replays'!B:B,'Calls without notes'!A:A,0)),ROW('Published Replays'!B:B),""""),ROW(A105))),""""))"),"Theme Parks: New Rides, Weather &amp; Outlook")</f>
        <v>Theme Parks: New Rides, Weather &amp; Outlook</v>
      </c>
      <c r="B106" s="41">
        <f ca="1">IFERROR(__xludf.DUMMYFUNCTION("""COMPUTED_VALUE"""),45400)</f>
        <v>45400</v>
      </c>
    </row>
    <row r="107" spans="1:2" x14ac:dyDescent="0.2">
      <c r="A107" s="40" t="str">
        <f ca="1">IFERROR(__xludf.DUMMYFUNCTION("unique(IFERROR(index('Published Replays'!B:B,small(if(ISNUMBER(match('Published Replays'!B:B,'Calls without notes'!A:A,0)),ROW('Published Replays'!B:B),""""),ROW(A106))),""""))"),"BC: Hitting the Water in Q1'24")</f>
        <v>BC: Hitting the Water in Q1'24</v>
      </c>
      <c r="B107" s="41">
        <f ca="1">IFERROR(__xludf.DUMMYFUNCTION("""COMPUTED_VALUE"""),45400)</f>
        <v>45400</v>
      </c>
    </row>
    <row r="108" spans="1:2" x14ac:dyDescent="0.2">
      <c r="A108" s="40" t="str">
        <f ca="1">IFERROR(__xludf.DUMMYFUNCTION("unique(IFERROR(index('Published Replays'!B:B,small(if(ISNUMBER(match('Published Replays'!B:B,'Calls without notes'!A:A,0)),ROW('Published Replays'!B:B),""""),ROW(A107))),""""))"),"Oil Changes &amp; Car Washes Q1'24")</f>
        <v>Oil Changes &amp; Car Washes Q1'24</v>
      </c>
      <c r="B108" s="41">
        <f ca="1">IFERROR(__xludf.DUMMYFUNCTION("""COMPUTED_VALUE"""),45399)</f>
        <v>45399</v>
      </c>
    </row>
    <row r="109" spans="1:2" x14ac:dyDescent="0.2">
      <c r="A109" s="40" t="str">
        <f ca="1">IFERROR(__xludf.DUMMYFUNCTION("unique(IFERROR(index('Published Replays'!B:B,small(if(ISNUMBER(match('Published Replays'!B:B,'Calls without notes'!A:A,0)),ROW('Published Replays'!B:B),""""),ROW(A108))),""""))"),"Q1’24 HUBS, KVYO &amp; Marketing Software Demand")</f>
        <v>Q1’24 HUBS, KVYO &amp; Marketing Software Demand</v>
      </c>
      <c r="B109" s="41">
        <f ca="1">IFERROR(__xludf.DUMMYFUNCTION("""COMPUTED_VALUE"""),45399)</f>
        <v>45399</v>
      </c>
    </row>
    <row r="110" spans="1:2" x14ac:dyDescent="0.2">
      <c r="A110" s="40" t="str">
        <f ca="1">IFERROR(__xludf.DUMMYFUNCTION("unique(IFERROR(index('Published Replays'!B:B,small(if(ISNUMBER(match('Published Replays'!B:B,'Calls without notes'!A:A,0)),ROW('Published Replays'!B:B),""""),ROW(A109))),""""))"),"Streaming Music &amp; the Search for Profitability")</f>
        <v>Streaming Music &amp; the Search for Profitability</v>
      </c>
      <c r="B110" s="41">
        <f ca="1">IFERROR(__xludf.DUMMYFUNCTION("""COMPUTED_VALUE"""),45398)</f>
        <v>45398</v>
      </c>
    </row>
    <row r="111" spans="1:2" x14ac:dyDescent="0.2">
      <c r="A111" s="40" t="str">
        <f ca="1">IFERROR(__xludf.DUMMYFUNCTION("unique(IFERROR(index('Published Replays'!B:B,small(if(ISNUMBER(match('Published Replays'!B:B,'Calls without notes'!A:A,0)),ROW('Published Replays'!B:B),""""),ROW(A110))),""""))"),"2024 Solar: Is the Sun Shining Yet?")</f>
        <v>2024 Solar: Is the Sun Shining Yet?</v>
      </c>
      <c r="B111" s="41">
        <f ca="1">IFERROR(__xludf.DUMMYFUNCTION("""COMPUTED_VALUE"""),45397)</f>
        <v>45397</v>
      </c>
    </row>
    <row r="112" spans="1:2" x14ac:dyDescent="0.2">
      <c r="A112" s="40" t="str">
        <f ca="1">IFERROR(__xludf.DUMMYFUNCTION("unique(IFERROR(index('Published Replays'!B:B,small(if(ISNUMBER(match('Published Replays'!B:B,'Calls without notes'!A:A,0)),ROW('Published Replays'!B:B),""""),ROW(A111))),""""))"),"ROL, RTO LN &amp; Q1’24 Pest Control Demand")</f>
        <v>ROL, RTO LN &amp; Q1’24 Pest Control Demand</v>
      </c>
      <c r="B112" s="41">
        <f ca="1">IFERROR(__xludf.DUMMYFUNCTION("""COMPUTED_VALUE"""),45394)</f>
        <v>45394</v>
      </c>
    </row>
    <row r="113" spans="1:2" x14ac:dyDescent="0.2">
      <c r="A113" s="40" t="str">
        <f ca="1">IFERROR(__xludf.DUMMYFUNCTION("unique(IFERROR(index('Published Replays'!B:B,small(if(ISNUMBER(match('Published Replays'!B:B,'Calls without notes'!A:A,0)),ROW('Published Replays'!B:B),""""),ROW(A112))),""""))"),"Q1'24 Software Update with Large IT Integrator")</f>
        <v>Q1'24 Software Update with Large IT Integrator</v>
      </c>
      <c r="B113" s="41">
        <f ca="1">IFERROR(__xludf.DUMMYFUNCTION("""COMPUTED_VALUE"""),45392)</f>
        <v>45392</v>
      </c>
    </row>
    <row r="114" spans="1:2" x14ac:dyDescent="0.2">
      <c r="A114" s="40" t="str">
        <f ca="1">IFERROR(__xludf.DUMMYFUNCTION("unique(IFERROR(index('Published Replays'!B:B,small(if(ISNUMBER(match('Published Replays'!B:B,'Calls without notes'!A:A,0)),ROW('Published Replays'!B:B),""""),ROW(A113))),""""))"),"2024 Cloud Consumption: AI &amp; Other Demand")</f>
        <v>2024 Cloud Consumption: AI &amp; Other Demand</v>
      </c>
      <c r="B114" s="41">
        <f ca="1">IFERROR(__xludf.DUMMYFUNCTION("""COMPUTED_VALUE"""),45390)</f>
        <v>45390</v>
      </c>
    </row>
    <row r="115" spans="1:2" x14ac:dyDescent="0.2">
      <c r="A115" s="40" t="str">
        <f ca="1">IFERROR(__xludf.DUMMYFUNCTION("unique(IFERROR(index('Published Replays'!B:B,small(if(ISNUMBER(match('Published Replays'!B:B,'Calls without notes'!A:A,0)),ROW('Published Replays'!B:B),""""),ROW(A114))),""""))"),"Shipping Rates &amp; the Red Sea Debacle")</f>
        <v>Shipping Rates &amp; the Red Sea Debacle</v>
      </c>
      <c r="B115" s="41">
        <f ca="1">IFERROR(__xludf.DUMMYFUNCTION("""COMPUTED_VALUE"""),45385)</f>
        <v>45385</v>
      </c>
    </row>
    <row r="116" spans="1:2" x14ac:dyDescent="0.2">
      <c r="A116" s="40" t="str">
        <f ca="1">IFERROR(__xludf.DUMMYFUNCTION("unique(IFERROR(index('Published Replays'!B:B,small(if(ISNUMBER(match('Published Replays'!B:B,'Calls without notes'!A:A,0)),ROW('Published Replays'!B:B),""""),ROW(A115))),""""))"),"Q1 2024 Digital Advertising Update")</f>
        <v>Q1 2024 Digital Advertising Update</v>
      </c>
      <c r="B116" s="41">
        <f ca="1">IFERROR(__xludf.DUMMYFUNCTION("""COMPUTED_VALUE"""),45384)</f>
        <v>45384</v>
      </c>
    </row>
    <row r="117" spans="1:2" x14ac:dyDescent="0.2">
      <c r="A117" s="40" t="str">
        <f ca="1">IFERROR(__xludf.DUMMYFUNCTION("unique(IFERROR(index('Published Replays'!B:B,small(if(ISNUMBER(match('Published Replays'!B:B,'Calls without notes'!A:A,0)),ROW('Published Replays'!B:B),""""),ROW(A116))),""""))"),"POOL, LESL: Lapping a Weak 2023")</f>
        <v>POOL, LESL: Lapping a Weak 2023</v>
      </c>
      <c r="B117" s="41">
        <f ca="1">IFERROR(__xludf.DUMMYFUNCTION("""COMPUTED_VALUE"""),45384)</f>
        <v>45384</v>
      </c>
    </row>
    <row r="118" spans="1:2" x14ac:dyDescent="0.2">
      <c r="A118" s="40" t="str">
        <f ca="1">IFERROR(__xludf.DUMMYFUNCTION("unique(IFERROR(index('Published Replays'!B:B,small(if(ISNUMBER(match('Published Replays'!B:B,'Calls without notes'!A:A,0)),ROW('Published Replays'!B:B),""""),ROW(A117))),""""))"),"Diabetes Tools: CGM &amp; Insulin Pump Demand")</f>
        <v>Diabetes Tools: CGM &amp; Insulin Pump Demand</v>
      </c>
      <c r="B118" s="41">
        <f ca="1">IFERROR(__xludf.DUMMYFUNCTION("""COMPUTED_VALUE"""),45377)</f>
        <v>45377</v>
      </c>
    </row>
    <row r="119" spans="1:2" x14ac:dyDescent="0.2">
      <c r="A119" s="40" t="str">
        <f ca="1">IFERROR(__xludf.DUMMYFUNCTION("unique(IFERROR(index('Published Replays'!B:B,small(if(ISNUMBER(match('Published Replays'!B:B,'Calls without notes'!A:A,0)),ROW('Published Replays'!B:B),""""),ROW(A118))),""""))"),"Luxury Fashion Insights with CEO of Erdem")</f>
        <v>Luxury Fashion Insights with CEO of Erdem</v>
      </c>
      <c r="B119" s="41">
        <f ca="1">IFERROR(__xludf.DUMMYFUNCTION("""COMPUTED_VALUE"""),45377)</f>
        <v>45377</v>
      </c>
    </row>
    <row r="120" spans="1:2" x14ac:dyDescent="0.2">
      <c r="A120" s="40" t="str">
        <f ca="1">IFERROR(__xludf.DUMMYFUNCTION("unique(IFERROR(index('Published Replays'!B:B,small(if(ISNUMBER(match('Published Replays'!B:B,'Calls without notes'!A:A,0)),ROW('Published Replays'!B:B),""""),ROW(A119))),""""))"),"Data Center Demand Outlook")</f>
        <v>Data Center Demand Outlook</v>
      </c>
      <c r="B120" s="41">
        <f ca="1">IFERROR(__xludf.DUMMYFUNCTION("""COMPUTED_VALUE"""),45372)</f>
        <v>45372</v>
      </c>
    </row>
    <row r="121" spans="1:2" x14ac:dyDescent="0.2">
      <c r="A121" s="40" t="str">
        <f ca="1">IFERROR(__xludf.DUMMYFUNCTION("unique(IFERROR(index('Published Replays'!B:B,small(if(ISNUMBER(match('Published Replays'!B:B,'Calls without notes'!A:A,0)),ROW('Published Replays'!B:B),""""),ROW(A120))),""""))"),"LKNCY, SBUX: Coffee Growth in Asia")</f>
        <v>LKNCY, SBUX: Coffee Growth in Asia</v>
      </c>
      <c r="B121" s="41">
        <f ca="1">IFERROR(__xludf.DUMMYFUNCTION("""COMPUTED_VALUE"""),45370)</f>
        <v>45370</v>
      </c>
    </row>
    <row r="122" spans="1:2" x14ac:dyDescent="0.2">
      <c r="A122" s="40" t="str">
        <f ca="1">IFERROR(__xludf.DUMMYFUNCTION("unique(IFERROR(index('Published Replays'!B:B,small(if(ISNUMBER(match('Published Replays'!B:B,'Calls without notes'!A:A,0)),ROW('Published Replays'!B:B),""""),ROW(A121))),""""))"),"Semiconductors &amp; Specialty Chemical Demand")</f>
        <v>Semiconductors &amp; Specialty Chemical Demand</v>
      </c>
      <c r="B122" s="41">
        <f ca="1">IFERROR(__xludf.DUMMYFUNCTION("""COMPUTED_VALUE"""),45357)</f>
        <v>45357</v>
      </c>
    </row>
    <row r="123" spans="1:2" x14ac:dyDescent="0.2">
      <c r="A123" s="40" t="str">
        <f ca="1">IFERROR(__xludf.DUMMYFUNCTION("unique(IFERROR(index('Published Replays'!B:B,small(if(ISNUMBER(match('Published Replays'!B:B,'Calls without notes'!A:A,0)),ROW('Published Replays'!B:B),""""),ROW(A122))),""""))"),"Home Building Demand &amp; 2024 Rate Cuts")</f>
        <v>Home Building Demand &amp; 2024 Rate Cuts</v>
      </c>
      <c r="B123" s="41">
        <f ca="1">IFERROR(__xludf.DUMMYFUNCTION("""COMPUTED_VALUE"""),45350)</f>
        <v>45350</v>
      </c>
    </row>
    <row r="124" spans="1:2" x14ac:dyDescent="0.2">
      <c r="A124" s="40" t="str">
        <f ca="1">IFERROR(__xludf.DUMMYFUNCTION("unique(IFERROR(index('Published Replays'!B:B,small(if(ISNUMBER(match('Published Replays'!B:B,'Calls without notes'!A:A,0)),ROW('Published Replays'!B:B),""""),ROW(A123))),""""))"),"Luxury Fashion Coming Back in 2024?")</f>
        <v>Luxury Fashion Coming Back in 2024?</v>
      </c>
      <c r="B124" s="41">
        <f ca="1">IFERROR(__xludf.DUMMYFUNCTION("""COMPUTED_VALUE"""),45348)</f>
        <v>45348</v>
      </c>
    </row>
    <row r="125" spans="1:2" x14ac:dyDescent="0.2">
      <c r="A125" s="40" t="str">
        <f ca="1">IFERROR(__xludf.DUMMYFUNCTION("unique(IFERROR(index('Published Replays'!B:B,small(if(ISNUMBER(match('Published Replays'!B:B,'Calls without notes'!A:A,0)),ROW('Published Replays'!B:B),""""),ROW(A124))),""""))"),"FERG’s Demand Leakage")</f>
        <v>FERG’s Demand Leakage</v>
      </c>
      <c r="B125" s="41">
        <f ca="1">IFERROR(__xludf.DUMMYFUNCTION("""COMPUTED_VALUE"""),45345)</f>
        <v>45345</v>
      </c>
    </row>
    <row r="126" spans="1:2" x14ac:dyDescent="0.2">
      <c r="A126" s="40" t="str">
        <f ca="1">IFERROR(__xludf.DUMMYFUNCTION("unique(IFERROR(index('Published Replays'!B:B,small(if(ISNUMBER(match('Published Replays'!B:B,'Calls without notes'!A:A,0)),ROW('Published Replays'!B:B),""""),ROW(A125))),""""))"),"MTN: More Snow, More Skiers?")</f>
        <v>MTN: More Snow, More Skiers?</v>
      </c>
      <c r="B126" s="41">
        <f ca="1">IFERROR(__xludf.DUMMYFUNCTION("""COMPUTED_VALUE"""),45343)</f>
        <v>45343</v>
      </c>
    </row>
    <row r="127" spans="1:2" x14ac:dyDescent="0.2">
      <c r="A127" s="40" t="str">
        <f ca="1">IFERROR(__xludf.DUMMYFUNCTION("unique(IFERROR(index('Published Replays'!B:B,small(if(ISNUMBER(match('Published Replays'!B:B,'Calls without notes'!A:A,0)),ROW('Published Replays'!B:B),""""),ROW(A126))),""""))"),"Auto Sales &amp; Marketing: New Inventory Coming")</f>
        <v>Auto Sales &amp; Marketing: New Inventory Coming</v>
      </c>
      <c r="B127" s="41">
        <f ca="1">IFERROR(__xludf.DUMMYFUNCTION("""COMPUTED_VALUE"""),45342)</f>
        <v>45342</v>
      </c>
    </row>
    <row r="128" spans="1:2" x14ac:dyDescent="0.2">
      <c r="A128" s="40" t="str">
        <f ca="1">IFERROR(__xludf.DUMMYFUNCTION("unique(IFERROR(index('Published Replays'!B:B,small(if(ISNUMBER(match('Published Replays'!B:B,'Calls without notes'!A:A,0)),ROW('Published Replays'!B:B),""""),ROW(A127))),""""))"),"PLNT: New Year, New Growth, New Sign-Ups")</f>
        <v>PLNT: New Year, New Growth, New Sign-Ups</v>
      </c>
      <c r="B128" s="41">
        <f ca="1">IFERROR(__xludf.DUMMYFUNCTION("""COMPUTED_VALUE"""),45337)</f>
        <v>45337</v>
      </c>
    </row>
    <row r="129" spans="1:2" x14ac:dyDescent="0.2">
      <c r="A129" s="40" t="str">
        <f ca="1">IFERROR(__xludf.DUMMYFUNCTION("unique(IFERROR(index('Published Replays'!B:B,small(if(ISNUMBER(match('Published Replays'!B:B,'Calls without notes'!A:A,0)),ROW('Published Replays'!B:B),""""),ROW(A128))),""""))"),"2024 High End Furniture Outlook")</f>
        <v>2024 High End Furniture Outlook</v>
      </c>
      <c r="B129" s="41">
        <f ca="1">IFERROR(__xludf.DUMMYFUNCTION("""COMPUTED_VALUE"""),45337)</f>
        <v>45337</v>
      </c>
    </row>
    <row r="130" spans="1:2" x14ac:dyDescent="0.2">
      <c r="A130" s="40" t="str">
        <f ca="1">IFERROR(__xludf.DUMMYFUNCTION("unique(IFERROR(index('Published Replays'!B:B,small(if(ISNUMBER(match('Published Replays'!B:B,'Calls without notes'!A:A,0)),ROW('Published Replays'!B:B),""""),ROW(A129))),""""))"),"ROL, RTO LN &amp; 2024 Pest Control")</f>
        <v>ROL, RTO LN &amp; 2024 Pest Control</v>
      </c>
      <c r="B130" s="41">
        <f ca="1">IFERROR(__xludf.DUMMYFUNCTION("""COMPUTED_VALUE"""),45334)</f>
        <v>45334</v>
      </c>
    </row>
    <row r="131" spans="1:2" x14ac:dyDescent="0.2">
      <c r="A131" s="40" t="str">
        <f ca="1">IFERROR(__xludf.DUMMYFUNCTION("unique(IFERROR(index('Published Replays'!B:B,small(if(ISNUMBER(match('Published Replays'!B:B,'Calls without notes'!A:A,0)),ROW('Published Replays'!B:B),""""),ROW(A130))),""""))"),"2024 Data Storage Outlook")</f>
        <v>2024 Data Storage Outlook</v>
      </c>
      <c r="B131" s="41">
        <f ca="1">IFERROR(__xludf.DUMMYFUNCTION("""COMPUTED_VALUE"""),45334)</f>
        <v>45334</v>
      </c>
    </row>
    <row r="132" spans="1:2" x14ac:dyDescent="0.2">
      <c r="A132" s="40" t="str">
        <f ca="1">IFERROR(__xludf.DUMMYFUNCTION("unique(IFERROR(index('Published Replays'!B:B,small(if(ISNUMBER(match('Published Replays'!B:B,'Calls without notes'!A:A,0)),ROW('Published Replays'!B:B),""""),ROW(A131))),""""))"),"CTV/OTT: Here Come the Ads")</f>
        <v>CTV/OTT: Here Come the Ads</v>
      </c>
      <c r="B132" s="41">
        <f ca="1">IFERROR(__xludf.DUMMYFUNCTION("""COMPUTED_VALUE"""),45330)</f>
        <v>45330</v>
      </c>
    </row>
    <row r="133" spans="1:2" x14ac:dyDescent="0.2">
      <c r="A133" s="40" t="str">
        <f ca="1">IFERROR(__xludf.DUMMYFUNCTION("unique(IFERROR(index('Published Replays'!B:B,small(if(ISNUMBER(match('Published Replays'!B:B,'Calls without notes'!A:A,0)),ROW('Published Replays'!B:B),""""),ROW(A132))),""""))"),"TWLO &amp; 2024 CPaaS Growth")</f>
        <v>TWLO &amp; 2024 CPaaS Growth</v>
      </c>
      <c r="B133" s="41">
        <f ca="1">IFERROR(__xludf.DUMMYFUNCTION("""COMPUTED_VALUE"""),45329)</f>
        <v>45329</v>
      </c>
    </row>
    <row r="134" spans="1:2" x14ac:dyDescent="0.2">
      <c r="A134" s="40" t="str">
        <f ca="1">IFERROR(__xludf.DUMMYFUNCTION("unique(IFERROR(index('Published Replays'!B:B,small(if(ISNUMBER(match('Published Replays'!B:B,'Calls without notes'!A:A,0)),ROW('Published Replays'!B:B),""""),ROW(A133))),""""))"),"HUBS, KVYO &amp; Marketing Software Demand")</f>
        <v>HUBS, KVYO &amp; Marketing Software Demand</v>
      </c>
      <c r="B134" s="41">
        <f ca="1">IFERROR(__xludf.DUMMYFUNCTION("""COMPUTED_VALUE"""),45323)</f>
        <v>45323</v>
      </c>
    </row>
    <row r="135" spans="1:2" x14ac:dyDescent="0.2">
      <c r="A135" s="40" t="str">
        <f ca="1">IFERROR(__xludf.DUMMYFUNCTION("unique(IFERROR(index('Published Replays'!B:B,small(if(ISNUMBER(match('Published Replays'!B:B,'Calls without notes'!A:A,0)),ROW('Published Replays'!B:B),""""),ROW(A134))),""""))"),"Theme Parks Take a Ride in 2024?")</f>
        <v>Theme Parks Take a Ride in 2024?</v>
      </c>
      <c r="B135" s="41">
        <f ca="1">IFERROR(__xludf.DUMMYFUNCTION("""COMPUTED_VALUE"""),45321)</f>
        <v>45321</v>
      </c>
    </row>
    <row r="136" spans="1:2" x14ac:dyDescent="0.2">
      <c r="A136" s="40" t="str">
        <f ca="1">IFERROR(__xludf.DUMMYFUNCTION("unique(IFERROR(index('Published Replays'!B:B,small(if(ISNUMBER(match('Published Replays'!B:B,'Calls without notes'!A:A,0)),ROW('Published Replays'!B:B),""""),ROW(A135))),""""))"),"ONON, DECK &amp; NKE: Getting On Track in 2024?")</f>
        <v>ONON, DECK &amp; NKE: Getting On Track in 2024?</v>
      </c>
      <c r="B136" s="41">
        <f ca="1">IFERROR(__xludf.DUMMYFUNCTION("""COMPUTED_VALUE"""),45317)</f>
        <v>45317</v>
      </c>
    </row>
    <row r="137" spans="1:2" x14ac:dyDescent="0.2">
      <c r="A137" s="40" t="str">
        <f ca="1">IFERROR(__xludf.DUMMYFUNCTION("unique(IFERROR(index('Published Replays'!B:B,small(if(ISNUMBER(match('Published Replays'!B:B,'Calls without notes'!A:A,0)),ROW('Published Replays'!B:B),""""),ROW(A136))),""""))"),"Foodservice Distribution &amp; Case Volumes in 2024")</f>
        <v>Foodservice Distribution &amp; Case Volumes in 2024</v>
      </c>
      <c r="B137" s="41">
        <f ca="1">IFERROR(__xludf.DUMMYFUNCTION("""COMPUTED_VALUE"""),45315)</f>
        <v>45315</v>
      </c>
    </row>
    <row r="138" spans="1:2" x14ac:dyDescent="0.2">
      <c r="A138" s="40" t="str">
        <f ca="1">IFERROR(__xludf.DUMMYFUNCTION("unique(IFERROR(index('Published Replays'!B:B,small(if(ISNUMBER(match('Published Replays'!B:B,'Calls without notes'!A:A,0)),ROW('Published Replays'!B:B),""""),ROW(A137))),""""))"),"DDOG Q4 &amp; 2024 Observability Outlook")</f>
        <v>DDOG Q4 &amp; 2024 Observability Outlook</v>
      </c>
      <c r="B138" s="41">
        <f ca="1">IFERROR(__xludf.DUMMYFUNCTION("""COMPUTED_VALUE"""),45315)</f>
        <v>45315</v>
      </c>
    </row>
    <row r="139" spans="1:2" x14ac:dyDescent="0.2">
      <c r="A139" s="40" t="str">
        <f ca="1">IFERROR(__xludf.DUMMYFUNCTION("unique(IFERROR(index('Published Replays'!B:B,small(if(ISNUMBER(match('Published Replays'!B:B,'Calls without notes'!A:A,0)),ROW('Published Replays'!B:B),""""),ROW(A138))),""""))"),"BMBL, MTCH &amp; Online Dating in 2024")</f>
        <v>BMBL, MTCH &amp; Online Dating in 2024</v>
      </c>
      <c r="B139" s="41">
        <f ca="1">IFERROR(__xludf.DUMMYFUNCTION("""COMPUTED_VALUE"""),45315)</f>
        <v>45315</v>
      </c>
    </row>
    <row r="140" spans="1:2" x14ac:dyDescent="0.2">
      <c r="A140" s="40" t="str">
        <f ca="1">IFERROR(__xludf.DUMMYFUNCTION("unique(IFERROR(index('Published Replays'!B:B,small(if(ISNUMBER(match('Published Replays'!B:B,'Calls without notes'!A:A,0)),ROW('Published Replays'!B:B),""""),ROW(A139))),""""))"),"Security Software’s Q4 &amp; 2024 Spending")</f>
        <v>Security Software’s Q4 &amp; 2024 Spending</v>
      </c>
      <c r="B140" s="41">
        <f ca="1">IFERROR(__xludf.DUMMYFUNCTION("""COMPUTED_VALUE"""),45314)</f>
        <v>45314</v>
      </c>
    </row>
    <row r="141" spans="1:2" x14ac:dyDescent="0.2">
      <c r="A141" s="40" t="str">
        <f ca="1">IFERROR(__xludf.DUMMYFUNCTION("unique(IFERROR(index('Published Replays'!B:B,small(if(ISNUMBER(match('Published Replays'!B:B,'Calls without notes'!A:A,0)),ROW('Published Replays'!B:B),""""),ROW(A140))),""""))"),"Oil Changes &amp; Car Washes: Q4’23 and 2024")</f>
        <v>Oil Changes &amp; Car Washes: Q4’23 and 2024</v>
      </c>
      <c r="B141" s="41">
        <f ca="1">IFERROR(__xludf.DUMMYFUNCTION("""COMPUTED_VALUE"""),45314)</f>
        <v>45314</v>
      </c>
    </row>
    <row r="142" spans="1:2" x14ac:dyDescent="0.2">
      <c r="A142" s="40" t="str">
        <f ca="1">IFERROR(__xludf.DUMMYFUNCTION("unique(IFERROR(index('Published Replays'!B:B,small(if(ISNUMBER(match('Published Replays'!B:B,'Calls without notes'!A:A,0)),ROW('Published Replays'!B:B),""""),ROW(A141))),""""))"),"BC: Calm Water Ahead?")</f>
        <v>BC: Calm Water Ahead?</v>
      </c>
      <c r="B142" s="41">
        <f ca="1">IFERROR(__xludf.DUMMYFUNCTION("""COMPUTED_VALUE"""),45313)</f>
        <v>45313</v>
      </c>
    </row>
    <row r="143" spans="1:2" x14ac:dyDescent="0.2">
      <c r="A143" s="40" t="str">
        <f ca="1">IFERROR(__xludf.DUMMYFUNCTION("unique(IFERROR(index('Published Replays'!B:B,small(if(ISNUMBER(match('Published Replays'!B:B,'Calls without notes'!A:A,0)),ROW('Published Replays'!B:B),""""),ROW(A142))),""""))"),"Atlassian - Cloud &amp; 2024 Growth")</f>
        <v>Atlassian - Cloud &amp; 2024 Growth</v>
      </c>
      <c r="B143" s="41">
        <f ca="1">IFERROR(__xludf.DUMMYFUNCTION("""COMPUTED_VALUE"""),45309)</f>
        <v>45309</v>
      </c>
    </row>
    <row r="144" spans="1:2" x14ac:dyDescent="0.2">
      <c r="A144" s="40" t="str">
        <f ca="1">IFERROR(__xludf.DUMMYFUNCTION("unique(IFERROR(index('Published Replays'!B:B,small(if(ISNUMBER(match('Published Replays'!B:B,'Calls without notes'!A:A,0)),ROW('Published Replays'!B:B),""""),ROW(A143))),""""))"),"ServiceNow Q4 &amp; 2024 Outlook")</f>
        <v>ServiceNow Q4 &amp; 2024 Outlook</v>
      </c>
      <c r="B144" s="41">
        <f ca="1">IFERROR(__xludf.DUMMYFUNCTION("""COMPUTED_VALUE"""),45309)</f>
        <v>45309</v>
      </c>
    </row>
    <row r="145" spans="1:2" x14ac:dyDescent="0.2">
      <c r="A145" s="40" t="str">
        <f ca="1">IFERROR(__xludf.DUMMYFUNCTION("unique(IFERROR(index('Published Replays'!B:B,small(if(ISNUMBER(match('Published Replays'!B:B,'Calls without notes'!A:A,0)),ROW('Published Replays'!B:B),""""),ROW(A144))),""""))"),"Q4'23 Software Update w/ $500M IT Integrator")</f>
        <v>Q4'23 Software Update w/ $500M IT Integrator</v>
      </c>
      <c r="B145" s="41">
        <f ca="1">IFERROR(__xludf.DUMMYFUNCTION("""COMPUTED_VALUE"""),45302)</f>
        <v>45302</v>
      </c>
    </row>
    <row r="146" spans="1:2" x14ac:dyDescent="0.2">
      <c r="A146" s="40" t="str">
        <f ca="1">IFERROR(__xludf.DUMMYFUNCTION("unique(IFERROR(index('Published Replays'!B:B,small(if(ISNUMBER(match('Published Replays'!B:B,'Calls without notes'!A:A,0)),ROW('Published Replays'!B:B),""""),ROW(A145))),""""))"),"Regional Casinos: Hit or Stay in 2024?")</f>
        <v>Regional Casinos: Hit or Stay in 2024?</v>
      </c>
      <c r="B146" s="41">
        <f ca="1">IFERROR(__xludf.DUMMYFUNCTION("""COMPUTED_VALUE"""),45302)</f>
        <v>45302</v>
      </c>
    </row>
    <row r="147" spans="1:2" x14ac:dyDescent="0.2">
      <c r="A147" s="40" t="str">
        <f ca="1">IFERROR(__xludf.DUMMYFUNCTION("unique(IFERROR(index('Published Replays'!B:B,small(if(ISNUMBER(match('Published Replays'!B:B,'Calls without notes'!A:A,0)),ROW('Published Replays'!B:B),""""),ROW(A146))),""""))"),"2024 Cloud &amp; AI Demand")</f>
        <v>2024 Cloud &amp; AI Demand</v>
      </c>
      <c r="B147" s="41">
        <f ca="1">IFERROR(__xludf.DUMMYFUNCTION("""COMPUTED_VALUE"""),45300)</f>
        <v>45300</v>
      </c>
    </row>
    <row r="148" spans="1:2" x14ac:dyDescent="0.2">
      <c r="A148" s="40" t="str">
        <f ca="1">IFERROR(__xludf.DUMMYFUNCTION("unique(IFERROR(index('Published Replays'!B:B,small(if(ISNUMBER(match('Published Replays'!B:B,'Calls without notes'!A:A,0)),ROW('Published Replays'!B:B),""""),ROW(A147))),""""))"),"POOL, LESL: Checking the Temp")</f>
        <v>POOL, LESL: Checking the Temp</v>
      </c>
      <c r="B148" s="41">
        <f ca="1">IFERROR(__xludf.DUMMYFUNCTION("""COMPUTED_VALUE"""),45299)</f>
        <v>45299</v>
      </c>
    </row>
    <row r="149" spans="1:2" x14ac:dyDescent="0.2">
      <c r="A149" s="40" t="str">
        <f ca="1">IFERROR(__xludf.DUMMYFUNCTION("unique(IFERROR(index('Published Replays'!B:B,small(if(ISNUMBER(match('Published Replays'!B:B,'Calls without notes'!A:A,0)),ROW('Published Replays'!B:B),""""),ROW(A148))),""""))"),"Q4'23 Hotels and OTAs Update with Large Management Company")</f>
        <v>Q4'23 Hotels and OTAs Update with Large Management Company</v>
      </c>
      <c r="B149" s="41">
        <f ca="1">IFERROR(__xludf.DUMMYFUNCTION("""COMPUTED_VALUE"""),45274)</f>
        <v>45274</v>
      </c>
    </row>
    <row r="150" spans="1:2" x14ac:dyDescent="0.2">
      <c r="A150" s="40" t="str">
        <f ca="1">IFERROR(__xludf.DUMMYFUNCTION("unique(IFERROR(index('Published Replays'!B:B,small(if(ISNUMBER(match('Published Replays'!B:B,'Calls without notes'!A:A,0)),ROW('Published Replays'!B:B),""""),ROW(A149))),""""))"),"Used Auto Sales - Q4'23 &amp; 2024")</f>
        <v>Used Auto Sales - Q4'23 &amp; 2024</v>
      </c>
      <c r="B150" s="41">
        <f ca="1">IFERROR(__xludf.DUMMYFUNCTION("""COMPUTED_VALUE"""),45274)</f>
        <v>45274</v>
      </c>
    </row>
    <row r="151" spans="1:2" x14ac:dyDescent="0.2">
      <c r="A151" s="40" t="str">
        <f ca="1">IFERROR(__xludf.DUMMYFUNCTION("unique(IFERROR(index('Published Replays'!B:B,small(if(ISNUMBER(match('Published Replays'!B:B,'Calls without notes'!A:A,0)),ROW('Published Replays'!B:B),""""),ROW(A150))),""""))"),"Solar Demand &amp; 2024 Growth")</f>
        <v>Solar Demand &amp; 2024 Growth</v>
      </c>
      <c r="B151" s="41">
        <f ca="1">IFERROR(__xludf.DUMMYFUNCTION("""COMPUTED_VALUE"""),45273)</f>
        <v>45273</v>
      </c>
    </row>
    <row r="152" spans="1:2" x14ac:dyDescent="0.2">
      <c r="A152" s="40" t="str">
        <f ca="1">IFERROR(__xludf.DUMMYFUNCTION("unique(IFERROR(index('Published Replays'!B:B,small(if(ISNUMBER(match('Published Replays'!B:B,'Calls without notes'!A:A,0)),ROW('Published Replays'!B:B),""""),ROW(A151))),""""))"),"Vail Resorts: Let It Snow or Let It Go?")</f>
        <v>Vail Resorts: Let It Snow or Let It Go?</v>
      </c>
      <c r="B152" s="41">
        <f ca="1">IFERROR(__xludf.DUMMYFUNCTION("""COMPUTED_VALUE"""),45251)</f>
        <v>45251</v>
      </c>
    </row>
    <row r="153" spans="1:2" x14ac:dyDescent="0.2">
      <c r="A153" s="40" t="str">
        <f ca="1">IFERROR(__xludf.DUMMYFUNCTION("unique(IFERROR(index('Published Replays'!B:B,small(if(ISNUMBER(match('Published Replays'!B:B,'Calls without notes'!A:A,0)),ROW('Published Replays'!B:B),""""),ROW(A152))),""""))"),"Mobile Gaming Trends &amp; IP Game Growth")</f>
        <v>Mobile Gaming Trends &amp; IP Game Growth</v>
      </c>
      <c r="B153" s="41">
        <f ca="1">IFERROR(__xludf.DUMMYFUNCTION("""COMPUTED_VALUE"""),45245)</f>
        <v>45245</v>
      </c>
    </row>
    <row r="154" spans="1:2" x14ac:dyDescent="0.2">
      <c r="A154" s="40" t="str">
        <f ca="1">IFERROR(__xludf.DUMMYFUNCTION("unique(IFERROR(index('Published Replays'!B:B,small(if(ISNUMBER(match('Published Replays'!B:B,'Calls without notes'!A:A,0)),ROW('Published Replays'!B:B),""""),ROW(A153))),""""))"),"Atkore Q3'23 &amp; Growth Outlook")</f>
        <v>Atkore Q3'23 &amp; Growth Outlook</v>
      </c>
      <c r="B154" s="41">
        <f ca="1">IFERROR(__xludf.DUMMYFUNCTION("""COMPUTED_VALUE"""),45244)</f>
        <v>45244</v>
      </c>
    </row>
    <row r="155" spans="1:2" x14ac:dyDescent="0.2">
      <c r="A155" s="40" t="str">
        <f ca="1">IFERROR(__xludf.DUMMYFUNCTION("unique(IFERROR(index('Published Replays'!B:B,small(if(ISNUMBER(match('Published Replays'!B:B,'Calls without notes'!A:A,0)),ROW('Published Replays'!B:B),""""),ROW(A154))),""""))"),"Off-Price Retail: Is the Price Right?")</f>
        <v>Off-Price Retail: Is the Price Right?</v>
      </c>
      <c r="B155" s="41">
        <f ca="1">IFERROR(__xludf.DUMMYFUNCTION("""COMPUTED_VALUE"""),45238)</f>
        <v>45238</v>
      </c>
    </row>
    <row r="156" spans="1:2" x14ac:dyDescent="0.2">
      <c r="A156" s="40" t="str">
        <f ca="1">IFERROR(__xludf.DUMMYFUNCTION("unique(IFERROR(index('Published Replays'!B:B,small(if(ISNUMBER(match('Published Replays'!B:B,'Calls without notes'!A:A,0)),ROW('Published Replays'!B:B),""""),ROW(A155))),""""))"),"Grocery Demand, Deflation &amp; GLP-1s")</f>
        <v>Grocery Demand, Deflation &amp; GLP-1s</v>
      </c>
      <c r="B156" s="41">
        <f ca="1">IFERROR(__xludf.DUMMYFUNCTION("""COMPUTED_VALUE"""),45231)</f>
        <v>45231</v>
      </c>
    </row>
    <row r="157" spans="1:2" x14ac:dyDescent="0.2">
      <c r="A157" s="40" t="str">
        <f ca="1">IFERROR(__xludf.DUMMYFUNCTION("unique(IFERROR(index('Published Replays'!B:B,small(if(ISNUMBER(match('Published Replays'!B:B,'Calls without notes'!A:A,0)),ROW('Published Replays'!B:B),""""),ROW(A156))),""""))"),"Q3'23 Furniture Demand &amp; Wayfair")</f>
        <v>Q3'23 Furniture Demand &amp; Wayfair</v>
      </c>
      <c r="B157" s="41">
        <f ca="1">IFERROR(__xludf.DUMMYFUNCTION("""COMPUTED_VALUE"""),45229)</f>
        <v>45229</v>
      </c>
    </row>
    <row r="158" spans="1:2" x14ac:dyDescent="0.2">
      <c r="A158" s="40" t="str">
        <f ca="1">IFERROR(__xludf.DUMMYFUNCTION("unique(IFERROR(index('Published Replays'!B:B,small(if(ISNUMBER(match('Published Replays'!B:B,'Calls without notes'!A:A,0)),ROW('Published Replays'!B:B),""""),ROW(A157))),""""))"),"PLNT Flexes Pricing to Lift Unit Growth")</f>
        <v>PLNT Flexes Pricing to Lift Unit Growth</v>
      </c>
      <c r="B158" s="41">
        <f ca="1">IFERROR(__xludf.DUMMYFUNCTION("""COMPUTED_VALUE"""),45229)</f>
        <v>45229</v>
      </c>
    </row>
    <row r="159" spans="1:2" x14ac:dyDescent="0.2">
      <c r="A159" s="40" t="str">
        <f ca="1">IFERROR(__xludf.DUMMYFUNCTION("unique(IFERROR(index('Published Replays'!B:B,small(if(ISNUMBER(match('Published Replays'!B:B,'Calls without notes'!A:A,0)),ROW('Published Replays'!B:B),""""),ROW(A158))),""""))"),"Security Software’s Q3 Growth")</f>
        <v>Security Software’s Q3 Growth</v>
      </c>
      <c r="B159" s="41">
        <f ca="1">IFERROR(__xludf.DUMMYFUNCTION("""COMPUTED_VALUE"""),45226)</f>
        <v>45226</v>
      </c>
    </row>
    <row r="160" spans="1:2" x14ac:dyDescent="0.2">
      <c r="A160" s="40" t="str">
        <f ca="1">IFERROR(__xludf.DUMMYFUNCTION("unique(IFERROR(index('Published Replays'!B:B,small(if(ISNUMBER(match('Published Replays'!B:B,'Calls without notes'!A:A,0)),ROW('Published Replays'!B:B),""""),ROW(A159))),""""))"),"Theme Parks’ Cruel Summer")</f>
        <v>Theme Parks’ Cruel Summer</v>
      </c>
      <c r="B160" s="41">
        <f ca="1">IFERROR(__xludf.DUMMYFUNCTION("""COMPUTED_VALUE"""),45224)</f>
        <v>45224</v>
      </c>
    </row>
    <row r="161" spans="1:2" x14ac:dyDescent="0.2">
      <c r="A161" s="40" t="str">
        <f ca="1">IFERROR(__xludf.DUMMYFUNCTION("unique(IFERROR(index('Published Replays'!B:B,small(if(ISNUMBER(match('Published Replays'!B:B,'Calls without notes'!A:A,0)),ROW('Published Replays'!B:B),""""),ROW(A160))),""""))"),"Oil Changes &amp; Car Washes – Q3’23")</f>
        <v>Oil Changes &amp; Car Washes – Q3’23</v>
      </c>
      <c r="B161" s="41">
        <f ca="1">IFERROR(__xludf.DUMMYFUNCTION("""COMPUTED_VALUE"""),45223)</f>
        <v>45223</v>
      </c>
    </row>
    <row r="162" spans="1:2" x14ac:dyDescent="0.2">
      <c r="A162" s="40" t="str">
        <f ca="1">IFERROR(__xludf.DUMMYFUNCTION("unique(IFERROR(index('Published Replays'!B:B,small(if(ISNUMBER(match('Published Replays'!B:B,'Calls without notes'!A:A,0)),ROW('Published Replays'!B:B),""""),ROW(A161))),""""))"),"Q3’23 Siding &amp; OSB Demand")</f>
        <v>Q3’23 Siding &amp; OSB Demand</v>
      </c>
      <c r="B162" s="41">
        <f ca="1">IFERROR(__xludf.DUMMYFUNCTION("""COMPUTED_VALUE"""),45223)</f>
        <v>45223</v>
      </c>
    </row>
    <row r="163" spans="1:2" x14ac:dyDescent="0.2">
      <c r="A163" s="40" t="str">
        <f ca="1">IFERROR(__xludf.DUMMYFUNCTION("unique(IFERROR(index('Published Replays'!B:B,small(if(ISNUMBER(match('Published Replays'!B:B,'Calls without notes'!A:A,0)),ROW('Published Replays'!B:B),""""),ROW(A162))),""""))"),"BC - Q3'23 Inventory &amp; Demand")</f>
        <v>BC - Q3'23 Inventory &amp; Demand</v>
      </c>
      <c r="B163" s="41">
        <f ca="1">IFERROR(__xludf.DUMMYFUNCTION("""COMPUTED_VALUE"""),45219)</f>
        <v>45219</v>
      </c>
    </row>
    <row r="164" spans="1:2" x14ac:dyDescent="0.2">
      <c r="A164" s="40" t="str">
        <f ca="1">IFERROR(__xludf.DUMMYFUNCTION("unique(IFERROR(index('Published Replays'!B:B,small(if(ISNUMBER(match('Published Replays'!B:B,'Calls without notes'!A:A,0)),ROW('Published Replays'!B:B),""""),ROW(A163))),""""))"),"DDOG Q3 &amp; Observability Outlook")</f>
        <v>DDOG Q3 &amp; Observability Outlook</v>
      </c>
      <c r="B164" s="41">
        <f ca="1">IFERROR(__xludf.DUMMYFUNCTION("""COMPUTED_VALUE"""),45218)</f>
        <v>45218</v>
      </c>
    </row>
    <row r="165" spans="1:2" x14ac:dyDescent="0.2">
      <c r="A165" s="40" t="str">
        <f ca="1">IFERROR(__xludf.DUMMYFUNCTION("unique(IFERROR(index('Published Replays'!B:B,small(if(ISNUMBER(match('Published Replays'!B:B,'Calls without notes'!A:A,0)),ROW('Published Replays'!B:B),""""),ROW(A164))),""""))"),"ROL, RTO LN Q3'23 &amp; Expansion Outlook")</f>
        <v>ROL, RTO LN Q3'23 &amp; Expansion Outlook</v>
      </c>
      <c r="B165" s="41">
        <f ca="1">IFERROR(__xludf.DUMMYFUNCTION("""COMPUTED_VALUE"""),45218)</f>
        <v>45218</v>
      </c>
    </row>
    <row r="166" spans="1:2" x14ac:dyDescent="0.2">
      <c r="A166" s="40" t="str">
        <f ca="1">IFERROR(__xludf.DUMMYFUNCTION("unique(IFERROR(index('Published Replays'!B:B,small(if(ISNUMBER(match('Published Replays'!B:B,'Calls without notes'!A:A,0)),ROW('Published Replays'!B:B),""""),ROW(A165))),""""))"),"Foodservice Distribution &amp; Q3 Restaurant Demand")</f>
        <v>Foodservice Distribution &amp; Q3 Restaurant Demand</v>
      </c>
      <c r="B166" s="41">
        <f ca="1">IFERROR(__xludf.DUMMYFUNCTION("""COMPUTED_VALUE"""),45217)</f>
        <v>45217</v>
      </c>
    </row>
    <row r="167" spans="1:2" x14ac:dyDescent="0.2">
      <c r="A167" s="40" t="str">
        <f ca="1">IFERROR(__xludf.DUMMYFUNCTION("unique(IFERROR(index('Published Replays'!B:B,small(if(ISNUMBER(match('Published Replays'!B:B,'Calls without notes'!A:A,0)),ROW('Published Replays'!B:B),""""),ROW(A166))),""""))"),"Regional Casinos: What’s in the Cards?")</f>
        <v>Regional Casinos: What’s in the Cards?</v>
      </c>
      <c r="B167" s="41">
        <f ca="1">IFERROR(__xludf.DUMMYFUNCTION("""COMPUTED_VALUE"""),45217)</f>
        <v>45217</v>
      </c>
    </row>
    <row r="168" spans="1:2" x14ac:dyDescent="0.2">
      <c r="A168" s="40" t="str">
        <f ca="1">IFERROR(__xludf.DUMMYFUNCTION("unique(IFERROR(index('Published Replays'!B:B,small(if(ISNUMBER(match('Published Replays'!B:B,'Calls without notes'!A:A,0)),ROW('Published Replays'!B:B),""""),ROW(A167))),""""))"),"ONON, DECK &amp; NKE: Inventory Roulette")</f>
        <v>ONON, DECK &amp; NKE: Inventory Roulette</v>
      </c>
      <c r="B168" s="41">
        <f ca="1">IFERROR(__xludf.DUMMYFUNCTION("""COMPUTED_VALUE"""),45216)</f>
        <v>45216</v>
      </c>
    </row>
    <row r="169" spans="1:2" x14ac:dyDescent="0.2">
      <c r="A169" s="40" t="str">
        <f ca="1">IFERROR(__xludf.DUMMYFUNCTION("unique(IFERROR(index('Published Replays'!B:B,small(if(ISNUMBER(match('Published Replays'!B:B,'Calls without notes'!A:A,0)),ROW('Published Replays'!B:B),""""),ROW(A168))),""""))"),"Flooring Demand: New Homes, R&amp;R and 2024")</f>
        <v>Flooring Demand: New Homes, R&amp;R and 2024</v>
      </c>
      <c r="B169" s="41">
        <f ca="1">IFERROR(__xludf.DUMMYFUNCTION("""COMPUTED_VALUE"""),45216)</f>
        <v>45216</v>
      </c>
    </row>
    <row r="170" spans="1:2" x14ac:dyDescent="0.2">
      <c r="A170" s="40" t="str">
        <f ca="1">IFERROR(__xludf.DUMMYFUNCTION("unique(IFERROR(index('Published Replays'!B:B,small(if(ISNUMBER(match('Published Replays'!B:B,'Calls without notes'!A:A,0)),ROW('Published Replays'!B:B),""""),ROW(A169))),""""))"),"ServiceNow Q3 &amp; GenAI Impacts")</f>
        <v>ServiceNow Q3 &amp; GenAI Impacts</v>
      </c>
      <c r="B170" s="41">
        <f ca="1">IFERROR(__xludf.DUMMYFUNCTION("""COMPUTED_VALUE"""),45216)</f>
        <v>45216</v>
      </c>
    </row>
    <row r="171" spans="1:2" x14ac:dyDescent="0.2">
      <c r="A171" s="40" t="str">
        <f ca="1">IFERROR(__xludf.DUMMYFUNCTION("unique(IFERROR(index('Published Replays'!B:B,small(if(ISNUMBER(match('Published Replays'!B:B,'Calls without notes'!A:A,0)),ROW('Published Replays'!B:B),""""),ROW(A170))),""""))"),"ABNB &amp; Vacation Rentals: Q3’23 Bookings")</f>
        <v>ABNB &amp; Vacation Rentals: Q3’23 Bookings</v>
      </c>
      <c r="B171" s="41">
        <f ca="1">IFERROR(__xludf.DUMMYFUNCTION("""COMPUTED_VALUE"""),45215)</f>
        <v>45215</v>
      </c>
    </row>
    <row r="172" spans="1:2" x14ac:dyDescent="0.2">
      <c r="A172" s="40" t="str">
        <f ca="1">IFERROR(__xludf.DUMMYFUNCTION("unique(IFERROR(index('Published Replays'!B:B,small(if(ISNUMBER(match('Published Replays'!B:B,'Calls without notes'!A:A,0)),ROW('Published Replays'!B:B),""""),ROW(A171))),""""))"),"Semiconductor Demand &amp; NVDA’s Dominance")</f>
        <v>Semiconductor Demand &amp; NVDA’s Dominance</v>
      </c>
      <c r="B172" s="41">
        <f ca="1">IFERROR(__xludf.DUMMYFUNCTION("""COMPUTED_VALUE"""),45211)</f>
        <v>45211</v>
      </c>
    </row>
    <row r="173" spans="1:2" x14ac:dyDescent="0.2">
      <c r="A173" s="40" t="str">
        <f ca="1">IFERROR(__xludf.DUMMYFUNCTION("unique(IFERROR(index('Published Replays'!B:B,small(if(ISNUMBER(match('Published Replays'!B:B,'Calls without notes'!A:A,0)),ROW('Published Replays'!B:B),""""),ROW(A172))),""""))"),"POOL, LESL in Need of a Floaty?")</f>
        <v>POOL, LESL in Need of a Floaty?</v>
      </c>
      <c r="B173" s="41">
        <f ca="1">IFERROR(__xludf.DUMMYFUNCTION("""COMPUTED_VALUE"""),45210)</f>
        <v>45210</v>
      </c>
    </row>
    <row r="174" spans="1:2" x14ac:dyDescent="0.2">
      <c r="A174" s="40" t="str">
        <f ca="1">IFERROR(__xludf.DUMMYFUNCTION("unique(IFERROR(index('Published Replays'!B:B,small(if(ISNUMBER(match('Published Replays'!B:B,'Calls without notes'!A:A,0)),ROW('Published Replays'!B:B),""""),ROW(A173))),""""))"),"Macau Q3'23: Time To Gamble?")</f>
        <v>Macau Q3'23: Time To Gamble?</v>
      </c>
      <c r="B174" s="41">
        <f ca="1">IFERROR(__xludf.DUMMYFUNCTION("""COMPUTED_VALUE"""),45210)</f>
        <v>45210</v>
      </c>
    </row>
    <row r="175" spans="1:2" x14ac:dyDescent="0.2">
      <c r="A175" s="40" t="str">
        <f ca="1">IFERROR(__xludf.DUMMYFUNCTION("unique(IFERROR(index('Published Replays'!B:B,small(if(ISNUMBER(match('Published Replays'!B:B,'Calls without notes'!A:A,0)),ROW('Published Replays'!B:B),""""),ROW(A174))),""""))"),"TWLO, SINCH SS &amp; CPaaS Growth")</f>
        <v>TWLO, SINCH SS &amp; CPaaS Growth</v>
      </c>
      <c r="B175" s="41">
        <f ca="1">IFERROR(__xludf.DUMMYFUNCTION("""COMPUTED_VALUE"""),45209)</f>
        <v>45209</v>
      </c>
    </row>
    <row r="176" spans="1:2" x14ac:dyDescent="0.2">
      <c r="A176" s="40" t="str">
        <f ca="1">IFERROR(__xludf.DUMMYFUNCTION("unique(IFERROR(index('Published Replays'!B:B,small(if(ISNUMBER(match('Published Replays'!B:B,'Calls without notes'!A:A,0)),ROW('Published Replays'!B:B),""""),ROW(A175))),""""))"),"Cannabis Regulations to Drive Growth?")</f>
        <v>Cannabis Regulations to Drive Growth?</v>
      </c>
      <c r="B176" s="41">
        <f ca="1">IFERROR(__xludf.DUMMYFUNCTION("""COMPUTED_VALUE"""),45204)</f>
        <v>45204</v>
      </c>
    </row>
    <row r="177" spans="1:2" x14ac:dyDescent="0.2">
      <c r="A177" s="40" t="str">
        <f ca="1">IFERROR(__xludf.DUMMYFUNCTION("unique(IFERROR(index('Published Replays'!B:B,small(if(ISNUMBER(match('Published Replays'!B:B,'Calls without notes'!A:A,0)),ROW('Published Replays'!B:B),""""),ROW(A176))),""""))"),"SNOW, Databricks &amp; Data Warehousing Growth")</f>
        <v>SNOW, Databricks &amp; Data Warehousing Growth</v>
      </c>
      <c r="B177" s="41">
        <f ca="1">IFERROR(__xludf.DUMMYFUNCTION("""COMPUTED_VALUE"""),45204)</f>
        <v>45204</v>
      </c>
    </row>
    <row r="178" spans="1:2" x14ac:dyDescent="0.2">
      <c r="A178" s="40" t="str">
        <f ca="1">IFERROR(__xludf.DUMMYFUNCTION("unique(IFERROR(index('Published Replays'!B:B,small(if(ISNUMBER(match('Published Replays'!B:B,'Calls without notes'!A:A,0)),ROW('Published Replays'!B:B),""""),ROW(A177))),""""))"),"HUBS, KVYO &amp; Marketing Software Outlook")</f>
        <v>HUBS, KVYO &amp; Marketing Software Outlook</v>
      </c>
      <c r="B178" s="41">
        <f ca="1">IFERROR(__xludf.DUMMYFUNCTION("""COMPUTED_VALUE"""),45202)</f>
        <v>45202</v>
      </c>
    </row>
    <row r="179" spans="1:2" x14ac:dyDescent="0.2">
      <c r="A179" s="40" t="str">
        <f ca="1">IFERROR(__xludf.DUMMYFUNCTION("unique(IFERROR(index('Published Replays'!B:B,small(if(ISNUMBER(match('Published Replays'!B:B,'Calls without notes'!A:A,0)),ROW('Published Replays'!B:B),""""),ROW(A178))),""""))"),"Furniture, Wayfair &amp; Q3 Demand")</f>
        <v>Furniture, Wayfair &amp; Q3 Demand</v>
      </c>
      <c r="B179" s="41">
        <f ca="1">IFERROR(__xludf.DUMMYFUNCTION("""COMPUTED_VALUE"""),45201)</f>
        <v>45201</v>
      </c>
    </row>
    <row r="180" spans="1:2" x14ac:dyDescent="0.2">
      <c r="A180" s="40" t="str">
        <f ca="1">IFERROR(__xludf.DUMMYFUNCTION("unique(IFERROR(index('Published Replays'!B:B,small(if(ISNUMBER(match('Published Replays'!B:B,'Calls without notes'!A:A,0)),ROW('Published Replays'!B:B),""""),ROW(A179))),""""))"),"LW: Inventory, Capacity &amp; Margins")</f>
        <v>LW: Inventory, Capacity &amp; Margins</v>
      </c>
      <c r="B180" s="41">
        <f ca="1">IFERROR(__xludf.DUMMYFUNCTION("""COMPUTED_VALUE"""),45198)</f>
        <v>45198</v>
      </c>
    </row>
    <row r="181" spans="1:2" x14ac:dyDescent="0.2">
      <c r="A181" s="40" t="str">
        <f ca="1">IFERROR(__xludf.DUMMYFUNCTION("unique(IFERROR(index('Published Replays'!B:B,small(if(ISNUMBER(match('Published Replays'!B:B,'Calls without notes'!A:A,0)),ROW('Published Replays'!B:B),""""),ROW(A180))),""""))"),"Q3’23 Beer Distribution &amp; Sales")</f>
        <v>Q3’23 Beer Distribution &amp; Sales</v>
      </c>
      <c r="B181" s="41">
        <f ca="1">IFERROR(__xludf.DUMMYFUNCTION("""COMPUTED_VALUE"""),45196)</f>
        <v>45196</v>
      </c>
    </row>
    <row r="182" spans="1:2" x14ac:dyDescent="0.2">
      <c r="A182" s="40" t="str">
        <f ca="1">IFERROR(__xludf.DUMMYFUNCTION("unique(IFERROR(index('Published Replays'!B:B,small(if(ISNUMBER(match('Published Replays'!B:B,'Calls without notes'!A:A,0)),ROW('Published Replays'!B:B),""""),ROW(A181))),""""))"),"Q3 Social Ad Spend Shifts")</f>
        <v>Q3 Social Ad Spend Shifts</v>
      </c>
      <c r="B182" s="41">
        <f ca="1">IFERROR(__xludf.DUMMYFUNCTION("""COMPUTED_VALUE"""),45195)</f>
        <v>45195</v>
      </c>
    </row>
    <row r="183" spans="1:2" x14ac:dyDescent="0.2">
      <c r="A183" s="40" t="str">
        <f ca="1">IFERROR(__xludf.DUMMYFUNCTION("unique(IFERROR(index('Published Replays'!B:B,small(if(ISNUMBER(match('Published Replays'!B:B,'Calls without notes'!A:A,0)),ROW('Published Replays'!B:B),""""),ROW(A182))),""""))"),"Vestis Spin-Off &amp; Uniform Demand")</f>
        <v>Vestis Spin-Off &amp; Uniform Demand</v>
      </c>
      <c r="B183" s="41">
        <f ca="1">IFERROR(__xludf.DUMMYFUNCTION("""COMPUTED_VALUE"""),45193)</f>
        <v>45193</v>
      </c>
    </row>
    <row r="184" spans="1:2" x14ac:dyDescent="0.2">
      <c r="A184" s="40" t="str">
        <f ca="1">IFERROR(__xludf.DUMMYFUNCTION("unique(IFERROR(index('Published Replays'!B:B,small(if(ISNUMBER(match('Published Replays'!B:B,'Calls without notes'!A:A,0)),ROW('Published Replays'!B:B),""""),ROW(A183))),""""))"),"NFLX, DIS &amp; Q3’23 CTV/OTT Ad Demand")</f>
        <v>NFLX, DIS &amp; Q3’23 CTV/OTT Ad Demand</v>
      </c>
      <c r="B184" s="41">
        <f ca="1">IFERROR(__xludf.DUMMYFUNCTION("""COMPUTED_VALUE"""),45190)</f>
        <v>45190</v>
      </c>
    </row>
    <row r="185" spans="1:2" x14ac:dyDescent="0.2">
      <c r="A185" s="40" t="str">
        <f ca="1">IFERROR(__xludf.DUMMYFUNCTION("unique(IFERROR(index('Published Replays'!B:B,small(if(ISNUMBER(match('Published Replays'!B:B,'Calls without notes'!A:A,0)),ROW('Published Replays'!B:B),""""),ROW(A184))),""""))"),"Unpacking the Self-Storage Industry")</f>
        <v>Unpacking the Self-Storage Industry</v>
      </c>
      <c r="B185" s="41">
        <f ca="1">IFERROR(__xludf.DUMMYFUNCTION("""COMPUTED_VALUE"""),45184)</f>
        <v>45184</v>
      </c>
    </row>
    <row r="186" spans="1:2" x14ac:dyDescent="0.2">
      <c r="A186" s="40" t="str">
        <f ca="1">IFERROR(__xludf.DUMMYFUNCTION("unique(IFERROR(index('Published Replays'!B:B,small(if(ISNUMBER(match('Published Replays'!B:B,'Calls without notes'!A:A,0)),ROW('Published Replays'!B:B),""""),ROW(A185))),""""))"),"Ad Spend: Digital, OTT &amp; Linear")</f>
        <v>Ad Spend: Digital, OTT &amp; Linear</v>
      </c>
      <c r="B186" s="41">
        <f ca="1">IFERROR(__xludf.DUMMYFUNCTION("""COMPUTED_VALUE"""),45181)</f>
        <v>45181</v>
      </c>
    </row>
    <row r="187" spans="1:2" x14ac:dyDescent="0.2">
      <c r="A187" s="40" t="str">
        <f ca="1">IFERROR(__xludf.DUMMYFUNCTION("unique(IFERROR(index('Published Replays'!B:B,small(if(ISNUMBER(match('Published Replays'!B:B,'Calls without notes'!A:A,0)),ROW('Published Replays'!B:B),""""),ROW(A186))),""""))"),"ADBE’s Q3’23 &amp; GenAI Adoption")</f>
        <v>ADBE’s Q3’23 &amp; GenAI Adoption</v>
      </c>
      <c r="B187" s="41">
        <f ca="1">IFERROR(__xludf.DUMMYFUNCTION("""COMPUTED_VALUE"""),45177)</f>
        <v>45177</v>
      </c>
    </row>
    <row r="188" spans="1:2" x14ac:dyDescent="0.2">
      <c r="A188" s="40" t="str">
        <f ca="1">IFERROR(__xludf.DUMMYFUNCTION("unique(IFERROR(index('Published Replays'!B:B,small(if(ISNUMBER(match('Published Replays'!B:B,'Calls without notes'!A:A,0)),ROW('Published Replays'!B:B),""""),ROW(A187))),""""))"),"Streaming Video Q3 Outlook")</f>
        <v>Streaming Video Q3 Outlook</v>
      </c>
      <c r="B188" s="41">
        <f ca="1">IFERROR(__xludf.DUMMYFUNCTION("""COMPUTED_VALUE"""),45175)</f>
        <v>45175</v>
      </c>
    </row>
    <row r="189" spans="1:2" x14ac:dyDescent="0.2">
      <c r="A189" s="40" t="str">
        <f ca="1">IFERROR(__xludf.DUMMYFUNCTION("unique(IFERROR(index('Published Replays'!B:B,small(if(ISNUMBER(match('Published Replays'!B:B,'Calls without notes'!A:A,0)),ROW('Published Replays'!B:B),""""),ROW(A188))),""""))"),"Furniture Orders Picking Up?")</f>
        <v>Furniture Orders Picking Up?</v>
      </c>
      <c r="B189" s="41">
        <f ca="1">IFERROR(__xludf.DUMMYFUNCTION("""COMPUTED_VALUE"""),45159)</f>
        <v>45159</v>
      </c>
    </row>
    <row r="190" spans="1:2" x14ac:dyDescent="0.2">
      <c r="A190" s="40" t="str">
        <f ca="1">IFERROR(__xludf.DUMMYFUNCTION("unique(IFERROR(index('Published Replays'!B:B,small(if(ISNUMBER(match('Published Replays'!B:B,'Calls without notes'!A:A,0)),ROW('Published Replays'!B:B),""""),ROW(A189))),""""))"),"Q2'23 Hotels Update with Large Management Company")</f>
        <v>Q2'23 Hotels Update with Large Management Company</v>
      </c>
      <c r="B190" s="41">
        <f ca="1">IFERROR(__xludf.DUMMYFUNCTION("""COMPUTED_VALUE"""),45155)</f>
        <v>45155</v>
      </c>
    </row>
    <row r="191" spans="1:2" x14ac:dyDescent="0.2">
      <c r="A191" s="40" t="str">
        <f ca="1">IFERROR(__xludf.DUMMYFUNCTION("unique(IFERROR(index('Published Replays'!B:B,small(if(ISNUMBER(match('Published Replays'!B:B,'Calls without notes'!A:A,0)),ROW('Published Replays'!B:B),""""),ROW(A190))),""""))"),"Grocery’s Deflating Second Act?")</f>
        <v>Grocery’s Deflating Second Act?</v>
      </c>
      <c r="B191" s="41">
        <f ca="1">IFERROR(__xludf.DUMMYFUNCTION("""COMPUTED_VALUE"""),45148)</f>
        <v>45148</v>
      </c>
    </row>
    <row r="192" spans="1:2" x14ac:dyDescent="0.2">
      <c r="A192" s="40" t="str">
        <f ca="1">IFERROR(__xludf.DUMMYFUNCTION("unique(IFERROR(index('Published Replays'!B:B,small(if(ISNUMBER(match('Published Replays'!B:B,'Calls without notes'!A:A,0)),ROW('Published Replays'!B:B),""""),ROW(A191))),""""))"),"Off-Price Retail: Q2 Inventory &amp; Price Check")</f>
        <v>Off-Price Retail: Q2 Inventory &amp; Price Check</v>
      </c>
      <c r="B192" s="41">
        <f ca="1">IFERROR(__xludf.DUMMYFUNCTION("""COMPUTED_VALUE"""),45147)</f>
        <v>45147</v>
      </c>
    </row>
    <row r="193" spans="1:2" x14ac:dyDescent="0.2">
      <c r="A193" s="40" t="str">
        <f ca="1">IFERROR(__xludf.DUMMYFUNCTION("unique(IFERROR(index('Published Replays'!B:B,small(if(ISNUMBER(match('Published Replays'!B:B,'Calls without notes'!A:A,0)),ROW('Published Replays'!B:B),""""),ROW(A192))),""""))"),"Security Software Spend - Q2’23")</f>
        <v>Security Software Spend - Q2’23</v>
      </c>
      <c r="B193" s="41">
        <f ca="1">IFERROR(__xludf.DUMMYFUNCTION("""COMPUTED_VALUE"""),45140)</f>
        <v>45140</v>
      </c>
    </row>
    <row r="194" spans="1:2" x14ac:dyDescent="0.2">
      <c r="A194" s="40" t="str">
        <f ca="1">IFERROR(__xludf.DUMMYFUNCTION("unique(IFERROR(index('Published Replays'!B:B,small(if(ISNUMBER(match('Published Replays'!B:B,'Calls without notes'!A:A,0)),ROW('Published Replays'!B:B),""""),ROW(A193))),""""))"),"Foodservice Distributors: Q2’23 &amp; Deflation Risk")</f>
        <v>Foodservice Distributors: Q2’23 &amp; Deflation Risk</v>
      </c>
      <c r="B194" s="41">
        <f ca="1">IFERROR(__xludf.DUMMYFUNCTION("""COMPUTED_VALUE"""),45134)</f>
        <v>45134</v>
      </c>
    </row>
    <row r="195" spans="1:2" x14ac:dyDescent="0.2">
      <c r="A195" s="40" t="str">
        <f ca="1">IFERROR(__xludf.DUMMYFUNCTION("unique(IFERROR(index('Published Replays'!B:B,small(if(ISNUMBER(match('Published Replays'!B:B,'Calls without notes'!A:A,0)),ROW('Published Replays'!B:B),""""),ROW(A194))),""""))"),"Theme Parks: Passes &amp; Stocks on Sale?")</f>
        <v>Theme Parks: Passes &amp; Stocks on Sale?</v>
      </c>
      <c r="B195" s="41">
        <f ca="1">IFERROR(__xludf.DUMMYFUNCTION("""COMPUTED_VALUE"""),45133)</f>
        <v>45133</v>
      </c>
    </row>
    <row r="196" spans="1:2" x14ac:dyDescent="0.2">
      <c r="A196" s="40" t="str">
        <f ca="1">IFERROR(__xludf.DUMMYFUNCTION("unique(IFERROR(index('Published Replays'!B:B,small(if(ISNUMBER(match('Published Replays'!B:B,'Calls without notes'!A:A,0)),ROW('Published Replays'!B:B),""""),ROW(A195))),""""))"),"CPRT, RBA &amp; Q2’23 Auction Action")</f>
        <v>CPRT, RBA &amp; Q2’23 Auction Action</v>
      </c>
      <c r="B196" s="41">
        <f ca="1">IFERROR(__xludf.DUMMYFUNCTION("""COMPUTED_VALUE"""),45133)</f>
        <v>45133</v>
      </c>
    </row>
    <row r="197" spans="1:2" x14ac:dyDescent="0.2">
      <c r="A197" s="40" t="str">
        <f ca="1">IFERROR(__xludf.DUMMYFUNCTION("unique(IFERROR(index('Published Replays'!B:B,small(if(ISNUMBER(match('Published Replays'!B:B,'Calls without notes'!A:A,0)),ROW('Published Replays'!B:B),""""),ROW(A196))),""""))"),"VVV, DRVN &amp; Q2'23 Automotive Services")</f>
        <v>VVV, DRVN &amp; Q2'23 Automotive Services</v>
      </c>
      <c r="B197" s="41">
        <f ca="1">IFERROR(__xludf.DUMMYFUNCTION("""COMPUTED_VALUE"""),45131)</f>
        <v>45131</v>
      </c>
    </row>
    <row r="198" spans="1:2" x14ac:dyDescent="0.2">
      <c r="A198" s="40" t="str">
        <f ca="1">IFERROR(__xludf.DUMMYFUNCTION("unique(IFERROR(index('Published Replays'!B:B,small(if(ISNUMBER(match('Published Replays'!B:B,'Calls without notes'!A:A,0)),ROW('Published Replays'!B:B),""""),ROW(A197))),""""))"),"DDOG Q2 &amp; 2023 Outlook")</f>
        <v>DDOG Q2 &amp; 2023 Outlook</v>
      </c>
      <c r="B198" s="41">
        <f ca="1">IFERROR(__xludf.DUMMYFUNCTION("""COMPUTED_VALUE"""),45128)</f>
        <v>45128</v>
      </c>
    </row>
    <row r="199" spans="1:2" x14ac:dyDescent="0.2">
      <c r="A199" s="40" t="str">
        <f ca="1">IFERROR(__xludf.DUMMYFUNCTION("unique(IFERROR(index('Published Replays'!B:B,small(if(ISNUMBER(match('Published Replays'!B:B,'Calls without notes'!A:A,0)),ROW('Published Replays'!B:B),""""),ROW(A198))),""""))"),"Streaming Music w/ The CEO of SoundCloud")</f>
        <v>Streaming Music w/ The CEO of SoundCloud</v>
      </c>
      <c r="B199" s="41">
        <f ca="1">IFERROR(__xludf.DUMMYFUNCTION("""COMPUTED_VALUE"""),45128)</f>
        <v>45128</v>
      </c>
    </row>
    <row r="200" spans="1:2" x14ac:dyDescent="0.2">
      <c r="A200" s="40" t="str">
        <f ca="1">IFERROR(__xludf.DUMMYFUNCTION("unique(IFERROR(index('Published Replays'!B:B,small(if(ISNUMBER(match('Published Replays'!B:B,'Calls without notes'!A:A,0)),ROW('Published Replays'!B:B),""""),ROW(A199))),""""))"),"AAP, AZO, ORLY: Checking Under the Hood")</f>
        <v>AAP, AZO, ORLY: Checking Under the Hood</v>
      </c>
      <c r="B200" s="41">
        <f ca="1">IFERROR(__xludf.DUMMYFUNCTION("""COMPUTED_VALUE"""),45127)</f>
        <v>45127</v>
      </c>
    </row>
    <row r="201" spans="1:2" x14ac:dyDescent="0.2">
      <c r="A201" s="40" t="str">
        <f ca="1">IFERROR(__xludf.DUMMYFUNCTION("unique(IFERROR(index('Published Replays'!B:B,small(if(ISNUMBER(match('Published Replays'!B:B,'Calls without notes'!A:A,0)),ROW('Published Replays'!B:B),""""),ROW(A200))),""""))"),"ROL, RTO LN &amp; Q2'23 Pest Control Growth")</f>
        <v>ROL, RTO LN &amp; Q2'23 Pest Control Growth</v>
      </c>
      <c r="B201" s="41">
        <f ca="1">IFERROR(__xludf.DUMMYFUNCTION("""COMPUTED_VALUE"""),45127)</f>
        <v>45127</v>
      </c>
    </row>
    <row r="202" spans="1:2" x14ac:dyDescent="0.2">
      <c r="A202" s="40" t="str">
        <f ca="1">IFERROR(__xludf.DUMMYFUNCTION("unique(IFERROR(index('Published Replays'!B:B,small(if(ISNUMBER(match('Published Replays'!B:B,'Calls without notes'!A:A,0)),ROW('Published Replays'!B:B),""""),ROW(A201))),""""))"),"ABNB &amp; Vacation Rentals: Summer 2023")</f>
        <v>ABNB &amp; Vacation Rentals: Summer 2023</v>
      </c>
      <c r="B202" s="41">
        <f ca="1">IFERROR(__xludf.DUMMYFUNCTION("""COMPUTED_VALUE"""),45126)</f>
        <v>45126</v>
      </c>
    </row>
    <row r="203" spans="1:2" x14ac:dyDescent="0.2">
      <c r="A203" s="40" t="str">
        <f ca="1">IFERROR(__xludf.DUMMYFUNCTION("unique(IFERROR(index('Published Replays'!B:B,small(if(ISNUMBER(match('Published Replays'!B:B,'Calls without notes'!A:A,0)),ROW('Published Replays'!B:B),""""),ROW(A202))),""""))"),"ONON, DECK &amp; NKE: Sneaker Sales Losing Footing?")</f>
        <v>ONON, DECK &amp; NKE: Sneaker Sales Losing Footing?</v>
      </c>
      <c r="B203" s="41">
        <f ca="1">IFERROR(__xludf.DUMMYFUNCTION("""COMPUTED_VALUE"""),45125)</f>
        <v>45125</v>
      </c>
    </row>
    <row r="204" spans="1:2" x14ac:dyDescent="0.2">
      <c r="A204" s="40" t="str">
        <f ca="1">IFERROR(__xludf.DUMMYFUNCTION("unique(IFERROR(index('Published Replays'!B:B,small(if(ISNUMBER(match('Published Replays'!B:B,'Calls without notes'!A:A,0)),ROW('Published Replays'!B:B),""""),ROW(A203))),""""))"),"MHK &amp; Q2'23 Flooring Demand")</f>
        <v>MHK &amp; Q2'23 Flooring Demand</v>
      </c>
      <c r="B204" s="41">
        <f ca="1">IFERROR(__xludf.DUMMYFUNCTION("""COMPUTED_VALUE"""),45125)</f>
        <v>45125</v>
      </c>
    </row>
    <row r="205" spans="1:2" x14ac:dyDescent="0.2">
      <c r="A205" s="40" t="str">
        <f ca="1">IFERROR(__xludf.DUMMYFUNCTION("unique(IFERROR(index('Published Replays'!B:B,small(if(ISNUMBER(match('Published Replays'!B:B,'Calls without notes'!A:A,0)),ROW('Published Replays'!B:B),""""),ROW(A204))),""""))"),"ServiceNow Q2 &amp; 2023 Outlook")</f>
        <v>ServiceNow Q2 &amp; 2023 Outlook</v>
      </c>
      <c r="B205" s="41">
        <f ca="1">IFERROR(__xludf.DUMMYFUNCTION("""COMPUTED_VALUE"""),45121)</f>
        <v>45121</v>
      </c>
    </row>
    <row r="206" spans="1:2" x14ac:dyDescent="0.2">
      <c r="A206" s="40" t="str">
        <f ca="1">IFERROR(__xludf.DUMMYFUNCTION("unique(IFERROR(index('Published Replays'!B:B,small(if(ISNUMBER(match('Published Replays'!B:B,'Calls without notes'!A:A,0)),ROW('Published Replays'!B:B),""""),ROW(A205))),""""))"),"Hotel Bookings: Direct vs OTAs")</f>
        <v>Hotel Bookings: Direct vs OTAs</v>
      </c>
      <c r="B206" s="41">
        <f ca="1">IFERROR(__xludf.DUMMYFUNCTION("""COMPUTED_VALUE"""),45120)</f>
        <v>45120</v>
      </c>
    </row>
    <row r="207" spans="1:2" x14ac:dyDescent="0.2">
      <c r="A207" s="40" t="str">
        <f ca="1">IFERROR(__xludf.DUMMYFUNCTION("unique(IFERROR(index('Published Replays'!B:B,small(if(ISNUMBER(match('Published Replays'!B:B,'Calls without notes'!A:A,0)),ROW('Published Replays'!B:B),""""),ROW(A206))),""""))"),"BC &amp; Q2'23: Sink or Float?")</f>
        <v>BC &amp; Q2'23: Sink or Float?</v>
      </c>
      <c r="B207" s="41">
        <f ca="1">IFERROR(__xludf.DUMMYFUNCTION("""COMPUTED_VALUE"""),45120)</f>
        <v>45120</v>
      </c>
    </row>
    <row r="208" spans="1:2" x14ac:dyDescent="0.2">
      <c r="A208" s="40" t="str">
        <f ca="1">IFERROR(__xludf.DUMMYFUNCTION("unique(IFERROR(index('Published Replays'!B:B,small(if(ISNUMBER(match('Published Replays'!B:B,'Calls without notes'!A:A,0)),ROW('Published Replays'!B:B),""""),ROW(A207))),""""))"),"PLNT: Unit Growth &amp; Competition")</f>
        <v>PLNT: Unit Growth &amp; Competition</v>
      </c>
      <c r="B208" s="41">
        <f ca="1">IFERROR(__xludf.DUMMYFUNCTION("""COMPUTED_VALUE"""),45118)</f>
        <v>45118</v>
      </c>
    </row>
    <row r="209" spans="1:2" x14ac:dyDescent="0.2">
      <c r="A209" s="40" t="str">
        <f ca="1">IFERROR(__xludf.DUMMYFUNCTION("unique(IFERROR(index('Published Replays'!B:B,small(if(ISNUMBER(match('Published Replays'!B:B,'Calls without notes'!A:A,0)),ROW('Published Replays'!B:B),""""),ROW(A208))),""""))"),"Macau - Summer Comeback?")</f>
        <v>Macau - Summer Comeback?</v>
      </c>
      <c r="B209" s="41">
        <f ca="1">IFERROR(__xludf.DUMMYFUNCTION("""COMPUTED_VALUE"""),45114)</f>
        <v>45114</v>
      </c>
    </row>
    <row r="210" spans="1:2" x14ac:dyDescent="0.2">
      <c r="A210" s="40" t="str">
        <f ca="1">IFERROR(__xludf.DUMMYFUNCTION("unique(IFERROR(index('Published Replays'!B:B,small(if(ISNUMBER(match('Published Replays'!B:B,'Calls without notes'!A:A,0)),ROW('Published Replays'!B:B),""""),ROW(A209))),""""))"),"POOL, LESL: Return to Growth?")</f>
        <v>POOL, LESL: Return to Growth?</v>
      </c>
      <c r="B210" s="41">
        <f ca="1">IFERROR(__xludf.DUMMYFUNCTION("""COMPUTED_VALUE"""),45114)</f>
        <v>45114</v>
      </c>
    </row>
    <row r="211" spans="1:2" x14ac:dyDescent="0.2">
      <c r="A211" s="40" t="str">
        <f ca="1">IFERROR(__xludf.DUMMYFUNCTION("unique(IFERROR(index('Published Replays'!B:B,small(if(ISNUMBER(match('Published Replays'!B:B,'Calls without notes'!A:A,0)),ROW('Published Replays'!B:B),""""),ROW(A210))),""""))"),"Measuring Streaming Media Audience and Ads")</f>
        <v>Measuring Streaming Media Audience and Ads</v>
      </c>
      <c r="B211" s="41">
        <f ca="1">IFERROR(__xludf.DUMMYFUNCTION("""COMPUTED_VALUE"""),45106)</f>
        <v>45106</v>
      </c>
    </row>
    <row r="212" spans="1:2" x14ac:dyDescent="0.2">
      <c r="A212" s="40" t="str">
        <f ca="1">IFERROR(__xludf.DUMMYFUNCTION("unique(IFERROR(index('Published Replays'!B:B,small(if(ISNUMBER(match('Published Replays'!B:B,'Calls without notes'!A:A,0)),ROW('Published Replays'!B:B),""""),ROW(A211))),""""))"),"LW: Q4’23 &amp; New Crop Harvest")</f>
        <v>LW: Q4’23 &amp; New Crop Harvest</v>
      </c>
      <c r="B212" s="41">
        <f ca="1">IFERROR(__xludf.DUMMYFUNCTION("""COMPUTED_VALUE"""),45104)</f>
        <v>45104</v>
      </c>
    </row>
    <row r="213" spans="1:2" x14ac:dyDescent="0.2">
      <c r="A213" s="40" t="str">
        <f ca="1">IFERROR(__xludf.DUMMYFUNCTION("unique(IFERROR(index('Published Replays'!B:B,small(if(ISNUMBER(match('Published Replays'!B:B,'Calls without notes'!A:A,0)),ROW('Published Replays'!B:B),""""),ROW(A212))),""""))"),"Large Digital Ad Agency Mid 2023 Update")</f>
        <v>Large Digital Ad Agency Mid 2023 Update</v>
      </c>
      <c r="B213" s="41">
        <f ca="1">IFERROR(__xludf.DUMMYFUNCTION("""COMPUTED_VALUE"""),45099)</f>
        <v>45099</v>
      </c>
    </row>
    <row r="214" spans="1:2" x14ac:dyDescent="0.2">
      <c r="A214" s="40" t="str">
        <f ca="1">IFERROR(__xludf.DUMMYFUNCTION("unique(IFERROR(index('Published Replays'!B:B,small(if(ISNUMBER(match('Published Replays'!B:B,'Calls without notes'!A:A,0)),ROW('Published Replays'!B:B),""""),ROW(A213))),""""))"),"MTCH: Time to Swipe Right?")</f>
        <v>MTCH: Time to Swipe Right?</v>
      </c>
      <c r="B214" s="41">
        <f ca="1">IFERROR(__xludf.DUMMYFUNCTION("""COMPUTED_VALUE"""),45098)</f>
        <v>45098</v>
      </c>
    </row>
    <row r="215" spans="1:2" x14ac:dyDescent="0.2">
      <c r="A215" s="40" t="str">
        <f ca="1">IFERROR(__xludf.DUMMYFUNCTION("unique(IFERROR(index('Published Replays'!B:B,small(if(ISNUMBER(match('Published Replays'!B:B,'Calls without notes'!A:A,0)),ROW('Published Replays'!B:B),""""),ROW(A214))),""""))"),"Q2’23 Beer Sales &amp; BUD’s Share Loss")</f>
        <v>Q2’23 Beer Sales &amp; BUD’s Share Loss</v>
      </c>
      <c r="B215" s="41">
        <f ca="1">IFERROR(__xludf.DUMMYFUNCTION("""COMPUTED_VALUE"""),45097)</f>
        <v>45097</v>
      </c>
    </row>
    <row r="216" spans="1:2" x14ac:dyDescent="0.2">
      <c r="A216" s="40" t="str">
        <f ca="1">IFERROR(__xludf.DUMMYFUNCTION("unique(IFERROR(index('Published Replays'!B:B,small(if(ISNUMBER(match('Published Replays'!B:B,'Calls without notes'!A:A,0)),ROW('Published Replays'!B:B),""""),ROW(A215))),""""))"),"The Evolving Social Media Landscape")</f>
        <v>The Evolving Social Media Landscape</v>
      </c>
      <c r="B216" s="41">
        <f ca="1">IFERROR(__xludf.DUMMYFUNCTION("""COMPUTED_VALUE"""),45089)</f>
        <v>45089</v>
      </c>
    </row>
    <row r="217" spans="1:2" x14ac:dyDescent="0.2">
      <c r="A217" s="40" t="str">
        <f ca="1">IFERROR(__xludf.DUMMYFUNCTION("unique(IFERROR(index('Published Replays'!B:B,small(if(ISNUMBER(match('Published Replays'!B:B,'Calls without notes'!A:A,0)),ROW('Published Replays'!B:B),""""),ROW(A216))),""""))"),"Grocery Growth &amp; Deflation Risk")</f>
        <v>Grocery Growth &amp; Deflation Risk</v>
      </c>
      <c r="B217" s="41">
        <f ca="1">IFERROR(__xludf.DUMMYFUNCTION("""COMPUTED_VALUE"""),45089)</f>
        <v>45089</v>
      </c>
    </row>
    <row r="218" spans="1:2" x14ac:dyDescent="0.2">
      <c r="A218" s="40" t="str">
        <f ca="1">IFERROR(__xludf.DUMMYFUNCTION("unique(IFERROR(index('Published Replays'!B:B,small(if(ISNUMBER(match('Published Replays'!B:B,'Calls without notes'!A:A,0)),ROW('Published Replays'!B:B),""""),ROW(A217))),""""))"),"NFLX, DIS &amp; Q2’23 CTV/OTT Ad Demand")</f>
        <v>NFLX, DIS &amp; Q2’23 CTV/OTT Ad Demand</v>
      </c>
      <c r="B218" s="41">
        <f ca="1">IFERROR(__xludf.DUMMYFUNCTION("""COMPUTED_VALUE"""),45085)</f>
        <v>45085</v>
      </c>
    </row>
    <row r="219" spans="1:2" x14ac:dyDescent="0.2">
      <c r="A219" s="40" t="str">
        <f ca="1">IFERROR(__xludf.DUMMYFUNCTION("unique(IFERROR(index('Published Replays'!B:B,small(if(ISNUMBER(match('Published Replays'!B:B,'Calls without notes'!A:A,0)),ROW('Published Replays'!B:B),""""),ROW(A218))),""""))"),"ADBE’s Q2’23 &amp; AI Hype")</f>
        <v>ADBE’s Q2’23 &amp; AI Hype</v>
      </c>
      <c r="B219" s="41">
        <f ca="1">IFERROR(__xludf.DUMMYFUNCTION("""COMPUTED_VALUE"""),45083)</f>
        <v>45083</v>
      </c>
    </row>
    <row r="220" spans="1:2" x14ac:dyDescent="0.2">
      <c r="A220" s="40" t="str">
        <f ca="1">IFERROR(__xludf.DUMMYFUNCTION("unique(IFERROR(index('Published Replays'!B:B,small(if(ISNUMBER(match('Published Replays'!B:B,'Calls without notes'!A:A,0)),ROW('Published Replays'!B:B),""""),ROW(A219))),""""))"),"Wayfair &amp; Furniture: Mid-2023 Update")</f>
        <v>Wayfair &amp; Furniture: Mid-2023 Update</v>
      </c>
      <c r="B220" s="41">
        <f ca="1">IFERROR(__xludf.DUMMYFUNCTION("""COMPUTED_VALUE"""),45079)</f>
        <v>45079</v>
      </c>
    </row>
    <row r="221" spans="1:2" x14ac:dyDescent="0.2">
      <c r="A221" s="40" t="str">
        <f ca="1">IFERROR(__xludf.DUMMYFUNCTION("unique(IFERROR(index('Published Replays'!B:B,small(if(ISNUMBER(match('Published Replays'!B:B,'Calls without notes'!A:A,0)),ROW('Published Replays'!B:B),""""),ROW(A220))),""""))"),"Vail Resorts &amp; 2023-24 Pass Sales")</f>
        <v>Vail Resorts &amp; 2023-24 Pass Sales</v>
      </c>
      <c r="B221" s="41">
        <f ca="1">IFERROR(__xludf.DUMMYFUNCTION("""COMPUTED_VALUE"""),45071)</f>
        <v>45071</v>
      </c>
    </row>
    <row r="222" spans="1:2" x14ac:dyDescent="0.2">
      <c r="A222" s="40" t="str">
        <f ca="1">IFERROR(__xludf.DUMMYFUNCTION("unique(IFERROR(index('Published Replays'!B:B,small(if(ISNUMBER(match('Published Replays'!B:B,'Calls without notes'!A:A,0)),ROW('Published Replays'!B:B),""""),ROW(A221))),""""))"),"FERG &amp; New Home Plumbing Demand")</f>
        <v>FERG &amp; New Home Plumbing Demand</v>
      </c>
      <c r="B222" s="41">
        <f ca="1">IFERROR(__xludf.DUMMYFUNCTION("""COMPUTED_VALUE"""),45062)</f>
        <v>45062</v>
      </c>
    </row>
    <row r="223" spans="1:2" x14ac:dyDescent="0.2">
      <c r="A223" s="40" t="str">
        <f ca="1">IFERROR(__xludf.DUMMYFUNCTION("unique(IFERROR(index('Published Replays'!B:B,small(if(ISNUMBER(match('Published Replays'!B:B,'Calls without notes'!A:A,0)),ROW('Published Replays'!B:B),""""),ROW(A222))),""""))"),"SPLK, SNOW and Q1 Optimization")</f>
        <v>SPLK, SNOW and Q1 Optimization</v>
      </c>
      <c r="B223" s="41">
        <f ca="1">IFERROR(__xludf.DUMMYFUNCTION("""COMPUTED_VALUE"""),45061)</f>
        <v>45061</v>
      </c>
    </row>
    <row r="224" spans="1:2" x14ac:dyDescent="0.2">
      <c r="A224" s="40" t="str">
        <f ca="1">IFERROR(__xludf.DUMMYFUNCTION("unique(IFERROR(index('Published Replays'!B:B,small(if(ISNUMBER(match('Published Replays'!B:B,'Calls without notes'!A:A,0)),ROW('Published Replays'!B:B),""""),ROW(A223))),""""))"),"Off-Price Retail on Trend?")</f>
        <v>Off-Price Retail on Trend?</v>
      </c>
      <c r="B224" s="41">
        <f ca="1">IFERROR(__xludf.DUMMYFUNCTION("""COMPUTED_VALUE"""),45058)</f>
        <v>45058</v>
      </c>
    </row>
    <row r="225" spans="1:2" x14ac:dyDescent="0.2">
      <c r="A225" s="40" t="str">
        <f ca="1">IFERROR(__xludf.DUMMYFUNCTION("unique(IFERROR(index('Published Replays'!B:B,small(if(ISNUMBER(match('Published Replays'!B:B,'Calls without notes'!A:A,0)),ROW('Published Replays'!B:B),""""),ROW(A224))),""""))"),"Foodservice Distributors: Q1’23 Update")</f>
        <v>Foodservice Distributors: Q1’23 Update</v>
      </c>
      <c r="B225" s="41">
        <f ca="1">IFERROR(__xludf.DUMMYFUNCTION("""COMPUTED_VALUE"""),45054)</f>
        <v>45054</v>
      </c>
    </row>
    <row r="226" spans="1:2" x14ac:dyDescent="0.2">
      <c r="A226" s="40" t="str">
        <f ca="1">IFERROR(__xludf.DUMMYFUNCTION("unique(IFERROR(index('Published Replays'!B:B,small(if(ISNUMBER(match('Published Replays'!B:B,'Calls without notes'!A:A,0)),ROW('Published Replays'!B:B),""""),ROW(A225))),""""))"),"VVV &amp; Q1 Oil Change Trends")</f>
        <v>VVV &amp; Q1 Oil Change Trends</v>
      </c>
      <c r="B226" s="41">
        <f ca="1">IFERROR(__xludf.DUMMYFUNCTION("""COMPUTED_VALUE"""),45049)</f>
        <v>45049</v>
      </c>
    </row>
    <row r="227" spans="1:2" x14ac:dyDescent="0.2">
      <c r="A227" s="40" t="str">
        <f ca="1">IFERROR(__xludf.DUMMYFUNCTION("unique(IFERROR(index('Published Replays'!B:B,small(if(ISNUMBER(match('Published Replays'!B:B,'Calls without notes'!A:A,0)),ROW('Published Replays'!B:B),""""),ROW(A226))),""""))"),"DDOG Q1 &amp; 2023 Outlook")</f>
        <v>DDOG Q1 &amp; 2023 Outlook</v>
      </c>
      <c r="B227" s="41">
        <f ca="1">IFERROR(__xludf.DUMMYFUNCTION("""COMPUTED_VALUE"""),45047)</f>
        <v>45047</v>
      </c>
    </row>
    <row r="228" spans="1:2" x14ac:dyDescent="0.2">
      <c r="A228" s="40" t="str">
        <f ca="1">IFERROR(__xludf.DUMMYFUNCTION("unique(IFERROR(index('Published Replays'!B:B,small(if(ISNUMBER(match('Published Replays'!B:B,'Calls without notes'!A:A,0)),ROW('Published Replays'!B:B),""""),ROW(A227))),""""))"),"Security Software’s Q1 &amp; 2023 Spending")</f>
        <v>Security Software’s Q1 &amp; 2023 Spending</v>
      </c>
      <c r="B228" s="41">
        <f ca="1">IFERROR(__xludf.DUMMYFUNCTION("""COMPUTED_VALUE"""),45044)</f>
        <v>45044</v>
      </c>
    </row>
    <row r="229" spans="1:2" x14ac:dyDescent="0.2">
      <c r="A229" s="40" t="str">
        <f ca="1">IFERROR(__xludf.DUMMYFUNCTION("unique(IFERROR(index('Published Replays'!B:B,small(if(ISNUMBER(match('Published Replays'!B:B,'Calls without notes'!A:A,0)),ROW('Published Replays'!B:B),""""),ROW(A228))),""""))"),"Q1'23 Hotels Update with Large Management Company")</f>
        <v>Q1'23 Hotels Update with Large Management Company</v>
      </c>
      <c r="B229" s="41">
        <f ca="1">IFERROR(__xludf.DUMMYFUNCTION("""COMPUTED_VALUE"""),45043)</f>
        <v>45043</v>
      </c>
    </row>
    <row r="230" spans="1:2" x14ac:dyDescent="0.2">
      <c r="A230" s="40" t="str">
        <f ca="1">IFERROR(__xludf.DUMMYFUNCTION("unique(IFERROR(index('Published Replays'!B:B,small(if(ISNUMBER(match('Published Replays'!B:B,'Calls without notes'!A:A,0)),ROW('Published Replays'!B:B),""""),ROW(A229))),""""))"),"The Return of China’s Outbound Traveler")</f>
        <v>The Return of China’s Outbound Traveler</v>
      </c>
      <c r="B230" s="41">
        <f ca="1">IFERROR(__xludf.DUMMYFUNCTION("""COMPUTED_VALUE"""),45041)</f>
        <v>45041</v>
      </c>
    </row>
    <row r="231" spans="1:2" x14ac:dyDescent="0.2">
      <c r="A231" s="40" t="str">
        <f ca="1">IFERROR(__xludf.DUMMYFUNCTION("unique(IFERROR(index('Published Replays'!B:B,small(if(ISNUMBER(match('Published Replays'!B:B,'Calls without notes'!A:A,0)),ROW('Published Replays'!B:B),""""),ROW(A230))),""""))"),"ServiceNow Q1 &amp; 2023 Outlook")</f>
        <v>ServiceNow Q1 &amp; 2023 Outlook</v>
      </c>
      <c r="B231" s="41">
        <f ca="1">IFERROR(__xludf.DUMMYFUNCTION("""COMPUTED_VALUE"""),45037)</f>
        <v>45037</v>
      </c>
    </row>
    <row r="232" spans="1:2" x14ac:dyDescent="0.2">
      <c r="A232" s="40" t="str">
        <f ca="1">IFERROR(__xludf.DUMMYFUNCTION("unique(IFERROR(index('Published Replays'!B:B,small(if(ISNUMBER(match('Published Replays'!B:B,'Calls without notes'!A:A,0)),ROW('Published Replays'!B:B),""""),ROW(A231))),""""))"),"Macau Back in Action")</f>
        <v>Macau Back in Action</v>
      </c>
      <c r="B232" s="41">
        <f ca="1">IFERROR(__xludf.DUMMYFUNCTION("""COMPUTED_VALUE"""),45036)</f>
        <v>45036</v>
      </c>
    </row>
    <row r="233" spans="1:2" x14ac:dyDescent="0.2">
      <c r="A233" s="40" t="str">
        <f ca="1">IFERROR(__xludf.DUMMYFUNCTION("unique(IFERROR(index('Published Replays'!B:B,small(if(ISNUMBER(match('Published Replays'!B:B,'Calls without notes'!A:A,0)),ROW('Published Replays'!B:B),""""),ROW(A232))),""""))"),"Theme Parks: Attendance, Pricing &amp; Strategies")</f>
        <v>Theme Parks: Attendance, Pricing &amp; Strategies</v>
      </c>
      <c r="B233" s="41">
        <f ca="1">IFERROR(__xludf.DUMMYFUNCTION("""COMPUTED_VALUE"""),45035)</f>
        <v>45035</v>
      </c>
    </row>
    <row r="234" spans="1:2" x14ac:dyDescent="0.2">
      <c r="A234" s="40" t="str">
        <f ca="1">IFERROR(__xludf.DUMMYFUNCTION("unique(IFERROR(index('Published Replays'!B:B,small(if(ISNUMBER(match('Published Replays'!B:B,'Calls without notes'!A:A,0)),ROW('Published Replays'!B:B),""""),ROW(A233))),""""))"),"ABNB: Short-Term Rentals Growth Short Lived?")</f>
        <v>ABNB: Short-Term Rentals Growth Short Lived?</v>
      </c>
      <c r="B234" s="41">
        <f ca="1">IFERROR(__xludf.DUMMYFUNCTION("""COMPUTED_VALUE"""),45034)</f>
        <v>45034</v>
      </c>
    </row>
    <row r="235" spans="1:2" x14ac:dyDescent="0.2">
      <c r="A235" s="40" t="str">
        <f ca="1">IFERROR(__xludf.DUMMYFUNCTION("unique(IFERROR(index('Published Replays'!B:B,small(if(ISNUMBER(match('Published Replays'!B:B,'Calls without notes'!A:A,0)),ROW('Published Replays'!B:B),""""),ROW(A234))),""""))"),"BC &amp; Post-Pandemic Boat Demand")</f>
        <v>BC &amp; Post-Pandemic Boat Demand</v>
      </c>
      <c r="B235" s="41">
        <f ca="1">IFERROR(__xludf.DUMMYFUNCTION("""COMPUTED_VALUE"""),45033)</f>
        <v>45033</v>
      </c>
    </row>
    <row r="236" spans="1:2" x14ac:dyDescent="0.2">
      <c r="A236" s="40" t="str">
        <f ca="1">IFERROR(__xludf.DUMMYFUNCTION("unique(IFERROR(index('Published Replays'!B:B,small(if(ISNUMBER(match('Published Replays'!B:B,'Calls without notes'!A:A,0)),ROW('Published Replays'!B:B),""""),ROW(A235))),""""))"),"POOL, LESL: Diving for Value?")</f>
        <v>POOL, LESL: Diving for Value?</v>
      </c>
      <c r="B236" s="41">
        <f ca="1">IFERROR(__xludf.DUMMYFUNCTION("""COMPUTED_VALUE"""),45027)</f>
        <v>45027</v>
      </c>
    </row>
    <row r="237" spans="1:2" x14ac:dyDescent="0.2">
      <c r="A237" s="40" t="str">
        <f ca="1">IFERROR(__xludf.DUMMYFUNCTION("unique(IFERROR(index('Published Replays'!B:B,small(if(ISNUMBER(match('Published Replays'!B:B,'Calls without notes'!A:A,0)),ROW('Published Replays'!B:B),""""),ROW(A236))),""""))"),"ROL, RTO LN &amp; US Pest Control Competition")</f>
        <v>ROL, RTO LN &amp; US Pest Control Competition</v>
      </c>
      <c r="B237" s="41">
        <f ca="1">IFERROR(__xludf.DUMMYFUNCTION("""COMPUTED_VALUE"""),45026)</f>
        <v>45026</v>
      </c>
    </row>
    <row r="238" spans="1:2" x14ac:dyDescent="0.2">
      <c r="A238" s="40" t="str">
        <f ca="1">IFERROR(__xludf.DUMMYFUNCTION("unique(IFERROR(index('Published Replays'!B:B,small(if(ISNUMBER(match('Published Replays'!B:B,'Calls without notes'!A:A,0)),ROW('Published Replays'!B:B),""""),ROW(A237))),""""))"),"Q1’23 Cloud and APM Preview")</f>
        <v>Q1’23 Cloud and APM Preview</v>
      </c>
      <c r="B238" s="41">
        <f ca="1">IFERROR(__xludf.DUMMYFUNCTION("""COMPUTED_VALUE"""),45021)</f>
        <v>45021</v>
      </c>
    </row>
    <row r="239" spans="1:2" x14ac:dyDescent="0.2">
      <c r="A239" s="40" t="str">
        <f ca="1">IFERROR(__xludf.DUMMYFUNCTION("unique(IFERROR(index('Published Replays'!B:B,small(if(ISNUMBER(match('Published Replays'!B:B,'Calls without notes'!A:A,0)),ROW('Published Replays'!B:B),""""),ROW(A238))),""""))"),"Ready to Drink: Beer vs. Cocktails")</f>
        <v>Ready to Drink: Beer vs. Cocktails</v>
      </c>
      <c r="B239" s="41">
        <f ca="1">IFERROR(__xludf.DUMMYFUNCTION("""COMPUTED_VALUE"""),45014)</f>
        <v>45014</v>
      </c>
    </row>
    <row r="240" spans="1:2" x14ac:dyDescent="0.2">
      <c r="A240" s="40" t="str">
        <f ca="1">IFERROR(__xludf.DUMMYFUNCTION("unique(IFERROR(index('Published Replays'!B:B,small(if(ISNUMBER(match('Published Replays'!B:B,'Calls without notes'!A:A,0)),ROW('Published Replays'!B:B),""""),ROW(A239))),""""))"),"Used Auto Sales - Q1 ‘23")</f>
        <v>Used Auto Sales - Q1 ‘23</v>
      </c>
      <c r="B240" s="41">
        <f ca="1">IFERROR(__xludf.DUMMYFUNCTION("""COMPUTED_VALUE"""),45014)</f>
        <v>45014</v>
      </c>
    </row>
    <row r="241" spans="1:2" x14ac:dyDescent="0.2">
      <c r="A241" s="40" t="str">
        <f ca="1">IFERROR(__xludf.DUMMYFUNCTION("unique(IFERROR(index('Published Replays'!B:B,small(if(ISNUMBER(match('Published Replays'!B:B,'Calls without notes'!A:A,0)),ROW('Published Replays'!B:B),""""),ROW(A240))),""""))"),"NFLX, DIS &amp; Q1’23 CTV/OTT Ad Demand")</f>
        <v>NFLX, DIS &amp; Q1’23 CTV/OTT Ad Demand</v>
      </c>
      <c r="B241" s="41">
        <f ca="1">IFERROR(__xludf.DUMMYFUNCTION("""COMPUTED_VALUE"""),45012)</f>
        <v>45012</v>
      </c>
    </row>
    <row r="242" spans="1:2" x14ac:dyDescent="0.2">
      <c r="A242" s="40" t="str">
        <f ca="1">IFERROR(__xludf.DUMMYFUNCTION("unique(IFERROR(index('Published Replays'!B:B,small(if(ISNUMBER(match('Published Replays'!B:B,'Calls without notes'!A:A,0)),ROW('Published Replays'!B:B),""""),ROW(A241))),""""))"),"NFLX, DIS &amp; Evolving Content Strategies")</f>
        <v>NFLX, DIS &amp; Evolving Content Strategies</v>
      </c>
      <c r="B242" s="41">
        <f ca="1">IFERROR(__xludf.DUMMYFUNCTION("""COMPUTED_VALUE"""),45008)</f>
        <v>45008</v>
      </c>
    </row>
    <row r="243" spans="1:2" x14ac:dyDescent="0.2">
      <c r="A243" s="40" t="str">
        <f ca="1">IFERROR(__xludf.DUMMYFUNCTION("unique(IFERROR(index('Published Replays'!B:B,small(if(ISNUMBER(match('Published Replays'!B:B,'Calls without notes'!A:A,0)),ROW('Published Replays'!B:B),""""),ROW(A242))),""""))"),"Florida Short Term Rentals Panel")</f>
        <v>Florida Short Term Rentals Panel</v>
      </c>
      <c r="B243" s="41">
        <f ca="1">IFERROR(__xludf.DUMMYFUNCTION("""COMPUTED_VALUE"""),45000)</f>
        <v>45000</v>
      </c>
    </row>
    <row r="244" spans="1:2" x14ac:dyDescent="0.2">
      <c r="A244" s="40" t="str">
        <f ca="1">IFERROR(__xludf.DUMMYFUNCTION("unique(IFERROR(index('Published Replays'!B:B,small(if(ISNUMBER(match('Published Replays'!B:B,'Calls without notes'!A:A,0)),ROW('Published Replays'!B:B),""""),ROW(A243))),""""))"),"ADBE’s Q1’23 Earnings &amp; DOJ Overhang")</f>
        <v>ADBE’s Q1’23 Earnings &amp; DOJ Overhang</v>
      </c>
      <c r="B244" s="41">
        <f ca="1">IFERROR(__xludf.DUMMYFUNCTION("""COMPUTED_VALUE"""),44992)</f>
        <v>44992</v>
      </c>
    </row>
    <row r="245" spans="1:2" x14ac:dyDescent="0.2">
      <c r="A245" s="40" t="str">
        <f ca="1">IFERROR(__xludf.DUMMYFUNCTION("unique(IFERROR(index('Published Replays'!B:B,small(if(ISNUMBER(match('Published Replays'!B:B,'Calls without notes'!A:A,0)),ROW('Published Replays'!B:B),""""),ROW(A244))),""""))"),"ONON, DECK: Who’s Winning Share?")</f>
        <v>ONON, DECK: Who’s Winning Share?</v>
      </c>
      <c r="B245" s="41">
        <f ca="1">IFERROR(__xludf.DUMMYFUNCTION("""COMPUTED_VALUE"""),44988)</f>
        <v>44988</v>
      </c>
    </row>
    <row r="246" spans="1:2" x14ac:dyDescent="0.2">
      <c r="A246" s="40" t="str">
        <f ca="1">IFERROR(__xludf.DUMMYFUNCTION("unique(IFERROR(index('Published Replays'!B:B,small(if(ISNUMBER(match('Published Replays'!B:B,'Calls without notes'!A:A,0)),ROW('Published Replays'!B:B),""""),ROW(A245))),""""))"),"Vail Resorts Lifted by Labor Supply")</f>
        <v>Vail Resorts Lifted by Labor Supply</v>
      </c>
      <c r="B246" s="41">
        <f ca="1">IFERROR(__xludf.DUMMYFUNCTION("""COMPUTED_VALUE"""),44986)</f>
        <v>44986</v>
      </c>
    </row>
    <row r="247" spans="1:2" x14ac:dyDescent="0.2">
      <c r="A247" s="40" t="str">
        <f ca="1">IFERROR(__xludf.DUMMYFUNCTION("unique(IFERROR(index('Published Replays'!B:B,small(if(ISNUMBER(match('Published Replays'!B:B,'Calls without notes'!A:A,0)),ROW('Published Replays'!B:B),""""),ROW(A246))),""""))"),"Is Live Nation a Hot Ticket for 2023?")</f>
        <v>Is Live Nation a Hot Ticket for 2023?</v>
      </c>
      <c r="B247" s="41">
        <f ca="1">IFERROR(__xludf.DUMMYFUNCTION("""COMPUTED_VALUE"""),44973)</f>
        <v>44973</v>
      </c>
    </row>
    <row r="248" spans="1:2" x14ac:dyDescent="0.2">
      <c r="A248" s="40" t="str">
        <f ca="1">IFERROR(__xludf.DUMMYFUNCTION("unique(IFERROR(index('Published Replays'!B:B,small(if(ISNUMBER(match('Published Replays'!B:B,'Calls without notes'!A:A,0)),ROW('Published Replays'!B:B),""""),ROW(A247))),""""))"),"CWH’s Q4 &amp; RV Sales Update")</f>
        <v>CWH’s Q4 &amp; RV Sales Update</v>
      </c>
      <c r="B248" s="41">
        <f ca="1">IFERROR(__xludf.DUMMYFUNCTION("""COMPUTED_VALUE"""),44972)</f>
        <v>44972</v>
      </c>
    </row>
    <row r="249" spans="1:2" x14ac:dyDescent="0.2">
      <c r="A249" s="40" t="str">
        <f ca="1">IFERROR(__xludf.DUMMYFUNCTION("unique(IFERROR(index('Published Replays'!B:B,small(if(ISNUMBER(match('Published Replays'!B:B,'Calls without notes'!A:A,0)),ROW('Published Replays'!B:B),""""),ROW(A248))),""""))"),"Wayfair &amp; Furniture: Reading 2023 Demand")</f>
        <v>Wayfair &amp; Furniture: Reading 2023 Demand</v>
      </c>
      <c r="B249" s="41">
        <f ca="1">IFERROR(__xludf.DUMMYFUNCTION("""COMPUTED_VALUE"""),44966)</f>
        <v>44966</v>
      </c>
    </row>
    <row r="250" spans="1:2" x14ac:dyDescent="0.2">
      <c r="A250" s="40" t="str">
        <f ca="1">IFERROR(__xludf.DUMMYFUNCTION("unique(IFERROR(index('Published Replays'!B:B,small(if(ISNUMBER(match('Published Replays'!B:B,'Calls without notes'!A:A,0)),ROW('Published Replays'!B:B),""""),ROW(A249))),""""))"),"Off-Price Retail Stocks Still a Bargain?")</f>
        <v>Off-Price Retail Stocks Still a Bargain?</v>
      </c>
      <c r="B250" s="41">
        <f ca="1">IFERROR(__xludf.DUMMYFUNCTION("""COMPUTED_VALUE"""),44966)</f>
        <v>44966</v>
      </c>
    </row>
    <row r="251" spans="1:2" x14ac:dyDescent="0.2">
      <c r="A251" s="40" t="str">
        <f ca="1">IFERROR(__xludf.DUMMYFUNCTION("unique(IFERROR(index('Published Replays'!B:B,small(if(ISNUMBER(match('Published Replays'!B:B,'Calls without notes'!A:A,0)),ROW('Published Replays'!B:B),""""),ROW(A250))),""""))"),"The Future of Messaging")</f>
        <v>The Future of Messaging</v>
      </c>
      <c r="B251" s="41">
        <f ca="1">IFERROR(__xludf.DUMMYFUNCTION("""COMPUTED_VALUE"""),44965)</f>
        <v>44965</v>
      </c>
    </row>
    <row r="252" spans="1:2" x14ac:dyDescent="0.2">
      <c r="A252" s="40" t="str">
        <f ca="1">IFERROR(__xludf.DUMMYFUNCTION("unique(IFERROR(index('Published Replays'!B:B,small(if(ISNUMBER(match('Published Replays'!B:B,'Calls without notes'!A:A,0)),ROW('Published Replays'!B:B),""""),ROW(A251))),""""))"),"CPRT, IAA: Lower Pricing Driving Volumes?")</f>
        <v>CPRT, IAA: Lower Pricing Driving Volumes?</v>
      </c>
      <c r="B252" s="41">
        <f ca="1">IFERROR(__xludf.DUMMYFUNCTION("""COMPUTED_VALUE"""),44965)</f>
        <v>44965</v>
      </c>
    </row>
    <row r="253" spans="1:2" x14ac:dyDescent="0.2">
      <c r="A253" s="40" t="str">
        <f ca="1">IFERROR(__xludf.DUMMYFUNCTION("unique(IFERROR(index('Published Replays'!B:B,small(if(ISNUMBER(match('Published Replays'!B:B,'Calls without notes'!A:A,0)),ROW('Published Replays'!B:B),""""),ROW(A252))),""""))"),"Keysight &amp; the 5G Capex Cycle")</f>
        <v>Keysight &amp; the 5G Capex Cycle</v>
      </c>
      <c r="B253" s="41">
        <f ca="1">IFERROR(__xludf.DUMMYFUNCTION("""COMPUTED_VALUE"""),44964)</f>
        <v>44964</v>
      </c>
    </row>
    <row r="254" spans="1:2" x14ac:dyDescent="0.2">
      <c r="A254" s="40" t="str">
        <f ca="1">IFERROR(__xludf.DUMMYFUNCTION("unique(IFERROR(index('Published Replays'!B:B,small(if(ISNUMBER(match('Published Replays'!B:B,'Calls without notes'!A:A,0)),ROW('Published Replays'!B:B),""""),ROW(A253))),""""))"),"Security Software’s Q4 &amp; 2023 Growth")</f>
        <v>Security Software’s Q4 &amp; 2023 Growth</v>
      </c>
      <c r="B254" s="41">
        <f ca="1">IFERROR(__xludf.DUMMYFUNCTION("""COMPUTED_VALUE"""),44964)</f>
        <v>44964</v>
      </c>
    </row>
    <row r="255" spans="1:2" x14ac:dyDescent="0.2">
      <c r="A255" s="40" t="str">
        <f ca="1">IFERROR(__xludf.DUMMYFUNCTION("unique(IFERROR(index('Published Replays'!B:B,small(if(ISNUMBER(match('Published Replays'!B:B,'Calls without notes'!A:A,0)),ROW('Published Replays'!B:B),""""),ROW(A254))),""""))"),"PLNT’s New Year Resolution: More Members")</f>
        <v>PLNT’s New Year Resolution: More Members</v>
      </c>
      <c r="B255" s="41">
        <f ca="1">IFERROR(__xludf.DUMMYFUNCTION("""COMPUTED_VALUE"""),44957)</f>
        <v>44957</v>
      </c>
    </row>
    <row r="256" spans="1:2" x14ac:dyDescent="0.2">
      <c r="A256" s="40" t="str">
        <f ca="1">IFERROR(__xludf.DUMMYFUNCTION("unique(IFERROR(index('Published Replays'!B:B,small(if(ISNUMBER(match('Published Replays'!B:B,'Calls without notes'!A:A,0)),ROW('Published Replays'!B:B),""""),ROW(A255))),""""))"),"Q4'22 Hotels Update with Large Management Company")</f>
        <v>Q4'22 Hotels Update with Large Management Company</v>
      </c>
      <c r="B256" s="41">
        <f ca="1">IFERROR(__xludf.DUMMYFUNCTION("""COMPUTED_VALUE"""),44957)</f>
        <v>44957</v>
      </c>
    </row>
    <row r="257" spans="1:2" x14ac:dyDescent="0.2">
      <c r="A257" s="40" t="str">
        <f ca="1">IFERROR(__xludf.DUMMYFUNCTION("unique(IFERROR(index('Published Replays'!B:B,small(if(ISNUMBER(match('Published Replays'!B:B,'Calls without notes'!A:A,0)),ROW('Published Replays'!B:B),""""),ROW(A256))),""""))"),"2023 Protein Supply &amp; Demand")</f>
        <v>2023 Protein Supply &amp; Demand</v>
      </c>
      <c r="B257" s="41">
        <f ca="1">IFERROR(__xludf.DUMMYFUNCTION("""COMPUTED_VALUE"""),44956)</f>
        <v>44956</v>
      </c>
    </row>
    <row r="258" spans="1:2" x14ac:dyDescent="0.2">
      <c r="A258" s="40" t="str">
        <f ca="1">IFERROR(__xludf.DUMMYFUNCTION("unique(IFERROR(index('Published Replays'!B:B,small(if(ISNUMBER(match('Published Replays'!B:B,'Calls without notes'!A:A,0)),ROW('Published Replays'!B:B),""""),ROW(A257))),""""))"),"Foodservice Distributors: Q4 &amp; 2023 Outlook")</f>
        <v>Foodservice Distributors: Q4 &amp; 2023 Outlook</v>
      </c>
      <c r="B258" s="41">
        <f ca="1">IFERROR(__xludf.DUMMYFUNCTION("""COMPUTED_VALUE"""),44952)</f>
        <v>44952</v>
      </c>
    </row>
    <row r="259" spans="1:2" x14ac:dyDescent="0.2">
      <c r="A259" s="40" t="str">
        <f ca="1">IFERROR(__xludf.DUMMYFUNCTION("unique(IFERROR(index('Published Replays'!B:B,small(if(ISNUMBER(match('Published Replays'!B:B,'Calls without notes'!A:A,0)),ROW('Published Replays'!B:B),""""),ROW(A258))),""""))"),"Regional Casinos, Sports Betting, &amp; 2023 Growth")</f>
        <v>Regional Casinos, Sports Betting, &amp; 2023 Growth</v>
      </c>
      <c r="B259" s="41">
        <f ca="1">IFERROR(__xludf.DUMMYFUNCTION("""COMPUTED_VALUE"""),44950)</f>
        <v>44950</v>
      </c>
    </row>
    <row r="260" spans="1:2" x14ac:dyDescent="0.2">
      <c r="A260" s="40" t="str">
        <f ca="1">IFERROR(__xludf.DUMMYFUNCTION("unique(IFERROR(index('Published Replays'!B:B,small(if(ISNUMBER(match('Published Replays'!B:B,'Calls without notes'!A:A,0)),ROW('Published Replays'!B:B),""""),ROW(A259))),""""))"),"Cloud and Observability Software 2023")</f>
        <v>Cloud and Observability Software 2023</v>
      </c>
      <c r="B260" s="41">
        <f ca="1">IFERROR(__xludf.DUMMYFUNCTION("""COMPUTED_VALUE"""),44950)</f>
        <v>44950</v>
      </c>
    </row>
    <row r="261" spans="1:2" x14ac:dyDescent="0.2">
      <c r="A261" s="40" t="str">
        <f ca="1">IFERROR(__xludf.DUMMYFUNCTION("unique(IFERROR(index('Published Replays'!B:B,small(if(ISNUMBER(match('Published Replays'!B:B,'Calls without notes'!A:A,0)),ROW('Published Replays'!B:B),""""),ROW(A260))),""""))"),"ServiceNow Q4 &amp; 2023 Outlook")</f>
        <v>ServiceNow Q4 &amp; 2023 Outlook</v>
      </c>
      <c r="B261" s="41">
        <f ca="1">IFERROR(__xludf.DUMMYFUNCTION("""COMPUTED_VALUE"""),44949)</f>
        <v>44949</v>
      </c>
    </row>
    <row r="262" spans="1:2" x14ac:dyDescent="0.2">
      <c r="A262" s="40" t="str">
        <f ca="1">IFERROR(__xludf.DUMMYFUNCTION("unique(IFERROR(index('Published Replays'!B:B,small(if(ISNUMBER(match('Published Replays'!B:B,'Calls without notes'!A:A,0)),ROW('Published Replays'!B:B),""""),ROW(A261))),""""))"),"AAP, AZO, ORLY: Finding the Right Parts")</f>
        <v>AAP, AZO, ORLY: Finding the Right Parts</v>
      </c>
      <c r="B262" s="41">
        <f ca="1">IFERROR(__xludf.DUMMYFUNCTION("""COMPUTED_VALUE"""),44945)</f>
        <v>44945</v>
      </c>
    </row>
    <row r="263" spans="1:2" x14ac:dyDescent="0.2">
      <c r="A263" s="40" t="str">
        <f ca="1">IFERROR(__xludf.DUMMYFUNCTION("unique(IFERROR(index('Published Replays'!B:B,small(if(ISNUMBER(match('Published Replays'!B:B,'Calls without notes'!A:A,0)),ROW('Published Replays'!B:B),""""),ROW(A262))),""""))"),"Theme Parks: Big Prize or Rollercoaster Ahead?")</f>
        <v>Theme Parks: Big Prize or Rollercoaster Ahead?</v>
      </c>
      <c r="B263" s="41">
        <f ca="1">IFERROR(__xludf.DUMMYFUNCTION("""COMPUTED_VALUE"""),44943)</f>
        <v>44943</v>
      </c>
    </row>
    <row r="264" spans="1:2" x14ac:dyDescent="0.2">
      <c r="A264" s="40" t="str">
        <f ca="1">IFERROR(__xludf.DUMMYFUNCTION("unique(IFERROR(index('Published Replays'!B:B,small(if(ISNUMBER(match('Published Replays'!B:B,'Calls without notes'!A:A,0)),ROW('Published Replays'!B:B),""""),ROW(A263))),""""))"),"Macau 2023 Outlook")</f>
        <v>Macau 2023 Outlook</v>
      </c>
      <c r="B264" s="41">
        <f ca="1">IFERROR(__xludf.DUMMYFUNCTION("""COMPUTED_VALUE"""),44938)</f>
        <v>44938</v>
      </c>
    </row>
    <row r="265" spans="1:2" x14ac:dyDescent="0.2">
      <c r="A265" s="40" t="str">
        <f ca="1">IFERROR(__xludf.DUMMYFUNCTION("unique(IFERROR(index('Published Replays'!B:B,small(if(ISNUMBER(match('Published Replays'!B:B,'Calls without notes'!A:A,0)),ROW('Published Replays'!B:B),""""),ROW(A264))),""""))"),"")</f>
        <v/>
      </c>
      <c r="B265" s="40"/>
    </row>
    <row r="266" spans="1:2" x14ac:dyDescent="0.2">
      <c r="A266" s="40" t="str">
        <f ca="1">IFERROR(__xludf.DUMMYFUNCTION("unique(IFERROR(index('Published Replays'!B:B,small(if(ISNUMBER(match('Published Replays'!B:B,'Calls without notes'!A:A,0)),ROW('Published Replays'!B:B),""""),ROW(A265))),""""))"),"")</f>
        <v/>
      </c>
      <c r="B266" s="40"/>
    </row>
    <row r="267" spans="1:2" x14ac:dyDescent="0.2">
      <c r="A267" s="40" t="str">
        <f ca="1">IFERROR(__xludf.DUMMYFUNCTION("unique(IFERROR(index('Published Replays'!B:B,small(if(ISNUMBER(match('Published Replays'!B:B,'Calls without notes'!A:A,0)),ROW('Published Replays'!B:B),""""),ROW(A266))),""""))"),"")</f>
        <v/>
      </c>
      <c r="B267" s="40"/>
    </row>
    <row r="268" spans="1:2" x14ac:dyDescent="0.2">
      <c r="A268" s="40" t="str">
        <f ca="1">IFERROR(__xludf.DUMMYFUNCTION("unique(IFERROR(index('Published Replays'!B:B,small(if(ISNUMBER(match('Published Replays'!B:B,'Calls without notes'!A:A,0)),ROW('Published Replays'!B:B),""""),ROW(A267))),""""))"),"")</f>
        <v/>
      </c>
      <c r="B268" s="40"/>
    </row>
    <row r="269" spans="1:2" x14ac:dyDescent="0.2">
      <c r="A269" s="40" t="str">
        <f ca="1">IFERROR(__xludf.DUMMYFUNCTION("unique(IFERROR(index('Published Replays'!B:B,small(if(ISNUMBER(match('Published Replays'!B:B,'Calls without notes'!A:A,0)),ROW('Published Replays'!B:B),""""),ROW(A268))),""""))"),"")</f>
        <v/>
      </c>
      <c r="B269" s="40"/>
    </row>
    <row r="270" spans="1:2" x14ac:dyDescent="0.2">
      <c r="A270" s="40" t="str">
        <f ca="1">IFERROR(__xludf.DUMMYFUNCTION("unique(IFERROR(index('Published Replays'!B:B,small(if(ISNUMBER(match('Published Replays'!B:B,'Calls without notes'!A:A,0)),ROW('Published Replays'!B:B),""""),ROW(A269))),""""))"),"")</f>
        <v/>
      </c>
      <c r="B270" s="40"/>
    </row>
    <row r="271" spans="1:2" x14ac:dyDescent="0.2">
      <c r="A271" s="40" t="str">
        <f ca="1">IFERROR(__xludf.DUMMYFUNCTION("unique(IFERROR(index('Published Replays'!B:B,small(if(ISNUMBER(match('Published Replays'!B:B,'Calls without notes'!A:A,0)),ROW('Published Replays'!B:B),""""),ROW(A270))),""""))"),"")</f>
        <v/>
      </c>
      <c r="B271" s="40"/>
    </row>
    <row r="272" spans="1:2" x14ac:dyDescent="0.2">
      <c r="A272" s="40" t="str">
        <f ca="1">IFERROR(__xludf.DUMMYFUNCTION("unique(IFERROR(index('Published Replays'!B:B,small(if(ISNUMBER(match('Published Replays'!B:B,'Calls without notes'!A:A,0)),ROW('Published Replays'!B:B),""""),ROW(A271))),""""))"),"")</f>
        <v/>
      </c>
      <c r="B272" s="40"/>
    </row>
    <row r="273" spans="1:2" x14ac:dyDescent="0.2">
      <c r="A273" s="40" t="str">
        <f ca="1">IFERROR(__xludf.DUMMYFUNCTION("unique(IFERROR(index('Published Replays'!B:B,small(if(ISNUMBER(match('Published Replays'!B:B,'Calls without notes'!A:A,0)),ROW('Published Replays'!B:B),""""),ROW(A272))),""""))"),"")</f>
        <v/>
      </c>
      <c r="B273" s="40"/>
    </row>
    <row r="274" spans="1:2" x14ac:dyDescent="0.2">
      <c r="A274" s="40" t="str">
        <f ca="1">IFERROR(__xludf.DUMMYFUNCTION("unique(IFERROR(index('Published Replays'!B:B,small(if(ISNUMBER(match('Published Replays'!B:B,'Calls without notes'!A:A,0)),ROW('Published Replays'!B:B),""""),ROW(A273))),""""))"),"")</f>
        <v/>
      </c>
      <c r="B274" s="40"/>
    </row>
    <row r="275" spans="1:2" x14ac:dyDescent="0.2">
      <c r="A275" s="40" t="str">
        <f ca="1">IFERROR(__xludf.DUMMYFUNCTION("unique(IFERROR(index('Published Replays'!B:B,small(if(ISNUMBER(match('Published Replays'!B:B,'Calls without notes'!A:A,0)),ROW('Published Replays'!B:B),""""),ROW(A274))),""""))"),"")</f>
        <v/>
      </c>
      <c r="B275" s="40"/>
    </row>
    <row r="276" spans="1:2" x14ac:dyDescent="0.2">
      <c r="A276" s="40" t="str">
        <f ca="1">IFERROR(__xludf.DUMMYFUNCTION("unique(IFERROR(index('Published Replays'!B:B,small(if(ISNUMBER(match('Published Replays'!B:B,'Calls without notes'!A:A,0)),ROW('Published Replays'!B:B),""""),ROW(A275))),""""))"),"")</f>
        <v/>
      </c>
      <c r="B276" s="40"/>
    </row>
    <row r="277" spans="1:2" x14ac:dyDescent="0.2">
      <c r="A277" s="40" t="str">
        <f ca="1">IFERROR(__xludf.DUMMYFUNCTION("unique(IFERROR(index('Published Replays'!B:B,small(if(ISNUMBER(match('Published Replays'!B:B,'Calls without notes'!A:A,0)),ROW('Published Replays'!B:B),""""),ROW(A276))),""""))"),"")</f>
        <v/>
      </c>
      <c r="B277" s="40"/>
    </row>
    <row r="278" spans="1:2" x14ac:dyDescent="0.2">
      <c r="A278" s="40" t="str">
        <f ca="1">IFERROR(__xludf.DUMMYFUNCTION("unique(IFERROR(index('Published Replays'!B:B,small(if(ISNUMBER(match('Published Replays'!B:B,'Calls without notes'!A:A,0)),ROW('Published Replays'!B:B),""""),ROW(A277))),""""))"),"")</f>
        <v/>
      </c>
      <c r="B278" s="40"/>
    </row>
    <row r="279" spans="1:2" x14ac:dyDescent="0.2">
      <c r="A279" s="40" t="str">
        <f ca="1">IFERROR(__xludf.DUMMYFUNCTION("unique(IFERROR(index('Published Replays'!B:B,small(if(ISNUMBER(match('Published Replays'!B:B,'Calls without notes'!A:A,0)),ROW('Published Replays'!B:B),""""),ROW(A278))),""""))"),"")</f>
        <v/>
      </c>
      <c r="B279" s="40"/>
    </row>
    <row r="280" spans="1:2" x14ac:dyDescent="0.2">
      <c r="A280" s="40"/>
      <c r="B280" s="40"/>
    </row>
    <row r="281" spans="1:2" x14ac:dyDescent="0.2">
      <c r="A281" s="40"/>
      <c r="B281" s="40"/>
    </row>
    <row r="282" spans="1:2" x14ac:dyDescent="0.2">
      <c r="A282" s="40"/>
      <c r="B282" s="40"/>
    </row>
    <row r="283" spans="1:2" x14ac:dyDescent="0.2">
      <c r="A283" s="40"/>
      <c r="B283" s="40"/>
    </row>
    <row r="284" spans="1:2" x14ac:dyDescent="0.2">
      <c r="A284" s="40"/>
      <c r="B284" s="40"/>
    </row>
    <row r="285" spans="1:2" x14ac:dyDescent="0.2">
      <c r="A285" s="40"/>
      <c r="B285" s="40"/>
    </row>
    <row r="286" spans="1:2" x14ac:dyDescent="0.2">
      <c r="A286" s="40"/>
      <c r="B286" s="40"/>
    </row>
    <row r="287" spans="1:2" x14ac:dyDescent="0.2">
      <c r="A287" s="40"/>
      <c r="B287" s="40"/>
    </row>
    <row r="288" spans="1:2" x14ac:dyDescent="0.2">
      <c r="A288" s="40"/>
      <c r="B288" s="40"/>
    </row>
    <row r="289" spans="1:2" x14ac:dyDescent="0.2">
      <c r="A289" s="40"/>
      <c r="B289" s="40"/>
    </row>
    <row r="290" spans="1:2" x14ac:dyDescent="0.2">
      <c r="A290" s="40"/>
      <c r="B290" s="40"/>
    </row>
    <row r="291" spans="1:2" x14ac:dyDescent="0.2">
      <c r="A291" s="40"/>
      <c r="B291" s="40"/>
    </row>
    <row r="292" spans="1:2" x14ac:dyDescent="0.2">
      <c r="A292" s="40"/>
      <c r="B292" s="40"/>
    </row>
    <row r="293" spans="1:2" x14ac:dyDescent="0.2">
      <c r="A293" s="40"/>
      <c r="B293" s="40"/>
    </row>
    <row r="294" spans="1:2" x14ac:dyDescent="0.2">
      <c r="A294" s="40"/>
      <c r="B294" s="40"/>
    </row>
    <row r="295" spans="1:2" x14ac:dyDescent="0.2">
      <c r="A295" s="40"/>
      <c r="B295" s="40"/>
    </row>
    <row r="296" spans="1:2" x14ac:dyDescent="0.2">
      <c r="A296" s="40"/>
      <c r="B296" s="40"/>
    </row>
    <row r="297" spans="1:2" x14ac:dyDescent="0.2">
      <c r="A297" s="40"/>
      <c r="B297" s="40"/>
    </row>
    <row r="298" spans="1:2" x14ac:dyDescent="0.2">
      <c r="A298" s="40"/>
      <c r="B298" s="40"/>
    </row>
    <row r="299" spans="1:2" x14ac:dyDescent="0.2">
      <c r="A299" s="40"/>
      <c r="B299" s="40"/>
    </row>
    <row r="300" spans="1:2" x14ac:dyDescent="0.2">
      <c r="A300" s="40"/>
      <c r="B300" s="40"/>
    </row>
    <row r="301" spans="1:2" x14ac:dyDescent="0.2">
      <c r="A301" s="40"/>
      <c r="B301" s="40"/>
    </row>
    <row r="302" spans="1:2" x14ac:dyDescent="0.2">
      <c r="A302" s="40"/>
      <c r="B302" s="40"/>
    </row>
    <row r="303" spans="1:2" x14ac:dyDescent="0.2">
      <c r="A303" s="40"/>
      <c r="B303" s="40"/>
    </row>
    <row r="304" spans="1:2" x14ac:dyDescent="0.2">
      <c r="A304" s="40"/>
      <c r="B304" s="40"/>
    </row>
    <row r="305" spans="1:2" x14ac:dyDescent="0.2">
      <c r="A305" s="40"/>
      <c r="B305" s="40"/>
    </row>
    <row r="306" spans="1:2" x14ac:dyDescent="0.2">
      <c r="A306" s="40"/>
      <c r="B306" s="40"/>
    </row>
    <row r="307" spans="1:2" x14ac:dyDescent="0.2">
      <c r="A307" s="40"/>
      <c r="B307" s="40"/>
    </row>
    <row r="308" spans="1:2" x14ac:dyDescent="0.2">
      <c r="A308" s="40"/>
      <c r="B308" s="40"/>
    </row>
    <row r="309" spans="1:2" x14ac:dyDescent="0.2">
      <c r="A309" s="40"/>
      <c r="B309" s="40"/>
    </row>
    <row r="310" spans="1:2" x14ac:dyDescent="0.2">
      <c r="A310" s="40"/>
      <c r="B310" s="40"/>
    </row>
    <row r="311" spans="1:2" x14ac:dyDescent="0.2">
      <c r="A311" s="40"/>
      <c r="B311" s="40"/>
    </row>
    <row r="312" spans="1:2" x14ac:dyDescent="0.2">
      <c r="A312" s="40"/>
      <c r="B312" s="40"/>
    </row>
    <row r="313" spans="1:2" x14ac:dyDescent="0.2">
      <c r="A313" s="40"/>
      <c r="B313" s="40"/>
    </row>
    <row r="314" spans="1:2" x14ac:dyDescent="0.2">
      <c r="A314" s="40"/>
      <c r="B314" s="40"/>
    </row>
    <row r="315" spans="1:2" x14ac:dyDescent="0.2">
      <c r="A315" s="40"/>
      <c r="B315" s="40"/>
    </row>
    <row r="316" spans="1:2" x14ac:dyDescent="0.2">
      <c r="A316" s="40"/>
      <c r="B316" s="40"/>
    </row>
    <row r="317" spans="1:2" x14ac:dyDescent="0.2">
      <c r="A317" s="40"/>
      <c r="B317" s="40"/>
    </row>
    <row r="318" spans="1:2" x14ac:dyDescent="0.2">
      <c r="A318" s="40"/>
      <c r="B318" s="40"/>
    </row>
    <row r="319" spans="1:2" x14ac:dyDescent="0.2">
      <c r="A319" s="40"/>
      <c r="B319" s="40"/>
    </row>
    <row r="320" spans="1:2" x14ac:dyDescent="0.2">
      <c r="A320" s="40"/>
      <c r="B320" s="40"/>
    </row>
    <row r="321" spans="1:2" x14ac:dyDescent="0.2">
      <c r="A321" s="40"/>
      <c r="B321" s="40"/>
    </row>
    <row r="322" spans="1:2" x14ac:dyDescent="0.2">
      <c r="A322" s="40"/>
      <c r="B322" s="40"/>
    </row>
    <row r="323" spans="1:2" x14ac:dyDescent="0.2">
      <c r="A323" s="40"/>
      <c r="B323" s="40"/>
    </row>
    <row r="324" spans="1:2" x14ac:dyDescent="0.2">
      <c r="A324" s="40"/>
      <c r="B324" s="40"/>
    </row>
    <row r="325" spans="1:2" x14ac:dyDescent="0.2">
      <c r="A325" s="40"/>
      <c r="B325" s="40"/>
    </row>
    <row r="326" spans="1:2" x14ac:dyDescent="0.2">
      <c r="A326" s="40"/>
      <c r="B326" s="40"/>
    </row>
    <row r="327" spans="1:2" x14ac:dyDescent="0.2">
      <c r="A327" s="40"/>
      <c r="B327" s="40"/>
    </row>
    <row r="328" spans="1:2" x14ac:dyDescent="0.2">
      <c r="A328" s="40"/>
      <c r="B328" s="40"/>
    </row>
    <row r="329" spans="1:2" x14ac:dyDescent="0.2">
      <c r="A329" s="40"/>
      <c r="B329" s="40"/>
    </row>
    <row r="330" spans="1:2" x14ac:dyDescent="0.2">
      <c r="A330" s="40"/>
      <c r="B330" s="40"/>
    </row>
    <row r="331" spans="1:2" x14ac:dyDescent="0.2">
      <c r="A331" s="40"/>
      <c r="B331" s="40"/>
    </row>
    <row r="332" spans="1:2" x14ac:dyDescent="0.2">
      <c r="A332" s="40"/>
      <c r="B332" s="40"/>
    </row>
    <row r="333" spans="1:2" x14ac:dyDescent="0.2">
      <c r="A333" s="40"/>
      <c r="B333" s="40"/>
    </row>
    <row r="334" spans="1:2" x14ac:dyDescent="0.2">
      <c r="A334" s="40"/>
      <c r="B334" s="40"/>
    </row>
    <row r="335" spans="1:2" x14ac:dyDescent="0.2">
      <c r="A335" s="40"/>
      <c r="B335" s="40"/>
    </row>
    <row r="336" spans="1:2" x14ac:dyDescent="0.2">
      <c r="A336" s="40"/>
      <c r="B336" s="40"/>
    </row>
    <row r="337" spans="1:2" x14ac:dyDescent="0.2">
      <c r="A337" s="40"/>
      <c r="B337" s="40"/>
    </row>
    <row r="338" spans="1:2" x14ac:dyDescent="0.2">
      <c r="A338" s="40"/>
      <c r="B338" s="40"/>
    </row>
    <row r="339" spans="1:2" x14ac:dyDescent="0.2">
      <c r="A339" s="40"/>
      <c r="B339" s="40"/>
    </row>
    <row r="340" spans="1:2" x14ac:dyDescent="0.2">
      <c r="A340" s="40"/>
      <c r="B340" s="40"/>
    </row>
    <row r="341" spans="1:2" x14ac:dyDescent="0.2">
      <c r="A341" s="40"/>
      <c r="B341" s="40"/>
    </row>
    <row r="342" spans="1:2" x14ac:dyDescent="0.2">
      <c r="A342" s="40"/>
      <c r="B342" s="40"/>
    </row>
    <row r="343" spans="1:2" x14ac:dyDescent="0.2">
      <c r="A343" s="40"/>
      <c r="B343" s="40"/>
    </row>
    <row r="344" spans="1:2" x14ac:dyDescent="0.2">
      <c r="A344" s="40"/>
      <c r="B344" s="40"/>
    </row>
    <row r="345" spans="1:2" x14ac:dyDescent="0.2">
      <c r="A345" s="40"/>
      <c r="B345" s="40"/>
    </row>
    <row r="346" spans="1:2" x14ac:dyDescent="0.2">
      <c r="A346" s="40"/>
      <c r="B346" s="40"/>
    </row>
    <row r="347" spans="1:2" x14ac:dyDescent="0.2">
      <c r="A347" s="40"/>
      <c r="B347" s="40"/>
    </row>
    <row r="348" spans="1:2" x14ac:dyDescent="0.2">
      <c r="A348" s="40"/>
      <c r="B348" s="40"/>
    </row>
    <row r="349" spans="1:2" x14ac:dyDescent="0.2">
      <c r="A349" s="40"/>
      <c r="B349" s="40"/>
    </row>
    <row r="350" spans="1:2" x14ac:dyDescent="0.2">
      <c r="A350" s="40"/>
      <c r="B350" s="40"/>
    </row>
    <row r="351" spans="1:2" x14ac:dyDescent="0.2">
      <c r="A351" s="40"/>
      <c r="B351" s="40"/>
    </row>
    <row r="352" spans="1:2" x14ac:dyDescent="0.2">
      <c r="A352" s="40"/>
      <c r="B352" s="40"/>
    </row>
    <row r="353" spans="1:2" x14ac:dyDescent="0.2">
      <c r="A353" s="40"/>
      <c r="B353" s="40"/>
    </row>
    <row r="354" spans="1:2" x14ac:dyDescent="0.2">
      <c r="A354" s="40"/>
      <c r="B354" s="40"/>
    </row>
    <row r="355" spans="1:2" x14ac:dyDescent="0.2">
      <c r="A355" s="40"/>
      <c r="B355" s="40"/>
    </row>
    <row r="356" spans="1:2" x14ac:dyDescent="0.2">
      <c r="A356" s="40"/>
      <c r="B356" s="40"/>
    </row>
    <row r="357" spans="1:2" x14ac:dyDescent="0.2">
      <c r="A357" s="40"/>
      <c r="B357" s="40"/>
    </row>
    <row r="358" spans="1:2" x14ac:dyDescent="0.2">
      <c r="A358" s="40"/>
      <c r="B358" s="40"/>
    </row>
    <row r="359" spans="1:2" x14ac:dyDescent="0.2">
      <c r="A359" s="40"/>
      <c r="B359" s="40"/>
    </row>
    <row r="360" spans="1:2" x14ac:dyDescent="0.2">
      <c r="A360" s="40"/>
      <c r="B360" s="40"/>
    </row>
    <row r="361" spans="1:2" x14ac:dyDescent="0.2">
      <c r="A361" s="40"/>
      <c r="B361" s="40"/>
    </row>
    <row r="362" spans="1:2" x14ac:dyDescent="0.2">
      <c r="A362" s="40"/>
      <c r="B362" s="40"/>
    </row>
    <row r="363" spans="1:2" x14ac:dyDescent="0.2">
      <c r="A363" s="40"/>
      <c r="B363" s="40"/>
    </row>
    <row r="364" spans="1:2" x14ac:dyDescent="0.2">
      <c r="A364" s="40"/>
      <c r="B364" s="40"/>
    </row>
    <row r="365" spans="1:2" x14ac:dyDescent="0.2">
      <c r="A365" s="40"/>
      <c r="B365" s="40"/>
    </row>
    <row r="366" spans="1:2" x14ac:dyDescent="0.2">
      <c r="A366" s="40"/>
      <c r="B366" s="40"/>
    </row>
    <row r="367" spans="1:2" x14ac:dyDescent="0.2">
      <c r="A367" s="40"/>
      <c r="B367" s="40"/>
    </row>
    <row r="368" spans="1:2" x14ac:dyDescent="0.2">
      <c r="A368" s="40"/>
      <c r="B368" s="40"/>
    </row>
    <row r="369" spans="1:2" x14ac:dyDescent="0.2">
      <c r="A369" s="40"/>
      <c r="B369" s="40"/>
    </row>
    <row r="370" spans="1:2" x14ac:dyDescent="0.2">
      <c r="A370" s="40"/>
      <c r="B370" s="40"/>
    </row>
    <row r="371" spans="1:2" x14ac:dyDescent="0.2">
      <c r="A371" s="40"/>
      <c r="B371" s="40"/>
    </row>
    <row r="372" spans="1:2" x14ac:dyDescent="0.2">
      <c r="A372" s="40"/>
      <c r="B372" s="40"/>
    </row>
    <row r="373" spans="1:2" x14ac:dyDescent="0.2">
      <c r="A373" s="40"/>
      <c r="B373" s="40"/>
    </row>
    <row r="374" spans="1:2" x14ac:dyDescent="0.2">
      <c r="A374" s="40"/>
      <c r="B374" s="40"/>
    </row>
    <row r="375" spans="1:2" x14ac:dyDescent="0.2">
      <c r="A375" s="40"/>
      <c r="B375" s="40"/>
    </row>
    <row r="376" spans="1:2" x14ac:dyDescent="0.2">
      <c r="A376" s="40"/>
      <c r="B376" s="40"/>
    </row>
    <row r="377" spans="1:2" x14ac:dyDescent="0.2">
      <c r="A377" s="40"/>
      <c r="B377" s="40"/>
    </row>
    <row r="378" spans="1:2" x14ac:dyDescent="0.2">
      <c r="A378" s="40"/>
      <c r="B378" s="40"/>
    </row>
    <row r="379" spans="1:2" x14ac:dyDescent="0.2">
      <c r="A379" s="40"/>
      <c r="B379" s="40"/>
    </row>
    <row r="380" spans="1:2" x14ac:dyDescent="0.2">
      <c r="A380" s="40"/>
      <c r="B380" s="40"/>
    </row>
    <row r="381" spans="1:2" x14ac:dyDescent="0.2">
      <c r="A381" s="40"/>
      <c r="B381" s="40"/>
    </row>
    <row r="382" spans="1:2" x14ac:dyDescent="0.2">
      <c r="A382" s="40"/>
      <c r="B382" s="40"/>
    </row>
    <row r="383" spans="1:2" x14ac:dyDescent="0.2">
      <c r="A383" s="40"/>
      <c r="B383" s="40"/>
    </row>
    <row r="384" spans="1:2" x14ac:dyDescent="0.2">
      <c r="A384" s="40"/>
      <c r="B384" s="40"/>
    </row>
    <row r="385" spans="1:2" x14ac:dyDescent="0.2">
      <c r="A385" s="40"/>
      <c r="B385" s="40"/>
    </row>
    <row r="386" spans="1:2" x14ac:dyDescent="0.2">
      <c r="A386" s="40"/>
      <c r="B386" s="40"/>
    </row>
    <row r="387" spans="1:2" x14ac:dyDescent="0.2">
      <c r="A387" s="40"/>
      <c r="B387" s="40"/>
    </row>
    <row r="388" spans="1:2" x14ac:dyDescent="0.2">
      <c r="A388" s="40"/>
      <c r="B388" s="40"/>
    </row>
    <row r="389" spans="1:2" x14ac:dyDescent="0.2">
      <c r="A389" s="40"/>
      <c r="B389" s="40"/>
    </row>
    <row r="390" spans="1:2" x14ac:dyDescent="0.2">
      <c r="A390" s="40"/>
      <c r="B390" s="40"/>
    </row>
    <row r="391" spans="1:2" x14ac:dyDescent="0.2">
      <c r="A391" s="40"/>
      <c r="B391" s="40"/>
    </row>
    <row r="392" spans="1:2" x14ac:dyDescent="0.2">
      <c r="A392" s="40"/>
      <c r="B392" s="40"/>
    </row>
    <row r="393" spans="1:2" x14ac:dyDescent="0.2">
      <c r="A393" s="40"/>
      <c r="B393" s="40"/>
    </row>
    <row r="394" spans="1:2" x14ac:dyDescent="0.2">
      <c r="A394" s="40"/>
      <c r="B394" s="40"/>
    </row>
    <row r="395" spans="1:2" x14ac:dyDescent="0.2">
      <c r="A395" s="40"/>
      <c r="B395" s="40"/>
    </row>
    <row r="396" spans="1:2" x14ac:dyDescent="0.2">
      <c r="A396" s="40"/>
      <c r="B396" s="40"/>
    </row>
    <row r="397" spans="1:2" x14ac:dyDescent="0.2">
      <c r="A397" s="40"/>
      <c r="B397" s="40"/>
    </row>
    <row r="398" spans="1:2" x14ac:dyDescent="0.2">
      <c r="A398" s="40"/>
      <c r="B398" s="40"/>
    </row>
    <row r="399" spans="1:2" x14ac:dyDescent="0.2">
      <c r="A399" s="40"/>
      <c r="B399" s="40"/>
    </row>
    <row r="400" spans="1:2" x14ac:dyDescent="0.2">
      <c r="A400" s="40"/>
      <c r="B400" s="40"/>
    </row>
    <row r="401" spans="1:2" x14ac:dyDescent="0.2">
      <c r="A401" s="40"/>
      <c r="B401" s="40"/>
    </row>
    <row r="402" spans="1:2" x14ac:dyDescent="0.2">
      <c r="A402" s="40"/>
      <c r="B402" s="40"/>
    </row>
    <row r="403" spans="1:2" x14ac:dyDescent="0.2">
      <c r="A403" s="40"/>
      <c r="B403" s="40"/>
    </row>
    <row r="404" spans="1:2" x14ac:dyDescent="0.2">
      <c r="A404" s="40"/>
      <c r="B404" s="40"/>
    </row>
    <row r="405" spans="1:2" x14ac:dyDescent="0.2">
      <c r="A405" s="40"/>
      <c r="B405" s="40"/>
    </row>
    <row r="406" spans="1:2" x14ac:dyDescent="0.2">
      <c r="A406" s="40"/>
      <c r="B406" s="40"/>
    </row>
    <row r="407" spans="1:2" x14ac:dyDescent="0.2">
      <c r="A407" s="40"/>
      <c r="B407" s="40"/>
    </row>
    <row r="408" spans="1:2" x14ac:dyDescent="0.2">
      <c r="A408" s="40"/>
      <c r="B408" s="40"/>
    </row>
    <row r="409" spans="1:2" x14ac:dyDescent="0.2">
      <c r="A409" s="40"/>
      <c r="B409" s="40"/>
    </row>
    <row r="410" spans="1:2" x14ac:dyDescent="0.2">
      <c r="A410" s="40"/>
      <c r="B410" s="40"/>
    </row>
    <row r="411" spans="1:2" x14ac:dyDescent="0.2">
      <c r="A411" s="40"/>
      <c r="B411" s="40"/>
    </row>
    <row r="412" spans="1:2" x14ac:dyDescent="0.2">
      <c r="A412" s="40"/>
      <c r="B412" s="40"/>
    </row>
    <row r="413" spans="1:2" x14ac:dyDescent="0.2">
      <c r="A413" s="40"/>
      <c r="B413" s="40"/>
    </row>
    <row r="414" spans="1:2" x14ac:dyDescent="0.2">
      <c r="A414" s="40"/>
      <c r="B414" s="40"/>
    </row>
    <row r="415" spans="1:2" x14ac:dyDescent="0.2">
      <c r="A415" s="40"/>
      <c r="B415" s="40"/>
    </row>
    <row r="416" spans="1:2" x14ac:dyDescent="0.2">
      <c r="A416" s="40"/>
      <c r="B416" s="40"/>
    </row>
    <row r="417" spans="1:2" x14ac:dyDescent="0.2">
      <c r="A417" s="40"/>
      <c r="B417" s="40"/>
    </row>
    <row r="418" spans="1:2" x14ac:dyDescent="0.2">
      <c r="A418" s="40"/>
      <c r="B418" s="40"/>
    </row>
    <row r="419" spans="1:2" x14ac:dyDescent="0.2">
      <c r="A419" s="40"/>
      <c r="B419" s="40"/>
    </row>
    <row r="420" spans="1:2" x14ac:dyDescent="0.2">
      <c r="A420" s="40"/>
      <c r="B420" s="40"/>
    </row>
    <row r="421" spans="1:2" x14ac:dyDescent="0.2">
      <c r="A421" s="40"/>
      <c r="B421" s="40"/>
    </row>
    <row r="422" spans="1:2" x14ac:dyDescent="0.2">
      <c r="A422" s="40"/>
      <c r="B422" s="40"/>
    </row>
    <row r="423" spans="1:2" x14ac:dyDescent="0.2">
      <c r="A423" s="40"/>
      <c r="B423" s="40"/>
    </row>
    <row r="424" spans="1:2" x14ac:dyDescent="0.2">
      <c r="A424" s="40"/>
      <c r="B424" s="40"/>
    </row>
    <row r="425" spans="1:2" x14ac:dyDescent="0.2">
      <c r="A425" s="40"/>
      <c r="B425" s="40"/>
    </row>
    <row r="426" spans="1:2" x14ac:dyDescent="0.2">
      <c r="A426" s="40"/>
      <c r="B426" s="40"/>
    </row>
    <row r="427" spans="1:2" x14ac:dyDescent="0.2">
      <c r="A427" s="40"/>
      <c r="B427" s="40"/>
    </row>
    <row r="428" spans="1:2" x14ac:dyDescent="0.2">
      <c r="A428" s="40"/>
      <c r="B428" s="40"/>
    </row>
    <row r="429" spans="1:2" x14ac:dyDescent="0.2">
      <c r="A429" s="40"/>
      <c r="B429" s="40"/>
    </row>
    <row r="430" spans="1:2" x14ac:dyDescent="0.2">
      <c r="A430" s="40"/>
      <c r="B430" s="40"/>
    </row>
    <row r="431" spans="1:2" x14ac:dyDescent="0.2">
      <c r="A431" s="40"/>
      <c r="B431" s="40"/>
    </row>
    <row r="432" spans="1:2" x14ac:dyDescent="0.2">
      <c r="A432" s="40"/>
      <c r="B432" s="40"/>
    </row>
    <row r="433" spans="1:2" x14ac:dyDescent="0.2">
      <c r="A433" s="40"/>
      <c r="B433" s="40"/>
    </row>
    <row r="434" spans="1:2" x14ac:dyDescent="0.2">
      <c r="A434" s="40"/>
      <c r="B434" s="40"/>
    </row>
    <row r="435" spans="1:2" x14ac:dyDescent="0.2">
      <c r="A435" s="40"/>
      <c r="B435" s="40"/>
    </row>
    <row r="436" spans="1:2" x14ac:dyDescent="0.2">
      <c r="A436" s="40"/>
      <c r="B436" s="40"/>
    </row>
    <row r="437" spans="1:2" x14ac:dyDescent="0.2">
      <c r="A437" s="40"/>
      <c r="B437" s="40"/>
    </row>
    <row r="438" spans="1:2" x14ac:dyDescent="0.2">
      <c r="A438" s="40"/>
      <c r="B438" s="40"/>
    </row>
    <row r="439" spans="1:2" x14ac:dyDescent="0.2">
      <c r="A439" s="40"/>
      <c r="B439" s="40"/>
    </row>
    <row r="440" spans="1:2" x14ac:dyDescent="0.2">
      <c r="A440" s="40"/>
      <c r="B440" s="40"/>
    </row>
    <row r="441" spans="1:2" x14ac:dyDescent="0.2">
      <c r="A441" s="40"/>
      <c r="B441" s="40"/>
    </row>
    <row r="442" spans="1:2" x14ac:dyDescent="0.2">
      <c r="A442" s="40"/>
      <c r="B442" s="40"/>
    </row>
    <row r="443" spans="1:2" x14ac:dyDescent="0.2">
      <c r="A443" s="40"/>
      <c r="B443" s="40"/>
    </row>
    <row r="444" spans="1:2" x14ac:dyDescent="0.2">
      <c r="A444" s="40"/>
      <c r="B444" s="40"/>
    </row>
    <row r="445" spans="1:2" x14ac:dyDescent="0.2">
      <c r="A445" s="40"/>
      <c r="B445" s="40"/>
    </row>
    <row r="446" spans="1:2" x14ac:dyDescent="0.2">
      <c r="A446" s="40"/>
      <c r="B446" s="40"/>
    </row>
    <row r="447" spans="1:2" x14ac:dyDescent="0.2">
      <c r="A447" s="40"/>
      <c r="B447" s="40"/>
    </row>
    <row r="448" spans="1:2" x14ac:dyDescent="0.2">
      <c r="A448" s="40"/>
      <c r="B448" s="40"/>
    </row>
    <row r="449" spans="1:2" x14ac:dyDescent="0.2">
      <c r="A449" s="40"/>
      <c r="B449" s="40"/>
    </row>
    <row r="450" spans="1:2" x14ac:dyDescent="0.2">
      <c r="A450" s="40"/>
      <c r="B450" s="40"/>
    </row>
    <row r="451" spans="1:2" x14ac:dyDescent="0.2">
      <c r="A451" s="40"/>
      <c r="B451" s="40"/>
    </row>
    <row r="452" spans="1:2" x14ac:dyDescent="0.2">
      <c r="A452" s="40"/>
      <c r="B452" s="40"/>
    </row>
    <row r="453" spans="1:2" x14ac:dyDescent="0.2">
      <c r="A453" s="40"/>
      <c r="B453" s="40"/>
    </row>
    <row r="454" spans="1:2" x14ac:dyDescent="0.2">
      <c r="A454" s="40"/>
      <c r="B454" s="40"/>
    </row>
    <row r="455" spans="1:2" x14ac:dyDescent="0.2">
      <c r="A455" s="40"/>
      <c r="B455" s="40"/>
    </row>
    <row r="456" spans="1:2" x14ac:dyDescent="0.2">
      <c r="A456" s="40"/>
      <c r="B456" s="40"/>
    </row>
    <row r="457" spans="1:2" x14ac:dyDescent="0.2">
      <c r="A457" s="40"/>
      <c r="B457" s="40"/>
    </row>
    <row r="458" spans="1:2" x14ac:dyDescent="0.2">
      <c r="A458" s="40"/>
      <c r="B458" s="40"/>
    </row>
    <row r="459" spans="1:2" x14ac:dyDescent="0.2">
      <c r="A459" s="40"/>
      <c r="B459" s="40"/>
    </row>
    <row r="460" spans="1:2" x14ac:dyDescent="0.2">
      <c r="A460" s="40"/>
      <c r="B460" s="40"/>
    </row>
    <row r="461" spans="1:2" x14ac:dyDescent="0.2">
      <c r="A461" s="40"/>
      <c r="B461" s="40"/>
    </row>
    <row r="462" spans="1:2" x14ac:dyDescent="0.2">
      <c r="A462" s="40"/>
      <c r="B462" s="40"/>
    </row>
    <row r="463" spans="1:2" x14ac:dyDescent="0.2">
      <c r="A463" s="40"/>
      <c r="B463" s="40"/>
    </row>
    <row r="464" spans="1:2" x14ac:dyDescent="0.2">
      <c r="A464" s="40"/>
      <c r="B464" s="40"/>
    </row>
    <row r="465" spans="1:2" x14ac:dyDescent="0.2">
      <c r="A465" s="40"/>
      <c r="B465" s="40"/>
    </row>
    <row r="466" spans="1:2" x14ac:dyDescent="0.2">
      <c r="A466" s="40"/>
      <c r="B466" s="40"/>
    </row>
    <row r="467" spans="1:2" x14ac:dyDescent="0.2">
      <c r="A467" s="40"/>
      <c r="B467" s="40"/>
    </row>
    <row r="468" spans="1:2" x14ac:dyDescent="0.2">
      <c r="A468" s="40"/>
      <c r="B468" s="40"/>
    </row>
    <row r="469" spans="1:2" x14ac:dyDescent="0.2">
      <c r="A469" s="40"/>
      <c r="B469" s="40"/>
    </row>
    <row r="470" spans="1:2" x14ac:dyDescent="0.2">
      <c r="A470" s="40"/>
      <c r="B470" s="40"/>
    </row>
    <row r="471" spans="1:2" x14ac:dyDescent="0.2">
      <c r="A471" s="40"/>
      <c r="B471" s="40"/>
    </row>
    <row r="472" spans="1:2" x14ac:dyDescent="0.2">
      <c r="A472" s="40"/>
      <c r="B472" s="40"/>
    </row>
    <row r="473" spans="1:2" x14ac:dyDescent="0.2">
      <c r="A473" s="40"/>
      <c r="B473" s="40"/>
    </row>
    <row r="474" spans="1:2" x14ac:dyDescent="0.2">
      <c r="A474" s="40"/>
      <c r="B474" s="40"/>
    </row>
    <row r="475" spans="1:2" x14ac:dyDescent="0.2">
      <c r="A475" s="40"/>
      <c r="B475" s="40"/>
    </row>
    <row r="476" spans="1:2" x14ac:dyDescent="0.2">
      <c r="A476" s="40"/>
      <c r="B476" s="40"/>
    </row>
    <row r="477" spans="1:2" x14ac:dyDescent="0.2">
      <c r="A477" s="40"/>
      <c r="B477" s="40"/>
    </row>
    <row r="478" spans="1:2" x14ac:dyDescent="0.2">
      <c r="A478" s="40"/>
      <c r="B478" s="40"/>
    </row>
    <row r="479" spans="1:2" x14ac:dyDescent="0.2">
      <c r="A479" s="40"/>
      <c r="B479" s="40"/>
    </row>
    <row r="480" spans="1:2" x14ac:dyDescent="0.2">
      <c r="A480" s="40"/>
      <c r="B480" s="40"/>
    </row>
    <row r="481" spans="1:2" x14ac:dyDescent="0.2">
      <c r="A481" s="40"/>
      <c r="B481" s="40"/>
    </row>
    <row r="482" spans="1:2" x14ac:dyDescent="0.2">
      <c r="A482" s="40"/>
      <c r="B482" s="40"/>
    </row>
    <row r="483" spans="1:2" x14ac:dyDescent="0.2">
      <c r="A483" s="40"/>
      <c r="B483" s="40"/>
    </row>
    <row r="484" spans="1:2" x14ac:dyDescent="0.2">
      <c r="A484" s="40"/>
      <c r="B484" s="40"/>
    </row>
    <row r="485" spans="1:2" x14ac:dyDescent="0.2">
      <c r="A485" s="40"/>
      <c r="B485" s="40"/>
    </row>
    <row r="486" spans="1:2" x14ac:dyDescent="0.2">
      <c r="A486" s="40"/>
      <c r="B486" s="40"/>
    </row>
    <row r="487" spans="1:2" x14ac:dyDescent="0.2">
      <c r="A487" s="40"/>
      <c r="B487" s="40"/>
    </row>
    <row r="488" spans="1:2" x14ac:dyDescent="0.2">
      <c r="A488" s="40"/>
      <c r="B488" s="40"/>
    </row>
    <row r="489" spans="1:2" x14ac:dyDescent="0.2">
      <c r="A489" s="40"/>
      <c r="B489" s="40"/>
    </row>
    <row r="490" spans="1:2" x14ac:dyDescent="0.2">
      <c r="A490" s="40"/>
      <c r="B490" s="40"/>
    </row>
    <row r="491" spans="1:2" x14ac:dyDescent="0.2">
      <c r="A491" s="40"/>
      <c r="B491" s="40"/>
    </row>
    <row r="492" spans="1:2" x14ac:dyDescent="0.2">
      <c r="A492" s="40"/>
      <c r="B492" s="40"/>
    </row>
    <row r="493" spans="1:2" x14ac:dyDescent="0.2">
      <c r="A493" s="40"/>
      <c r="B493" s="40"/>
    </row>
    <row r="494" spans="1:2" x14ac:dyDescent="0.2">
      <c r="A494" s="40"/>
      <c r="B494" s="40"/>
    </row>
    <row r="495" spans="1:2" x14ac:dyDescent="0.2">
      <c r="A495" s="40"/>
      <c r="B495" s="40"/>
    </row>
    <row r="496" spans="1:2" x14ac:dyDescent="0.2">
      <c r="A496" s="40"/>
      <c r="B496" s="40"/>
    </row>
    <row r="497" spans="1:2" x14ac:dyDescent="0.2">
      <c r="A497" s="40"/>
      <c r="B497" s="40"/>
    </row>
    <row r="498" spans="1:2" x14ac:dyDescent="0.2">
      <c r="A498" s="40"/>
      <c r="B498" s="40"/>
    </row>
    <row r="499" spans="1:2" x14ac:dyDescent="0.2">
      <c r="A499" s="40"/>
      <c r="B499" s="40"/>
    </row>
    <row r="500" spans="1:2" x14ac:dyDescent="0.2">
      <c r="A500" s="40"/>
      <c r="B500" s="40"/>
    </row>
    <row r="501" spans="1:2" x14ac:dyDescent="0.2">
      <c r="A501" s="40"/>
      <c r="B501" s="40"/>
    </row>
    <row r="502" spans="1:2" x14ac:dyDescent="0.2">
      <c r="A502" s="40"/>
      <c r="B502" s="40"/>
    </row>
    <row r="503" spans="1:2" x14ac:dyDescent="0.2">
      <c r="A503" s="40"/>
      <c r="B503" s="40"/>
    </row>
    <row r="504" spans="1:2" x14ac:dyDescent="0.2">
      <c r="A504" s="40"/>
      <c r="B504" s="40"/>
    </row>
    <row r="505" spans="1:2" x14ac:dyDescent="0.2">
      <c r="A505" s="40"/>
      <c r="B505" s="40"/>
    </row>
    <row r="506" spans="1:2" x14ac:dyDescent="0.2">
      <c r="A506" s="40"/>
      <c r="B506" s="40"/>
    </row>
    <row r="507" spans="1:2" x14ac:dyDescent="0.2">
      <c r="A507" s="40"/>
      <c r="B507" s="40"/>
    </row>
    <row r="508" spans="1:2" x14ac:dyDescent="0.2">
      <c r="A508" s="40"/>
      <c r="B508" s="40"/>
    </row>
    <row r="509" spans="1:2" x14ac:dyDescent="0.2">
      <c r="A509" s="40"/>
      <c r="B509" s="40"/>
    </row>
    <row r="510" spans="1:2" x14ac:dyDescent="0.2">
      <c r="A510" s="40"/>
      <c r="B510" s="40"/>
    </row>
    <row r="511" spans="1:2" x14ac:dyDescent="0.2">
      <c r="A511" s="40"/>
      <c r="B511" s="40"/>
    </row>
    <row r="512" spans="1:2" x14ac:dyDescent="0.2">
      <c r="A512" s="40"/>
      <c r="B512" s="40"/>
    </row>
    <row r="513" spans="1:2" x14ac:dyDescent="0.2">
      <c r="A513" s="40"/>
      <c r="B513" s="40"/>
    </row>
    <row r="514" spans="1:2" x14ac:dyDescent="0.2">
      <c r="A514" s="40"/>
      <c r="B514" s="40"/>
    </row>
    <row r="515" spans="1:2" x14ac:dyDescent="0.2">
      <c r="A515" s="40"/>
      <c r="B515" s="40"/>
    </row>
    <row r="516" spans="1:2" x14ac:dyDescent="0.2">
      <c r="A516" s="40"/>
      <c r="B516" s="40"/>
    </row>
    <row r="517" spans="1:2" x14ac:dyDescent="0.2">
      <c r="A517" s="40"/>
      <c r="B517" s="40"/>
    </row>
    <row r="518" spans="1:2" x14ac:dyDescent="0.2">
      <c r="A518" s="40"/>
      <c r="B518" s="40"/>
    </row>
    <row r="519" spans="1:2" x14ac:dyDescent="0.2">
      <c r="A519" s="40"/>
      <c r="B519" s="40"/>
    </row>
    <row r="520" spans="1:2" x14ac:dyDescent="0.2">
      <c r="A520" s="40"/>
      <c r="B520" s="40"/>
    </row>
    <row r="521" spans="1:2" x14ac:dyDescent="0.2">
      <c r="A521" s="40"/>
      <c r="B521" s="40"/>
    </row>
    <row r="522" spans="1:2" x14ac:dyDescent="0.2">
      <c r="A522" s="40"/>
      <c r="B522" s="40"/>
    </row>
    <row r="523" spans="1:2" x14ac:dyDescent="0.2">
      <c r="A523" s="40"/>
      <c r="B523" s="40"/>
    </row>
    <row r="524" spans="1:2" x14ac:dyDescent="0.2">
      <c r="A524" s="40"/>
      <c r="B524" s="40"/>
    </row>
    <row r="525" spans="1:2" x14ac:dyDescent="0.2">
      <c r="A525" s="40"/>
      <c r="B525" s="40"/>
    </row>
    <row r="526" spans="1:2" x14ac:dyDescent="0.2">
      <c r="A526" s="40"/>
      <c r="B526" s="40"/>
    </row>
    <row r="527" spans="1:2" x14ac:dyDescent="0.2">
      <c r="A527" s="40"/>
      <c r="B527" s="40"/>
    </row>
    <row r="528" spans="1:2" x14ac:dyDescent="0.2">
      <c r="A528" s="40"/>
      <c r="B528" s="40"/>
    </row>
    <row r="529" spans="1:2" x14ac:dyDescent="0.2">
      <c r="A529" s="40"/>
      <c r="B529" s="40"/>
    </row>
    <row r="530" spans="1:2" x14ac:dyDescent="0.2">
      <c r="A530" s="40"/>
      <c r="B530" s="40"/>
    </row>
    <row r="531" spans="1:2" x14ac:dyDescent="0.2">
      <c r="A531" s="40"/>
      <c r="B531" s="40"/>
    </row>
    <row r="532" spans="1:2" x14ac:dyDescent="0.2">
      <c r="A532" s="40"/>
      <c r="B532" s="40"/>
    </row>
    <row r="533" spans="1:2" x14ac:dyDescent="0.2">
      <c r="A533" s="40"/>
      <c r="B533" s="40"/>
    </row>
    <row r="534" spans="1:2" x14ac:dyDescent="0.2">
      <c r="A534" s="40"/>
      <c r="B534" s="40"/>
    </row>
    <row r="535" spans="1:2" x14ac:dyDescent="0.2">
      <c r="A535" s="40"/>
      <c r="B535" s="40"/>
    </row>
    <row r="536" spans="1:2" x14ac:dyDescent="0.2">
      <c r="A536" s="40"/>
      <c r="B536" s="40"/>
    </row>
    <row r="537" spans="1:2" x14ac:dyDescent="0.2">
      <c r="A537" s="40"/>
      <c r="B537" s="40"/>
    </row>
    <row r="538" spans="1:2" x14ac:dyDescent="0.2">
      <c r="A538" s="40"/>
      <c r="B538" s="40"/>
    </row>
    <row r="539" spans="1:2" x14ac:dyDescent="0.2">
      <c r="A539" s="40"/>
      <c r="B539" s="40"/>
    </row>
    <row r="540" spans="1:2" x14ac:dyDescent="0.2">
      <c r="A540" s="40"/>
      <c r="B540" s="40"/>
    </row>
    <row r="541" spans="1:2" x14ac:dyDescent="0.2">
      <c r="A541" s="40"/>
      <c r="B541" s="40"/>
    </row>
    <row r="542" spans="1:2" x14ac:dyDescent="0.2">
      <c r="A542" s="40"/>
      <c r="B542" s="40"/>
    </row>
    <row r="543" spans="1:2" x14ac:dyDescent="0.2">
      <c r="A543" s="40"/>
      <c r="B543" s="40"/>
    </row>
    <row r="544" spans="1:2" x14ac:dyDescent="0.2">
      <c r="A544" s="40"/>
      <c r="B544" s="40"/>
    </row>
    <row r="545" spans="1:2" x14ac:dyDescent="0.2">
      <c r="A545" s="40"/>
      <c r="B545" s="40"/>
    </row>
    <row r="546" spans="1:2" x14ac:dyDescent="0.2">
      <c r="A546" s="40"/>
      <c r="B546" s="40"/>
    </row>
    <row r="547" spans="1:2" x14ac:dyDescent="0.2">
      <c r="A547" s="40"/>
      <c r="B547" s="40"/>
    </row>
    <row r="548" spans="1:2" x14ac:dyDescent="0.2">
      <c r="A548" s="40"/>
      <c r="B548" s="40"/>
    </row>
    <row r="549" spans="1:2" x14ac:dyDescent="0.2">
      <c r="A549" s="40"/>
      <c r="B549" s="40"/>
    </row>
    <row r="550" spans="1:2" x14ac:dyDescent="0.2">
      <c r="A550" s="40"/>
      <c r="B550" s="40"/>
    </row>
    <row r="551" spans="1:2" x14ac:dyDescent="0.2">
      <c r="A551" s="40"/>
      <c r="B551" s="40"/>
    </row>
    <row r="552" spans="1:2" x14ac:dyDescent="0.2">
      <c r="A552" s="40"/>
      <c r="B552" s="40"/>
    </row>
    <row r="553" spans="1:2" x14ac:dyDescent="0.2">
      <c r="A553" s="40"/>
      <c r="B553" s="40"/>
    </row>
    <row r="554" spans="1:2" x14ac:dyDescent="0.2">
      <c r="A554" s="40"/>
      <c r="B554" s="40"/>
    </row>
    <row r="555" spans="1:2" x14ac:dyDescent="0.2">
      <c r="A555" s="40"/>
      <c r="B555" s="40"/>
    </row>
    <row r="556" spans="1:2" x14ac:dyDescent="0.2">
      <c r="A556" s="40"/>
      <c r="B556" s="40"/>
    </row>
    <row r="557" spans="1:2" x14ac:dyDescent="0.2">
      <c r="A557" s="40"/>
      <c r="B557" s="40"/>
    </row>
    <row r="558" spans="1:2" x14ac:dyDescent="0.2">
      <c r="A558" s="40"/>
      <c r="B558" s="40"/>
    </row>
    <row r="559" spans="1:2" x14ac:dyDescent="0.2">
      <c r="A559" s="40"/>
      <c r="B559" s="40"/>
    </row>
    <row r="560" spans="1:2" x14ac:dyDescent="0.2">
      <c r="A560" s="40"/>
      <c r="B560" s="40"/>
    </row>
    <row r="561" spans="1:2" x14ac:dyDescent="0.2">
      <c r="A561" s="40"/>
      <c r="B561" s="40"/>
    </row>
    <row r="562" spans="1:2" x14ac:dyDescent="0.2">
      <c r="A562" s="40"/>
      <c r="B562" s="40"/>
    </row>
    <row r="563" spans="1:2" x14ac:dyDescent="0.2">
      <c r="A563" s="40"/>
      <c r="B563" s="40"/>
    </row>
    <row r="564" spans="1:2" x14ac:dyDescent="0.2">
      <c r="A564" s="40"/>
      <c r="B564" s="40"/>
    </row>
    <row r="565" spans="1:2" x14ac:dyDescent="0.2">
      <c r="A565" s="40"/>
      <c r="B565" s="40"/>
    </row>
    <row r="566" spans="1:2" x14ac:dyDescent="0.2">
      <c r="A566" s="40"/>
      <c r="B566" s="40"/>
    </row>
    <row r="567" spans="1:2" x14ac:dyDescent="0.2">
      <c r="A567" s="40"/>
      <c r="B567" s="40"/>
    </row>
    <row r="568" spans="1:2" x14ac:dyDescent="0.2">
      <c r="A568" s="40"/>
      <c r="B568" s="40"/>
    </row>
    <row r="569" spans="1:2" x14ac:dyDescent="0.2">
      <c r="A569" s="40"/>
      <c r="B569" s="40"/>
    </row>
    <row r="570" spans="1:2" x14ac:dyDescent="0.2">
      <c r="A570" s="40"/>
      <c r="B570" s="40"/>
    </row>
    <row r="571" spans="1:2" x14ac:dyDescent="0.2">
      <c r="A571" s="40"/>
      <c r="B571" s="40"/>
    </row>
    <row r="572" spans="1:2" x14ac:dyDescent="0.2">
      <c r="A572" s="40"/>
      <c r="B572" s="40"/>
    </row>
    <row r="573" spans="1:2" x14ac:dyDescent="0.2">
      <c r="A573" s="40"/>
      <c r="B573" s="40"/>
    </row>
    <row r="574" spans="1:2" x14ac:dyDescent="0.2">
      <c r="A574" s="40"/>
      <c r="B574" s="40"/>
    </row>
    <row r="575" spans="1:2" x14ac:dyDescent="0.2">
      <c r="A575" s="40"/>
      <c r="B575" s="40"/>
    </row>
    <row r="576" spans="1:2" x14ac:dyDescent="0.2">
      <c r="A576" s="40"/>
      <c r="B576" s="40"/>
    </row>
    <row r="577" spans="1:2" x14ac:dyDescent="0.2">
      <c r="A577" s="40"/>
      <c r="B577" s="40"/>
    </row>
    <row r="578" spans="1:2" x14ac:dyDescent="0.2">
      <c r="A578" s="40"/>
      <c r="B578" s="40"/>
    </row>
    <row r="579" spans="1:2" x14ac:dyDescent="0.2">
      <c r="A579" s="40"/>
      <c r="B579" s="40"/>
    </row>
    <row r="580" spans="1:2" x14ac:dyDescent="0.2">
      <c r="A580" s="40"/>
      <c r="B580" s="40"/>
    </row>
    <row r="581" spans="1:2" x14ac:dyDescent="0.2">
      <c r="A581" s="40"/>
      <c r="B581" s="40"/>
    </row>
    <row r="582" spans="1:2" x14ac:dyDescent="0.2">
      <c r="A582" s="40"/>
      <c r="B582" s="40"/>
    </row>
    <row r="583" spans="1:2" x14ac:dyDescent="0.2">
      <c r="A583" s="40"/>
      <c r="B583" s="40"/>
    </row>
    <row r="584" spans="1:2" x14ac:dyDescent="0.2">
      <c r="A584" s="40"/>
      <c r="B584" s="40"/>
    </row>
    <row r="585" spans="1:2" x14ac:dyDescent="0.2">
      <c r="A585" s="40"/>
      <c r="B585" s="40"/>
    </row>
    <row r="586" spans="1:2" x14ac:dyDescent="0.2">
      <c r="A586" s="40"/>
      <c r="B586" s="40"/>
    </row>
    <row r="587" spans="1:2" x14ac:dyDescent="0.2">
      <c r="A587" s="40"/>
      <c r="B587" s="40"/>
    </row>
    <row r="588" spans="1:2" x14ac:dyDescent="0.2">
      <c r="A588" s="40"/>
      <c r="B588" s="40"/>
    </row>
    <row r="589" spans="1:2" x14ac:dyDescent="0.2">
      <c r="A589" s="40"/>
      <c r="B589" s="40"/>
    </row>
    <row r="590" spans="1:2" x14ac:dyDescent="0.2">
      <c r="A590" s="40"/>
      <c r="B590" s="40"/>
    </row>
    <row r="591" spans="1:2" x14ac:dyDescent="0.2">
      <c r="A591" s="40"/>
      <c r="B591" s="40"/>
    </row>
    <row r="592" spans="1:2" x14ac:dyDescent="0.2">
      <c r="A592" s="40"/>
      <c r="B592" s="40"/>
    </row>
    <row r="593" spans="1:2" x14ac:dyDescent="0.2">
      <c r="A593" s="40"/>
      <c r="B593" s="40"/>
    </row>
    <row r="594" spans="1:2" x14ac:dyDescent="0.2">
      <c r="A594" s="40"/>
      <c r="B594" s="40"/>
    </row>
    <row r="595" spans="1:2" x14ac:dyDescent="0.2">
      <c r="A595" s="40"/>
      <c r="B595" s="40"/>
    </row>
    <row r="596" spans="1:2" x14ac:dyDescent="0.2">
      <c r="A596" s="40"/>
      <c r="B596" s="40"/>
    </row>
    <row r="597" spans="1:2" x14ac:dyDescent="0.2">
      <c r="A597" s="40"/>
      <c r="B597" s="40"/>
    </row>
    <row r="598" spans="1:2" x14ac:dyDescent="0.2">
      <c r="A598" s="40"/>
      <c r="B598" s="40"/>
    </row>
    <row r="599" spans="1:2" x14ac:dyDescent="0.2">
      <c r="A599" s="40"/>
      <c r="B599" s="40"/>
    </row>
    <row r="600" spans="1:2" x14ac:dyDescent="0.2">
      <c r="A600" s="40"/>
      <c r="B600" s="40"/>
    </row>
    <row r="601" spans="1:2" x14ac:dyDescent="0.2">
      <c r="A601" s="40"/>
      <c r="B601" s="40"/>
    </row>
    <row r="602" spans="1:2" x14ac:dyDescent="0.2">
      <c r="A602" s="40"/>
      <c r="B602" s="40"/>
    </row>
    <row r="603" spans="1:2" x14ac:dyDescent="0.2">
      <c r="A603" s="40"/>
      <c r="B603" s="40"/>
    </row>
    <row r="604" spans="1:2" x14ac:dyDescent="0.2">
      <c r="A604" s="40"/>
      <c r="B604" s="40"/>
    </row>
    <row r="605" spans="1:2" x14ac:dyDescent="0.2">
      <c r="A605" s="40"/>
      <c r="B605" s="40"/>
    </row>
    <row r="606" spans="1:2" x14ac:dyDescent="0.2">
      <c r="A606" s="40"/>
      <c r="B606" s="40"/>
    </row>
    <row r="607" spans="1:2" x14ac:dyDescent="0.2">
      <c r="A607" s="40"/>
      <c r="B607" s="40"/>
    </row>
    <row r="608" spans="1:2" x14ac:dyDescent="0.2">
      <c r="A608" s="40"/>
      <c r="B608" s="40"/>
    </row>
    <row r="609" spans="1:2" x14ac:dyDescent="0.2">
      <c r="A609" s="40"/>
      <c r="B609" s="40"/>
    </row>
    <row r="610" spans="1:2" x14ac:dyDescent="0.2">
      <c r="A610" s="40"/>
      <c r="B610" s="40"/>
    </row>
    <row r="611" spans="1:2" x14ac:dyDescent="0.2">
      <c r="A611" s="40"/>
      <c r="B611" s="40"/>
    </row>
    <row r="612" spans="1:2" x14ac:dyDescent="0.2">
      <c r="A612" s="40"/>
      <c r="B612" s="40"/>
    </row>
    <row r="613" spans="1:2" x14ac:dyDescent="0.2">
      <c r="A613" s="40"/>
      <c r="B613" s="40"/>
    </row>
    <row r="614" spans="1:2" x14ac:dyDescent="0.2">
      <c r="A614" s="40"/>
      <c r="B614" s="40"/>
    </row>
    <row r="615" spans="1:2" x14ac:dyDescent="0.2">
      <c r="A615" s="40"/>
      <c r="B615" s="40"/>
    </row>
    <row r="616" spans="1:2" x14ac:dyDescent="0.2">
      <c r="A616" s="40"/>
      <c r="B616" s="40"/>
    </row>
    <row r="617" spans="1:2" x14ac:dyDescent="0.2">
      <c r="A617" s="40"/>
      <c r="B617" s="40"/>
    </row>
    <row r="618" spans="1:2" x14ac:dyDescent="0.2">
      <c r="A618" s="40"/>
      <c r="B618" s="40"/>
    </row>
    <row r="619" spans="1:2" x14ac:dyDescent="0.2">
      <c r="A619" s="40"/>
      <c r="B619" s="40"/>
    </row>
    <row r="620" spans="1:2" x14ac:dyDescent="0.2">
      <c r="A620" s="40"/>
      <c r="B620" s="40"/>
    </row>
    <row r="621" spans="1:2" x14ac:dyDescent="0.2">
      <c r="A621" s="40"/>
      <c r="B621" s="40"/>
    </row>
    <row r="622" spans="1:2" x14ac:dyDescent="0.2">
      <c r="A622" s="40"/>
      <c r="B622" s="40"/>
    </row>
    <row r="623" spans="1:2" x14ac:dyDescent="0.2">
      <c r="A623" s="40"/>
      <c r="B623" s="40"/>
    </row>
    <row r="624" spans="1:2" x14ac:dyDescent="0.2">
      <c r="A624" s="40"/>
      <c r="B624" s="40"/>
    </row>
    <row r="625" spans="1:2" x14ac:dyDescent="0.2">
      <c r="A625" s="40"/>
      <c r="B625" s="40"/>
    </row>
    <row r="626" spans="1:2" x14ac:dyDescent="0.2">
      <c r="A626" s="40"/>
      <c r="B626" s="40"/>
    </row>
    <row r="627" spans="1:2" x14ac:dyDescent="0.2">
      <c r="A627" s="40"/>
      <c r="B627" s="40"/>
    </row>
    <row r="628" spans="1:2" x14ac:dyDescent="0.2">
      <c r="A628" s="40"/>
      <c r="B628" s="40"/>
    </row>
    <row r="629" spans="1:2" x14ac:dyDescent="0.2">
      <c r="A629" s="40"/>
      <c r="B629" s="40"/>
    </row>
    <row r="630" spans="1:2" x14ac:dyDescent="0.2">
      <c r="A630" s="40"/>
      <c r="B630" s="40"/>
    </row>
    <row r="631" spans="1:2" x14ac:dyDescent="0.2">
      <c r="A631" s="40"/>
      <c r="B631" s="40"/>
    </row>
    <row r="632" spans="1:2" x14ac:dyDescent="0.2">
      <c r="A632" s="40"/>
      <c r="B632" s="40"/>
    </row>
    <row r="633" spans="1:2" x14ac:dyDescent="0.2">
      <c r="A633" s="40"/>
      <c r="B633" s="40"/>
    </row>
    <row r="634" spans="1:2" x14ac:dyDescent="0.2">
      <c r="A634" s="40"/>
      <c r="B634" s="40"/>
    </row>
    <row r="635" spans="1:2" x14ac:dyDescent="0.2">
      <c r="A635" s="40"/>
      <c r="B635" s="40"/>
    </row>
    <row r="636" spans="1:2" x14ac:dyDescent="0.2">
      <c r="A636" s="40"/>
      <c r="B636" s="40"/>
    </row>
    <row r="637" spans="1:2" x14ac:dyDescent="0.2">
      <c r="A637" s="40"/>
      <c r="B637" s="40"/>
    </row>
    <row r="638" spans="1:2" x14ac:dyDescent="0.2">
      <c r="A638" s="40"/>
      <c r="B638" s="40"/>
    </row>
    <row r="639" spans="1:2" x14ac:dyDescent="0.2">
      <c r="A639" s="40"/>
      <c r="B639" s="40"/>
    </row>
    <row r="640" spans="1:2" x14ac:dyDescent="0.2">
      <c r="A640" s="40"/>
      <c r="B640" s="40"/>
    </row>
    <row r="641" spans="1:2" x14ac:dyDescent="0.2">
      <c r="A641" s="40"/>
      <c r="B641" s="40"/>
    </row>
    <row r="642" spans="1:2" x14ac:dyDescent="0.2">
      <c r="A642" s="40"/>
      <c r="B642" s="40"/>
    </row>
    <row r="643" spans="1:2" x14ac:dyDescent="0.2">
      <c r="A643" s="40"/>
      <c r="B643" s="40"/>
    </row>
    <row r="644" spans="1:2" x14ac:dyDescent="0.2">
      <c r="A644" s="40"/>
      <c r="B644" s="40"/>
    </row>
    <row r="645" spans="1:2" x14ac:dyDescent="0.2">
      <c r="A645" s="40"/>
      <c r="B645" s="40"/>
    </row>
    <row r="646" spans="1:2" x14ac:dyDescent="0.2">
      <c r="A646" s="40"/>
      <c r="B646" s="40"/>
    </row>
    <row r="647" spans="1:2" x14ac:dyDescent="0.2">
      <c r="A647" s="40"/>
      <c r="B647" s="40"/>
    </row>
    <row r="648" spans="1:2" x14ac:dyDescent="0.2">
      <c r="A648" s="40"/>
      <c r="B648" s="40"/>
    </row>
    <row r="649" spans="1:2" x14ac:dyDescent="0.2">
      <c r="A649" s="40"/>
      <c r="B649" s="40"/>
    </row>
    <row r="650" spans="1:2" x14ac:dyDescent="0.2">
      <c r="A650" s="40"/>
      <c r="B650" s="40"/>
    </row>
    <row r="651" spans="1:2" x14ac:dyDescent="0.2">
      <c r="A651" s="40"/>
      <c r="B651" s="40"/>
    </row>
    <row r="652" spans="1:2" x14ac:dyDescent="0.2">
      <c r="A652" s="40"/>
      <c r="B652" s="40"/>
    </row>
    <row r="653" spans="1:2" x14ac:dyDescent="0.2">
      <c r="A653" s="40"/>
      <c r="B653" s="40"/>
    </row>
    <row r="654" spans="1:2" x14ac:dyDescent="0.2">
      <c r="A654" s="40"/>
      <c r="B654" s="40"/>
    </row>
    <row r="655" spans="1:2" x14ac:dyDescent="0.2">
      <c r="A655" s="40"/>
      <c r="B655" s="40"/>
    </row>
    <row r="656" spans="1:2" x14ac:dyDescent="0.2">
      <c r="A656" s="40"/>
      <c r="B656" s="40"/>
    </row>
    <row r="657" spans="1:2" x14ac:dyDescent="0.2">
      <c r="A657" s="40"/>
      <c r="B657" s="40"/>
    </row>
    <row r="658" spans="1:2" x14ac:dyDescent="0.2">
      <c r="A658" s="40"/>
      <c r="B658" s="40"/>
    </row>
    <row r="659" spans="1:2" x14ac:dyDescent="0.2">
      <c r="A659" s="40"/>
      <c r="B659" s="40"/>
    </row>
    <row r="660" spans="1:2" x14ac:dyDescent="0.2">
      <c r="A660" s="40"/>
      <c r="B660" s="40"/>
    </row>
    <row r="661" spans="1:2" x14ac:dyDescent="0.2">
      <c r="A661" s="40"/>
      <c r="B661" s="40"/>
    </row>
    <row r="662" spans="1:2" x14ac:dyDescent="0.2">
      <c r="A662" s="40"/>
      <c r="B662" s="40"/>
    </row>
    <row r="663" spans="1:2" x14ac:dyDescent="0.2">
      <c r="A663" s="40"/>
      <c r="B663" s="40"/>
    </row>
    <row r="664" spans="1:2" x14ac:dyDescent="0.2">
      <c r="A664" s="40"/>
      <c r="B664" s="40"/>
    </row>
    <row r="665" spans="1:2" x14ac:dyDescent="0.2">
      <c r="A665" s="40"/>
      <c r="B665" s="40"/>
    </row>
    <row r="666" spans="1:2" x14ac:dyDescent="0.2">
      <c r="A666" s="40"/>
      <c r="B666" s="40"/>
    </row>
    <row r="667" spans="1:2" x14ac:dyDescent="0.2">
      <c r="A667" s="40"/>
      <c r="B667" s="40"/>
    </row>
    <row r="668" spans="1:2" x14ac:dyDescent="0.2">
      <c r="A668" s="40"/>
      <c r="B668" s="40"/>
    </row>
    <row r="669" spans="1:2" x14ac:dyDescent="0.2">
      <c r="A669" s="40"/>
      <c r="B669" s="40"/>
    </row>
    <row r="670" spans="1:2" x14ac:dyDescent="0.2">
      <c r="A670" s="40"/>
      <c r="B670" s="40"/>
    </row>
    <row r="671" spans="1:2" x14ac:dyDescent="0.2">
      <c r="A671" s="40"/>
      <c r="B671" s="40"/>
    </row>
    <row r="672" spans="1:2" x14ac:dyDescent="0.2">
      <c r="A672" s="40"/>
      <c r="B672" s="40"/>
    </row>
    <row r="673" spans="1:2" x14ac:dyDescent="0.2">
      <c r="A673" s="40"/>
      <c r="B673" s="40"/>
    </row>
    <row r="674" spans="1:2" x14ac:dyDescent="0.2">
      <c r="A674" s="40"/>
      <c r="B674" s="40"/>
    </row>
    <row r="675" spans="1:2" x14ac:dyDescent="0.2">
      <c r="A675" s="40"/>
      <c r="B675" s="40"/>
    </row>
    <row r="676" spans="1:2" x14ac:dyDescent="0.2">
      <c r="A676" s="40"/>
      <c r="B676" s="40"/>
    </row>
    <row r="677" spans="1:2" x14ac:dyDescent="0.2">
      <c r="A677" s="40"/>
      <c r="B677" s="40"/>
    </row>
    <row r="678" spans="1:2" x14ac:dyDescent="0.2">
      <c r="A678" s="40"/>
      <c r="B678" s="40"/>
    </row>
    <row r="679" spans="1:2" x14ac:dyDescent="0.2">
      <c r="A679" s="40"/>
      <c r="B679" s="40"/>
    </row>
    <row r="680" spans="1:2" x14ac:dyDescent="0.2">
      <c r="A680" s="40"/>
      <c r="B680" s="40"/>
    </row>
    <row r="681" spans="1:2" x14ac:dyDescent="0.2">
      <c r="A681" s="40"/>
      <c r="B681" s="40"/>
    </row>
    <row r="682" spans="1:2" x14ac:dyDescent="0.2">
      <c r="A682" s="40"/>
      <c r="B682" s="40"/>
    </row>
    <row r="683" spans="1:2" x14ac:dyDescent="0.2">
      <c r="A683" s="40"/>
      <c r="B683" s="40"/>
    </row>
    <row r="684" spans="1:2" x14ac:dyDescent="0.2">
      <c r="A684" s="40"/>
      <c r="B684" s="40"/>
    </row>
    <row r="685" spans="1:2" x14ac:dyDescent="0.2">
      <c r="A685" s="40"/>
      <c r="B685" s="40"/>
    </row>
    <row r="686" spans="1:2" x14ac:dyDescent="0.2">
      <c r="A686" s="40"/>
      <c r="B686" s="40"/>
    </row>
    <row r="687" spans="1:2" x14ac:dyDescent="0.2">
      <c r="A687" s="40"/>
      <c r="B687" s="40"/>
    </row>
    <row r="688" spans="1:2" x14ac:dyDescent="0.2">
      <c r="A688" s="40"/>
      <c r="B688" s="40"/>
    </row>
    <row r="689" spans="1:2" x14ac:dyDescent="0.2">
      <c r="A689" s="40"/>
      <c r="B689" s="40"/>
    </row>
    <row r="690" spans="1:2" x14ac:dyDescent="0.2">
      <c r="A690" s="40"/>
      <c r="B690" s="40"/>
    </row>
    <row r="691" spans="1:2" x14ac:dyDescent="0.2">
      <c r="A691" s="40"/>
      <c r="B691" s="40"/>
    </row>
    <row r="692" spans="1:2" x14ac:dyDescent="0.2">
      <c r="A692" s="40"/>
      <c r="B692" s="40"/>
    </row>
    <row r="693" spans="1:2" x14ac:dyDescent="0.2">
      <c r="A693" s="40"/>
      <c r="B693" s="40"/>
    </row>
    <row r="694" spans="1:2" x14ac:dyDescent="0.2">
      <c r="A694" s="40"/>
      <c r="B694" s="40"/>
    </row>
    <row r="695" spans="1:2" x14ac:dyDescent="0.2">
      <c r="A695" s="40"/>
      <c r="B695" s="40"/>
    </row>
    <row r="696" spans="1:2" x14ac:dyDescent="0.2">
      <c r="A696" s="40"/>
      <c r="B696" s="40"/>
    </row>
    <row r="697" spans="1:2" x14ac:dyDescent="0.2">
      <c r="A697" s="40"/>
      <c r="B697" s="40"/>
    </row>
    <row r="698" spans="1:2" x14ac:dyDescent="0.2">
      <c r="A698" s="40"/>
      <c r="B698" s="40"/>
    </row>
    <row r="699" spans="1:2" x14ac:dyDescent="0.2">
      <c r="A699" s="40"/>
      <c r="B699" s="40"/>
    </row>
    <row r="700" spans="1:2" x14ac:dyDescent="0.2">
      <c r="A700" s="40"/>
      <c r="B700" s="40"/>
    </row>
    <row r="701" spans="1:2" x14ac:dyDescent="0.2">
      <c r="A701" s="40"/>
      <c r="B701" s="40"/>
    </row>
    <row r="702" spans="1:2" x14ac:dyDescent="0.2">
      <c r="A702" s="40"/>
      <c r="B702" s="40"/>
    </row>
    <row r="703" spans="1:2" x14ac:dyDescent="0.2">
      <c r="A703" s="40"/>
      <c r="B703" s="40"/>
    </row>
    <row r="704" spans="1:2" x14ac:dyDescent="0.2">
      <c r="A704" s="40"/>
      <c r="B704" s="40"/>
    </row>
    <row r="705" spans="1:2" x14ac:dyDescent="0.2">
      <c r="A705" s="40"/>
      <c r="B705" s="40"/>
    </row>
    <row r="706" spans="1:2" x14ac:dyDescent="0.2">
      <c r="A706" s="40"/>
      <c r="B706" s="40"/>
    </row>
    <row r="707" spans="1:2" x14ac:dyDescent="0.2">
      <c r="A707" s="40"/>
      <c r="B707" s="40"/>
    </row>
    <row r="708" spans="1:2" x14ac:dyDescent="0.2">
      <c r="A708" s="40"/>
      <c r="B708" s="40"/>
    </row>
    <row r="709" spans="1:2" x14ac:dyDescent="0.2">
      <c r="A709" s="40"/>
      <c r="B709" s="40"/>
    </row>
    <row r="710" spans="1:2" x14ac:dyDescent="0.2">
      <c r="A710" s="40"/>
      <c r="B710" s="40"/>
    </row>
    <row r="711" spans="1:2" x14ac:dyDescent="0.2">
      <c r="A711" s="40"/>
      <c r="B711" s="40"/>
    </row>
    <row r="712" spans="1:2" x14ac:dyDescent="0.2">
      <c r="A712" s="40"/>
      <c r="B712" s="40"/>
    </row>
    <row r="713" spans="1:2" x14ac:dyDescent="0.2">
      <c r="A713" s="40"/>
      <c r="B713" s="40"/>
    </row>
    <row r="714" spans="1:2" x14ac:dyDescent="0.2">
      <c r="A714" s="40"/>
      <c r="B714" s="40"/>
    </row>
    <row r="715" spans="1:2" x14ac:dyDescent="0.2">
      <c r="A715" s="40"/>
      <c r="B715" s="40"/>
    </row>
    <row r="716" spans="1:2" x14ac:dyDescent="0.2">
      <c r="A716" s="40"/>
      <c r="B716" s="40"/>
    </row>
    <row r="717" spans="1:2" x14ac:dyDescent="0.2">
      <c r="A717" s="40"/>
      <c r="B717" s="40"/>
    </row>
    <row r="718" spans="1:2" x14ac:dyDescent="0.2">
      <c r="A718" s="40"/>
      <c r="B718" s="40"/>
    </row>
    <row r="719" spans="1:2" x14ac:dyDescent="0.2">
      <c r="A719" s="40"/>
      <c r="B719" s="40"/>
    </row>
    <row r="720" spans="1:2" x14ac:dyDescent="0.2">
      <c r="A720" s="40"/>
      <c r="B720" s="40"/>
    </row>
    <row r="721" spans="1:2" x14ac:dyDescent="0.2">
      <c r="A721" s="40"/>
      <c r="B721" s="40"/>
    </row>
    <row r="722" spans="1:2" x14ac:dyDescent="0.2">
      <c r="A722" s="40"/>
      <c r="B722" s="40"/>
    </row>
    <row r="723" spans="1:2" x14ac:dyDescent="0.2">
      <c r="A723" s="40"/>
      <c r="B723" s="40"/>
    </row>
    <row r="724" spans="1:2" x14ac:dyDescent="0.2">
      <c r="A724" s="40"/>
      <c r="B724" s="40"/>
    </row>
    <row r="725" spans="1:2" x14ac:dyDescent="0.2">
      <c r="A725" s="40"/>
      <c r="B725" s="40"/>
    </row>
    <row r="726" spans="1:2" x14ac:dyDescent="0.2">
      <c r="A726" s="40"/>
      <c r="B726" s="40"/>
    </row>
    <row r="727" spans="1:2" x14ac:dyDescent="0.2">
      <c r="A727" s="40"/>
      <c r="B727" s="40"/>
    </row>
    <row r="728" spans="1:2" x14ac:dyDescent="0.2">
      <c r="A728" s="40"/>
      <c r="B728" s="40"/>
    </row>
    <row r="729" spans="1:2" x14ac:dyDescent="0.2">
      <c r="A729" s="40"/>
      <c r="B729" s="40"/>
    </row>
    <row r="730" spans="1:2" x14ac:dyDescent="0.2">
      <c r="A730" s="40"/>
      <c r="B730" s="40"/>
    </row>
    <row r="731" spans="1:2" x14ac:dyDescent="0.2">
      <c r="A731" s="40"/>
      <c r="B731" s="40"/>
    </row>
    <row r="732" spans="1:2" x14ac:dyDescent="0.2">
      <c r="A732" s="40"/>
      <c r="B732" s="40"/>
    </row>
    <row r="733" spans="1:2" x14ac:dyDescent="0.2">
      <c r="A733" s="40"/>
      <c r="B733" s="40"/>
    </row>
    <row r="734" spans="1:2" x14ac:dyDescent="0.2">
      <c r="A734" s="40"/>
      <c r="B734" s="40"/>
    </row>
    <row r="735" spans="1:2" x14ac:dyDescent="0.2">
      <c r="A735" s="40"/>
      <c r="B735" s="40"/>
    </row>
    <row r="736" spans="1:2" x14ac:dyDescent="0.2">
      <c r="A736" s="40"/>
      <c r="B736" s="40"/>
    </row>
    <row r="737" spans="1:2" x14ac:dyDescent="0.2">
      <c r="A737" s="40"/>
      <c r="B737" s="40"/>
    </row>
    <row r="738" spans="1:2" x14ac:dyDescent="0.2">
      <c r="A738" s="40"/>
      <c r="B738" s="40"/>
    </row>
    <row r="739" spans="1:2" x14ac:dyDescent="0.2">
      <c r="A739" s="40"/>
      <c r="B739" s="40"/>
    </row>
    <row r="740" spans="1:2" x14ac:dyDescent="0.2">
      <c r="A740" s="40"/>
      <c r="B740" s="40"/>
    </row>
    <row r="741" spans="1:2" x14ac:dyDescent="0.2">
      <c r="A741" s="40"/>
      <c r="B741" s="40"/>
    </row>
    <row r="742" spans="1:2" x14ac:dyDescent="0.2">
      <c r="A742" s="40"/>
      <c r="B742" s="40"/>
    </row>
    <row r="743" spans="1:2" x14ac:dyDescent="0.2">
      <c r="A743" s="40"/>
      <c r="B743" s="40"/>
    </row>
    <row r="744" spans="1:2" x14ac:dyDescent="0.2">
      <c r="A744" s="40"/>
      <c r="B744" s="40"/>
    </row>
    <row r="745" spans="1:2" x14ac:dyDescent="0.2">
      <c r="A745" s="40"/>
      <c r="B745" s="40"/>
    </row>
    <row r="746" spans="1:2" x14ac:dyDescent="0.2">
      <c r="A746" s="40"/>
      <c r="B746" s="40"/>
    </row>
    <row r="747" spans="1:2" x14ac:dyDescent="0.2">
      <c r="A747" s="40"/>
      <c r="B747" s="40"/>
    </row>
    <row r="748" spans="1:2" x14ac:dyDescent="0.2">
      <c r="A748" s="40"/>
      <c r="B748" s="40"/>
    </row>
    <row r="749" spans="1:2" x14ac:dyDescent="0.2">
      <c r="A749" s="40"/>
      <c r="B749" s="40"/>
    </row>
    <row r="750" spans="1:2" x14ac:dyDescent="0.2">
      <c r="A750" s="40"/>
      <c r="B750" s="40"/>
    </row>
    <row r="751" spans="1:2" x14ac:dyDescent="0.2">
      <c r="A751" s="40"/>
      <c r="B751" s="40"/>
    </row>
    <row r="752" spans="1:2" x14ac:dyDescent="0.2">
      <c r="A752" s="40"/>
      <c r="B752" s="40"/>
    </row>
    <row r="753" spans="1:2" x14ac:dyDescent="0.2">
      <c r="A753" s="40"/>
      <c r="B753" s="40"/>
    </row>
    <row r="754" spans="1:2" x14ac:dyDescent="0.2">
      <c r="A754" s="40"/>
      <c r="B754" s="40"/>
    </row>
    <row r="755" spans="1:2" x14ac:dyDescent="0.2">
      <c r="A755" s="40"/>
      <c r="B755" s="40"/>
    </row>
    <row r="756" spans="1:2" x14ac:dyDescent="0.2">
      <c r="A756" s="40"/>
      <c r="B756" s="40"/>
    </row>
    <row r="757" spans="1:2" x14ac:dyDescent="0.2">
      <c r="A757" s="40"/>
      <c r="B757" s="40"/>
    </row>
    <row r="758" spans="1:2" x14ac:dyDescent="0.2">
      <c r="A758" s="40"/>
      <c r="B758" s="40"/>
    </row>
    <row r="759" spans="1:2" x14ac:dyDescent="0.2">
      <c r="A759" s="40"/>
      <c r="B759" s="40"/>
    </row>
    <row r="760" spans="1:2" x14ac:dyDescent="0.2">
      <c r="A760" s="40"/>
      <c r="B760" s="40"/>
    </row>
    <row r="761" spans="1:2" x14ac:dyDescent="0.2">
      <c r="A761" s="40"/>
      <c r="B761" s="40"/>
    </row>
    <row r="762" spans="1:2" x14ac:dyDescent="0.2">
      <c r="A762" s="40"/>
      <c r="B762" s="40"/>
    </row>
    <row r="763" spans="1:2" x14ac:dyDescent="0.2">
      <c r="A763" s="40"/>
      <c r="B763" s="40"/>
    </row>
    <row r="764" spans="1:2" x14ac:dyDescent="0.2">
      <c r="A764" s="40"/>
      <c r="B764" s="40"/>
    </row>
    <row r="765" spans="1:2" x14ac:dyDescent="0.2">
      <c r="A765" s="40"/>
      <c r="B765" s="40"/>
    </row>
    <row r="766" spans="1:2" x14ac:dyDescent="0.2">
      <c r="A766" s="40"/>
      <c r="B766" s="40"/>
    </row>
    <row r="767" spans="1:2" x14ac:dyDescent="0.2">
      <c r="A767" s="40"/>
      <c r="B767" s="40"/>
    </row>
    <row r="768" spans="1:2" x14ac:dyDescent="0.2">
      <c r="A768" s="40"/>
      <c r="B768" s="40"/>
    </row>
    <row r="769" spans="1:2" x14ac:dyDescent="0.2">
      <c r="A769" s="40"/>
      <c r="B769" s="40"/>
    </row>
    <row r="770" spans="1:2" x14ac:dyDescent="0.2">
      <c r="A770" s="40"/>
      <c r="B770" s="40"/>
    </row>
    <row r="771" spans="1:2" x14ac:dyDescent="0.2">
      <c r="A771" s="40"/>
      <c r="B771" s="40"/>
    </row>
    <row r="772" spans="1:2" x14ac:dyDescent="0.2">
      <c r="A772" s="40"/>
      <c r="B772" s="40"/>
    </row>
    <row r="773" spans="1:2" x14ac:dyDescent="0.2">
      <c r="A773" s="40"/>
      <c r="B773" s="40"/>
    </row>
    <row r="774" spans="1:2" x14ac:dyDescent="0.2">
      <c r="A774" s="40"/>
      <c r="B774" s="40"/>
    </row>
    <row r="775" spans="1:2" x14ac:dyDescent="0.2">
      <c r="A775" s="40"/>
      <c r="B775" s="40"/>
    </row>
    <row r="776" spans="1:2" x14ac:dyDescent="0.2">
      <c r="A776" s="40"/>
      <c r="B776" s="40"/>
    </row>
    <row r="777" spans="1:2" x14ac:dyDescent="0.2">
      <c r="A777" s="40"/>
      <c r="B777" s="40"/>
    </row>
    <row r="778" spans="1:2" x14ac:dyDescent="0.2">
      <c r="A778" s="40"/>
      <c r="B778" s="40"/>
    </row>
    <row r="779" spans="1:2" x14ac:dyDescent="0.2">
      <c r="A779" s="40"/>
      <c r="B779" s="40"/>
    </row>
    <row r="780" spans="1:2" x14ac:dyDescent="0.2">
      <c r="A780" s="40"/>
      <c r="B780" s="40"/>
    </row>
    <row r="781" spans="1:2" x14ac:dyDescent="0.2">
      <c r="A781" s="40"/>
      <c r="B781" s="40"/>
    </row>
    <row r="782" spans="1:2" x14ac:dyDescent="0.2">
      <c r="A782" s="40"/>
      <c r="B782" s="40"/>
    </row>
    <row r="783" spans="1:2" x14ac:dyDescent="0.2">
      <c r="A783" s="40"/>
      <c r="B783" s="40"/>
    </row>
    <row r="784" spans="1:2" x14ac:dyDescent="0.2">
      <c r="A784" s="40"/>
      <c r="B784" s="40"/>
    </row>
    <row r="785" spans="1:2" x14ac:dyDescent="0.2">
      <c r="A785" s="40"/>
      <c r="B785" s="40"/>
    </row>
    <row r="786" spans="1:2" x14ac:dyDescent="0.2">
      <c r="A786" s="40"/>
      <c r="B786" s="40"/>
    </row>
    <row r="787" spans="1:2" x14ac:dyDescent="0.2">
      <c r="A787" s="40"/>
      <c r="B787" s="40"/>
    </row>
    <row r="788" spans="1:2" x14ac:dyDescent="0.2">
      <c r="A788" s="40"/>
      <c r="B788" s="40"/>
    </row>
    <row r="789" spans="1:2" x14ac:dyDescent="0.2">
      <c r="A789" s="40"/>
      <c r="B789" s="40"/>
    </row>
    <row r="790" spans="1:2" x14ac:dyDescent="0.2">
      <c r="A790" s="40"/>
      <c r="B790" s="40"/>
    </row>
    <row r="791" spans="1:2" x14ac:dyDescent="0.2">
      <c r="A791" s="40"/>
      <c r="B791" s="40"/>
    </row>
    <row r="792" spans="1:2" x14ac:dyDescent="0.2">
      <c r="A792" s="40"/>
      <c r="B792" s="40"/>
    </row>
    <row r="793" spans="1:2" x14ac:dyDescent="0.2">
      <c r="A793" s="40"/>
      <c r="B793" s="40"/>
    </row>
    <row r="794" spans="1:2" x14ac:dyDescent="0.2">
      <c r="A794" s="40"/>
      <c r="B794" s="40"/>
    </row>
    <row r="795" spans="1:2" x14ac:dyDescent="0.2">
      <c r="A795" s="40"/>
      <c r="B795" s="40"/>
    </row>
    <row r="796" spans="1:2" x14ac:dyDescent="0.2">
      <c r="A796" s="40"/>
      <c r="B796" s="40"/>
    </row>
    <row r="797" spans="1:2" x14ac:dyDescent="0.2">
      <c r="A797" s="40"/>
      <c r="B797" s="40"/>
    </row>
    <row r="798" spans="1:2" x14ac:dyDescent="0.2">
      <c r="A798" s="40"/>
      <c r="B798" s="40"/>
    </row>
    <row r="799" spans="1:2" x14ac:dyDescent="0.2">
      <c r="A799" s="40"/>
      <c r="B799" s="40"/>
    </row>
    <row r="800" spans="1:2" x14ac:dyDescent="0.2">
      <c r="A800" s="40"/>
      <c r="B800" s="40"/>
    </row>
    <row r="801" spans="1:2" x14ac:dyDescent="0.2">
      <c r="A801" s="40"/>
      <c r="B801" s="40"/>
    </row>
    <row r="802" spans="1:2" x14ac:dyDescent="0.2">
      <c r="A802" s="40"/>
      <c r="B802" s="40"/>
    </row>
    <row r="803" spans="1:2" x14ac:dyDescent="0.2">
      <c r="A803" s="40"/>
      <c r="B803" s="40"/>
    </row>
    <row r="804" spans="1:2" x14ac:dyDescent="0.2">
      <c r="A804" s="40"/>
      <c r="B804" s="40"/>
    </row>
    <row r="805" spans="1:2" x14ac:dyDescent="0.2">
      <c r="A805" s="40"/>
      <c r="B805" s="40"/>
    </row>
    <row r="806" spans="1:2" x14ac:dyDescent="0.2">
      <c r="A806" s="40"/>
      <c r="B806" s="40"/>
    </row>
    <row r="807" spans="1:2" x14ac:dyDescent="0.2">
      <c r="A807" s="40"/>
      <c r="B807" s="40"/>
    </row>
    <row r="808" spans="1:2" x14ac:dyDescent="0.2">
      <c r="A808" s="40"/>
      <c r="B808" s="40"/>
    </row>
    <row r="809" spans="1:2" x14ac:dyDescent="0.2">
      <c r="A809" s="40"/>
      <c r="B809" s="40"/>
    </row>
    <row r="810" spans="1:2" x14ac:dyDescent="0.2">
      <c r="A810" s="40"/>
      <c r="B810" s="40"/>
    </row>
    <row r="811" spans="1:2" x14ac:dyDescent="0.2">
      <c r="A811" s="40"/>
      <c r="B811" s="40"/>
    </row>
    <row r="812" spans="1:2" x14ac:dyDescent="0.2">
      <c r="A812" s="40"/>
      <c r="B812" s="40"/>
    </row>
    <row r="813" spans="1:2" x14ac:dyDescent="0.2">
      <c r="A813" s="40"/>
      <c r="B813" s="40"/>
    </row>
    <row r="814" spans="1:2" x14ac:dyDescent="0.2">
      <c r="A814" s="40"/>
      <c r="B814" s="40"/>
    </row>
    <row r="815" spans="1:2" x14ac:dyDescent="0.2">
      <c r="A815" s="40"/>
      <c r="B815" s="40"/>
    </row>
    <row r="816" spans="1:2" x14ac:dyDescent="0.2">
      <c r="A816" s="40"/>
      <c r="B816" s="40"/>
    </row>
    <row r="817" spans="1:2" x14ac:dyDescent="0.2">
      <c r="A817" s="40"/>
      <c r="B817" s="40"/>
    </row>
    <row r="818" spans="1:2" x14ac:dyDescent="0.2">
      <c r="A818" s="40"/>
      <c r="B818" s="40"/>
    </row>
    <row r="819" spans="1:2" x14ac:dyDescent="0.2">
      <c r="A819" s="40"/>
      <c r="B819" s="40"/>
    </row>
    <row r="820" spans="1:2" x14ac:dyDescent="0.2">
      <c r="A820" s="40"/>
      <c r="B820" s="40"/>
    </row>
    <row r="821" spans="1:2" x14ac:dyDescent="0.2">
      <c r="A821" s="40"/>
      <c r="B821" s="40"/>
    </row>
    <row r="822" spans="1:2" x14ac:dyDescent="0.2">
      <c r="A822" s="40"/>
      <c r="B822" s="40"/>
    </row>
    <row r="823" spans="1:2" x14ac:dyDescent="0.2">
      <c r="A823" s="40"/>
      <c r="B823" s="40"/>
    </row>
    <row r="824" spans="1:2" x14ac:dyDescent="0.2">
      <c r="A824" s="40"/>
      <c r="B824" s="40"/>
    </row>
    <row r="825" spans="1:2" x14ac:dyDescent="0.2">
      <c r="A825" s="40"/>
      <c r="B825" s="40"/>
    </row>
    <row r="826" spans="1:2" x14ac:dyDescent="0.2">
      <c r="A826" s="40"/>
      <c r="B826" s="40"/>
    </row>
    <row r="827" spans="1:2" x14ac:dyDescent="0.2">
      <c r="A827" s="40"/>
      <c r="B827" s="40"/>
    </row>
    <row r="828" spans="1:2" x14ac:dyDescent="0.2">
      <c r="A828" s="40"/>
      <c r="B828" s="40"/>
    </row>
    <row r="829" spans="1:2" x14ac:dyDescent="0.2">
      <c r="A829" s="40"/>
      <c r="B829" s="40"/>
    </row>
    <row r="830" spans="1:2" x14ac:dyDescent="0.2">
      <c r="A830" s="40"/>
      <c r="B830" s="40"/>
    </row>
    <row r="831" spans="1:2" x14ac:dyDescent="0.2">
      <c r="A831" s="40"/>
      <c r="B831" s="40"/>
    </row>
    <row r="832" spans="1:2" x14ac:dyDescent="0.2">
      <c r="A832" s="40"/>
      <c r="B832" s="40"/>
    </row>
    <row r="833" spans="1:2" x14ac:dyDescent="0.2">
      <c r="A833" s="40"/>
      <c r="B833" s="40"/>
    </row>
    <row r="834" spans="1:2" x14ac:dyDescent="0.2">
      <c r="A834" s="40"/>
      <c r="B834" s="40"/>
    </row>
    <row r="835" spans="1:2" x14ac:dyDescent="0.2">
      <c r="A835" s="40"/>
      <c r="B835" s="40"/>
    </row>
    <row r="836" spans="1:2" x14ac:dyDescent="0.2">
      <c r="A836" s="40"/>
      <c r="B836" s="40"/>
    </row>
    <row r="837" spans="1:2" x14ac:dyDescent="0.2">
      <c r="A837" s="40"/>
      <c r="B837" s="40"/>
    </row>
    <row r="838" spans="1:2" x14ac:dyDescent="0.2">
      <c r="A838" s="40"/>
      <c r="B838" s="40"/>
    </row>
    <row r="839" spans="1:2" x14ac:dyDescent="0.2">
      <c r="A839" s="40"/>
      <c r="B839" s="40"/>
    </row>
    <row r="840" spans="1:2" x14ac:dyDescent="0.2">
      <c r="A840" s="40"/>
      <c r="B840" s="40"/>
    </row>
    <row r="841" spans="1:2" x14ac:dyDescent="0.2">
      <c r="A841" s="40"/>
      <c r="B841" s="40"/>
    </row>
    <row r="842" spans="1:2" x14ac:dyDescent="0.2">
      <c r="A842" s="40"/>
      <c r="B842" s="40"/>
    </row>
    <row r="843" spans="1:2" x14ac:dyDescent="0.2">
      <c r="A843" s="40"/>
      <c r="B843" s="40"/>
    </row>
    <row r="844" spans="1:2" x14ac:dyDescent="0.2">
      <c r="A844" s="40"/>
      <c r="B844" s="40"/>
    </row>
    <row r="845" spans="1:2" x14ac:dyDescent="0.2">
      <c r="A845" s="40"/>
      <c r="B845" s="40"/>
    </row>
    <row r="846" spans="1:2" x14ac:dyDescent="0.2">
      <c r="A846" s="40"/>
      <c r="B846" s="40"/>
    </row>
    <row r="847" spans="1:2" x14ac:dyDescent="0.2">
      <c r="A847" s="40"/>
      <c r="B847" s="40"/>
    </row>
    <row r="848" spans="1:2" x14ac:dyDescent="0.2">
      <c r="A848" s="40"/>
      <c r="B848" s="40"/>
    </row>
    <row r="849" spans="1:2" x14ac:dyDescent="0.2">
      <c r="A849" s="40"/>
      <c r="B849" s="40"/>
    </row>
    <row r="850" spans="1:2" x14ac:dyDescent="0.2">
      <c r="A850" s="40"/>
      <c r="B850" s="40"/>
    </row>
    <row r="851" spans="1:2" x14ac:dyDescent="0.2">
      <c r="A851" s="40"/>
      <c r="B851" s="40"/>
    </row>
    <row r="852" spans="1:2" x14ac:dyDescent="0.2">
      <c r="A852" s="40"/>
      <c r="B852" s="40"/>
    </row>
    <row r="853" spans="1:2" x14ac:dyDescent="0.2">
      <c r="A853" s="40"/>
      <c r="B853" s="40"/>
    </row>
    <row r="854" spans="1:2" x14ac:dyDescent="0.2">
      <c r="A854" s="40"/>
      <c r="B854" s="40"/>
    </row>
    <row r="855" spans="1:2" x14ac:dyDescent="0.2">
      <c r="A855" s="40"/>
      <c r="B855" s="40"/>
    </row>
    <row r="856" spans="1:2" x14ac:dyDescent="0.2">
      <c r="A856" s="40"/>
      <c r="B856" s="40"/>
    </row>
    <row r="857" spans="1:2" x14ac:dyDescent="0.2">
      <c r="A857" s="40"/>
      <c r="B857" s="40"/>
    </row>
    <row r="858" spans="1:2" x14ac:dyDescent="0.2">
      <c r="A858" s="40"/>
      <c r="B858" s="40"/>
    </row>
    <row r="859" spans="1:2" x14ac:dyDescent="0.2">
      <c r="A859" s="40"/>
      <c r="B859" s="40"/>
    </row>
    <row r="860" spans="1:2" x14ac:dyDescent="0.2">
      <c r="A860" s="40"/>
      <c r="B860" s="40"/>
    </row>
    <row r="861" spans="1:2" x14ac:dyDescent="0.2">
      <c r="A861" s="40"/>
      <c r="B861" s="40"/>
    </row>
    <row r="862" spans="1:2" x14ac:dyDescent="0.2">
      <c r="A862" s="40"/>
      <c r="B862" s="40"/>
    </row>
    <row r="863" spans="1:2" x14ac:dyDescent="0.2">
      <c r="A863" s="40"/>
      <c r="B863" s="40"/>
    </row>
    <row r="864" spans="1:2" x14ac:dyDescent="0.2">
      <c r="A864" s="40"/>
      <c r="B864" s="40"/>
    </row>
    <row r="865" spans="1:2" x14ac:dyDescent="0.2">
      <c r="A865" s="40"/>
      <c r="B865" s="40"/>
    </row>
    <row r="866" spans="1:2" x14ac:dyDescent="0.2">
      <c r="A866" s="40"/>
      <c r="B866" s="40"/>
    </row>
    <row r="867" spans="1:2" x14ac:dyDescent="0.2">
      <c r="A867" s="40"/>
      <c r="B867" s="40"/>
    </row>
    <row r="868" spans="1:2" x14ac:dyDescent="0.2">
      <c r="A868" s="40"/>
      <c r="B868" s="40"/>
    </row>
    <row r="869" spans="1:2" x14ac:dyDescent="0.2">
      <c r="A869" s="40"/>
      <c r="B869" s="40"/>
    </row>
    <row r="870" spans="1:2" x14ac:dyDescent="0.2">
      <c r="A870" s="40"/>
      <c r="B870" s="40"/>
    </row>
    <row r="871" spans="1:2" x14ac:dyDescent="0.2">
      <c r="A871" s="40"/>
      <c r="B871" s="40"/>
    </row>
    <row r="872" spans="1:2" x14ac:dyDescent="0.2">
      <c r="A872" s="40"/>
      <c r="B872" s="40"/>
    </row>
    <row r="873" spans="1:2" x14ac:dyDescent="0.2">
      <c r="A873" s="40"/>
      <c r="B873" s="40"/>
    </row>
    <row r="874" spans="1:2" x14ac:dyDescent="0.2">
      <c r="A874" s="40"/>
      <c r="B874" s="40"/>
    </row>
    <row r="875" spans="1:2" x14ac:dyDescent="0.2">
      <c r="A875" s="40"/>
      <c r="B875" s="40"/>
    </row>
    <row r="876" spans="1:2" x14ac:dyDescent="0.2">
      <c r="A876" s="40"/>
      <c r="B876" s="40"/>
    </row>
    <row r="877" spans="1:2" x14ac:dyDescent="0.2">
      <c r="A877" s="40"/>
      <c r="B877" s="40"/>
    </row>
    <row r="878" spans="1:2" x14ac:dyDescent="0.2">
      <c r="A878" s="40"/>
      <c r="B878" s="40"/>
    </row>
    <row r="879" spans="1:2" x14ac:dyDescent="0.2">
      <c r="A879" s="40"/>
      <c r="B879" s="40"/>
    </row>
    <row r="880" spans="1:2" x14ac:dyDescent="0.2">
      <c r="A880" s="40"/>
      <c r="B880" s="40"/>
    </row>
    <row r="881" spans="1:2" x14ac:dyDescent="0.2">
      <c r="A881" s="40"/>
      <c r="B881" s="40"/>
    </row>
    <row r="882" spans="1:2" x14ac:dyDescent="0.2">
      <c r="A882" s="40"/>
      <c r="B882" s="40"/>
    </row>
    <row r="883" spans="1:2" x14ac:dyDescent="0.2">
      <c r="A883" s="40"/>
      <c r="B883" s="40"/>
    </row>
    <row r="884" spans="1:2" x14ac:dyDescent="0.2">
      <c r="A884" s="40"/>
      <c r="B884" s="40"/>
    </row>
    <row r="885" spans="1:2" x14ac:dyDescent="0.2">
      <c r="A885" s="40"/>
      <c r="B885" s="40"/>
    </row>
    <row r="886" spans="1:2" x14ac:dyDescent="0.2">
      <c r="A886" s="40"/>
      <c r="B886" s="40"/>
    </row>
    <row r="887" spans="1:2" x14ac:dyDescent="0.2">
      <c r="A887" s="40"/>
      <c r="B887" s="40"/>
    </row>
    <row r="888" spans="1:2" x14ac:dyDescent="0.2">
      <c r="A888" s="40"/>
      <c r="B888" s="40"/>
    </row>
    <row r="889" spans="1:2" x14ac:dyDescent="0.2">
      <c r="A889" s="40"/>
      <c r="B889" s="40"/>
    </row>
    <row r="890" spans="1:2" x14ac:dyDescent="0.2">
      <c r="A890" s="40"/>
      <c r="B890" s="40"/>
    </row>
    <row r="891" spans="1:2" x14ac:dyDescent="0.2">
      <c r="A891" s="40"/>
      <c r="B891" s="40"/>
    </row>
    <row r="892" spans="1:2" x14ac:dyDescent="0.2">
      <c r="A892" s="40"/>
      <c r="B892" s="40"/>
    </row>
    <row r="893" spans="1:2" x14ac:dyDescent="0.2">
      <c r="A893" s="40"/>
      <c r="B893" s="40"/>
    </row>
    <row r="894" spans="1:2" x14ac:dyDescent="0.2">
      <c r="A894" s="40"/>
      <c r="B894" s="40"/>
    </row>
    <row r="895" spans="1:2" x14ac:dyDescent="0.2">
      <c r="A895" s="40"/>
      <c r="B895" s="40"/>
    </row>
    <row r="896" spans="1:2" x14ac:dyDescent="0.2">
      <c r="A896" s="40"/>
      <c r="B896" s="40"/>
    </row>
    <row r="897" spans="1:2" x14ac:dyDescent="0.2">
      <c r="A897" s="40"/>
      <c r="B897" s="40"/>
    </row>
    <row r="898" spans="1:2" x14ac:dyDescent="0.2">
      <c r="A898" s="40"/>
      <c r="B898" s="40"/>
    </row>
    <row r="899" spans="1:2" x14ac:dyDescent="0.2">
      <c r="A899" s="40"/>
      <c r="B899" s="40"/>
    </row>
    <row r="900" spans="1:2" x14ac:dyDescent="0.2">
      <c r="A900" s="40"/>
      <c r="B900" s="40"/>
    </row>
    <row r="901" spans="1:2" x14ac:dyDescent="0.2">
      <c r="A901" s="40"/>
      <c r="B901" s="40"/>
    </row>
    <row r="902" spans="1:2" x14ac:dyDescent="0.2">
      <c r="A902" s="40"/>
      <c r="B902" s="40"/>
    </row>
    <row r="903" spans="1:2" x14ac:dyDescent="0.2">
      <c r="A903" s="40"/>
      <c r="B903" s="40"/>
    </row>
    <row r="904" spans="1:2" x14ac:dyDescent="0.2">
      <c r="A904" s="40"/>
      <c r="B904" s="40"/>
    </row>
    <row r="905" spans="1:2" x14ac:dyDescent="0.2">
      <c r="A905" s="40"/>
      <c r="B905" s="40"/>
    </row>
    <row r="906" spans="1:2" x14ac:dyDescent="0.2">
      <c r="A906" s="40"/>
      <c r="B906" s="40"/>
    </row>
    <row r="907" spans="1:2" x14ac:dyDescent="0.2">
      <c r="A907" s="40"/>
      <c r="B907" s="40"/>
    </row>
    <row r="908" spans="1:2" x14ac:dyDescent="0.2">
      <c r="A908" s="40"/>
      <c r="B908" s="40"/>
    </row>
    <row r="909" spans="1:2" x14ac:dyDescent="0.2">
      <c r="A909" s="40"/>
      <c r="B909" s="40"/>
    </row>
    <row r="910" spans="1:2" x14ac:dyDescent="0.2">
      <c r="A910" s="40"/>
      <c r="B910" s="40"/>
    </row>
    <row r="911" spans="1:2" x14ac:dyDescent="0.2">
      <c r="A911" s="40"/>
      <c r="B911" s="40"/>
    </row>
    <row r="912" spans="1:2" x14ac:dyDescent="0.2">
      <c r="A912" s="40"/>
      <c r="B912" s="40"/>
    </row>
    <row r="913" spans="1:2" x14ac:dyDescent="0.2">
      <c r="A913" s="40"/>
      <c r="B913" s="40"/>
    </row>
    <row r="914" spans="1:2" x14ac:dyDescent="0.2">
      <c r="A914" s="40"/>
      <c r="B914" s="40"/>
    </row>
    <row r="915" spans="1:2" x14ac:dyDescent="0.2">
      <c r="A915" s="40"/>
      <c r="B915" s="40"/>
    </row>
    <row r="916" spans="1:2" x14ac:dyDescent="0.2">
      <c r="A916" s="40"/>
      <c r="B916" s="40"/>
    </row>
    <row r="917" spans="1:2" x14ac:dyDescent="0.2">
      <c r="A917" s="40"/>
      <c r="B917" s="40"/>
    </row>
    <row r="918" spans="1:2" x14ac:dyDescent="0.2">
      <c r="A918" s="40"/>
      <c r="B918" s="40"/>
    </row>
    <row r="919" spans="1:2" x14ac:dyDescent="0.2">
      <c r="A919" s="40"/>
      <c r="B919" s="40"/>
    </row>
    <row r="920" spans="1:2" x14ac:dyDescent="0.2">
      <c r="A920" s="40"/>
      <c r="B920" s="40"/>
    </row>
    <row r="921" spans="1:2" x14ac:dyDescent="0.2">
      <c r="A921" s="40"/>
      <c r="B921" s="40"/>
    </row>
    <row r="922" spans="1:2" x14ac:dyDescent="0.2">
      <c r="A922" s="40"/>
      <c r="B922" s="40"/>
    </row>
    <row r="923" spans="1:2" x14ac:dyDescent="0.2">
      <c r="A923" s="40"/>
      <c r="B923" s="40"/>
    </row>
    <row r="924" spans="1:2" x14ac:dyDescent="0.2">
      <c r="A924" s="40"/>
      <c r="B924" s="40"/>
    </row>
    <row r="925" spans="1:2" x14ac:dyDescent="0.2">
      <c r="A925" s="40"/>
      <c r="B925" s="40"/>
    </row>
    <row r="926" spans="1:2" x14ac:dyDescent="0.2">
      <c r="A926" s="40"/>
      <c r="B926" s="40"/>
    </row>
    <row r="927" spans="1:2" x14ac:dyDescent="0.2">
      <c r="A927" s="40"/>
      <c r="B927" s="40"/>
    </row>
    <row r="928" spans="1:2" x14ac:dyDescent="0.2">
      <c r="A928" s="40"/>
      <c r="B928" s="40"/>
    </row>
    <row r="929" spans="1:2" x14ac:dyDescent="0.2">
      <c r="A929" s="40"/>
      <c r="B929" s="40"/>
    </row>
    <row r="930" spans="1:2" x14ac:dyDescent="0.2">
      <c r="A930" s="40"/>
      <c r="B930" s="40"/>
    </row>
    <row r="931" spans="1:2" x14ac:dyDescent="0.2">
      <c r="A931" s="40"/>
      <c r="B931" s="40"/>
    </row>
    <row r="932" spans="1:2" x14ac:dyDescent="0.2">
      <c r="A932" s="40"/>
      <c r="B932" s="40"/>
    </row>
    <row r="933" spans="1:2" x14ac:dyDescent="0.2">
      <c r="A933" s="40"/>
      <c r="B933" s="40"/>
    </row>
    <row r="934" spans="1:2" x14ac:dyDescent="0.2">
      <c r="A934" s="40"/>
      <c r="B934" s="40"/>
    </row>
    <row r="935" spans="1:2" x14ac:dyDescent="0.2">
      <c r="A935" s="40"/>
      <c r="B935" s="40"/>
    </row>
    <row r="936" spans="1:2" x14ac:dyDescent="0.2">
      <c r="A936" s="40"/>
      <c r="B936" s="40"/>
    </row>
    <row r="937" spans="1:2" x14ac:dyDescent="0.2">
      <c r="A937" s="40"/>
      <c r="B937" s="40"/>
    </row>
    <row r="938" spans="1:2" x14ac:dyDescent="0.2">
      <c r="A938" s="40"/>
      <c r="B938" s="40"/>
    </row>
    <row r="939" spans="1:2" x14ac:dyDescent="0.2">
      <c r="A939" s="40"/>
      <c r="B939" s="40"/>
    </row>
    <row r="940" spans="1:2" x14ac:dyDescent="0.2">
      <c r="A940" s="40"/>
      <c r="B940" s="40"/>
    </row>
    <row r="941" spans="1:2" x14ac:dyDescent="0.2">
      <c r="A941" s="40"/>
      <c r="B941" s="40"/>
    </row>
    <row r="942" spans="1:2" x14ac:dyDescent="0.2">
      <c r="A942" s="40"/>
      <c r="B942" s="40"/>
    </row>
    <row r="943" spans="1:2" x14ac:dyDescent="0.2">
      <c r="A943" s="40"/>
      <c r="B943" s="40"/>
    </row>
    <row r="944" spans="1:2" x14ac:dyDescent="0.2">
      <c r="A944" s="40"/>
      <c r="B944" s="40"/>
    </row>
    <row r="945" spans="1:2" x14ac:dyDescent="0.2">
      <c r="A945" s="40"/>
      <c r="B945" s="40"/>
    </row>
    <row r="946" spans="1:2" x14ac:dyDescent="0.2">
      <c r="A946" s="40"/>
      <c r="B946" s="40"/>
    </row>
    <row r="947" spans="1:2" x14ac:dyDescent="0.2">
      <c r="A947" s="40"/>
      <c r="B947" s="40"/>
    </row>
    <row r="948" spans="1:2" x14ac:dyDescent="0.2">
      <c r="A948" s="40"/>
      <c r="B948" s="40"/>
    </row>
    <row r="949" spans="1:2" x14ac:dyDescent="0.2">
      <c r="A949" s="40"/>
      <c r="B949" s="40"/>
    </row>
    <row r="950" spans="1:2" x14ac:dyDescent="0.2">
      <c r="A950" s="40"/>
      <c r="B950" s="40"/>
    </row>
    <row r="951" spans="1:2" x14ac:dyDescent="0.2">
      <c r="A951" s="40"/>
      <c r="B951" s="40"/>
    </row>
    <row r="952" spans="1:2" x14ac:dyDescent="0.2">
      <c r="A952" s="40"/>
      <c r="B952" s="40"/>
    </row>
    <row r="953" spans="1:2" x14ac:dyDescent="0.2">
      <c r="A953" s="40"/>
      <c r="B953" s="40"/>
    </row>
    <row r="954" spans="1:2" x14ac:dyDescent="0.2">
      <c r="A954" s="40"/>
      <c r="B954" s="40"/>
    </row>
    <row r="955" spans="1:2" x14ac:dyDescent="0.2">
      <c r="A955" s="40"/>
      <c r="B955" s="40"/>
    </row>
    <row r="956" spans="1:2" x14ac:dyDescent="0.2">
      <c r="A956" s="40"/>
      <c r="B956" s="40"/>
    </row>
    <row r="957" spans="1:2" x14ac:dyDescent="0.2">
      <c r="A957" s="40"/>
      <c r="B957" s="40"/>
    </row>
    <row r="958" spans="1:2" x14ac:dyDescent="0.2">
      <c r="A958" s="40"/>
      <c r="B958" s="40"/>
    </row>
    <row r="959" spans="1:2" x14ac:dyDescent="0.2">
      <c r="A959" s="40"/>
      <c r="B959" s="40"/>
    </row>
    <row r="960" spans="1:2" x14ac:dyDescent="0.2">
      <c r="A960" s="40"/>
      <c r="B960" s="40"/>
    </row>
    <row r="961" spans="1:2" x14ac:dyDescent="0.2">
      <c r="A961" s="40"/>
      <c r="B961" s="40"/>
    </row>
    <row r="962" spans="1:2" x14ac:dyDescent="0.2">
      <c r="A962" s="40"/>
      <c r="B962" s="40"/>
    </row>
    <row r="963" spans="1:2" x14ac:dyDescent="0.2">
      <c r="A963" s="40"/>
      <c r="B963" s="40"/>
    </row>
    <row r="964" spans="1:2" x14ac:dyDescent="0.2">
      <c r="A964" s="40"/>
      <c r="B964" s="40"/>
    </row>
    <row r="965" spans="1:2" x14ac:dyDescent="0.2">
      <c r="A965" s="40"/>
      <c r="B965" s="40"/>
    </row>
    <row r="966" spans="1:2" x14ac:dyDescent="0.2">
      <c r="A966" s="40"/>
      <c r="B966" s="40"/>
    </row>
    <row r="967" spans="1:2" x14ac:dyDescent="0.2">
      <c r="A967" s="40"/>
      <c r="B967" s="40"/>
    </row>
    <row r="968" spans="1:2" x14ac:dyDescent="0.2">
      <c r="A968" s="40"/>
      <c r="B968" s="40"/>
    </row>
    <row r="969" spans="1:2" x14ac:dyDescent="0.2">
      <c r="A969" s="40"/>
      <c r="B969" s="40"/>
    </row>
    <row r="970" spans="1:2" x14ac:dyDescent="0.2">
      <c r="A970" s="40"/>
      <c r="B970" s="40"/>
    </row>
    <row r="971" spans="1:2" x14ac:dyDescent="0.2">
      <c r="A971" s="40"/>
      <c r="B971" s="40"/>
    </row>
    <row r="972" spans="1:2" x14ac:dyDescent="0.2">
      <c r="A972" s="40"/>
      <c r="B972" s="40"/>
    </row>
    <row r="973" spans="1:2" x14ac:dyDescent="0.2">
      <c r="A973" s="40"/>
      <c r="B973" s="40"/>
    </row>
    <row r="974" spans="1:2" x14ac:dyDescent="0.2">
      <c r="A974" s="40"/>
      <c r="B974" s="40"/>
    </row>
    <row r="975" spans="1:2" x14ac:dyDescent="0.2">
      <c r="A975" s="40"/>
      <c r="B975" s="40"/>
    </row>
    <row r="976" spans="1:2" x14ac:dyDescent="0.2">
      <c r="A976" s="40"/>
      <c r="B976" s="40"/>
    </row>
    <row r="977" spans="1:2" x14ac:dyDescent="0.2">
      <c r="A977" s="40"/>
      <c r="B977" s="40"/>
    </row>
    <row r="978" spans="1:2" x14ac:dyDescent="0.2">
      <c r="A978" s="40"/>
      <c r="B978" s="40"/>
    </row>
    <row r="979" spans="1:2" x14ac:dyDescent="0.2">
      <c r="A979" s="40"/>
      <c r="B979" s="40"/>
    </row>
    <row r="980" spans="1:2" x14ac:dyDescent="0.2">
      <c r="A980" s="40"/>
      <c r="B980" s="40"/>
    </row>
    <row r="981" spans="1:2" x14ac:dyDescent="0.2">
      <c r="A981" s="40"/>
      <c r="B981" s="40"/>
    </row>
    <row r="982" spans="1:2" x14ac:dyDescent="0.2">
      <c r="A982" s="40"/>
      <c r="B982" s="40"/>
    </row>
    <row r="983" spans="1:2" x14ac:dyDescent="0.2">
      <c r="A983" s="40"/>
      <c r="B983" s="40"/>
    </row>
    <row r="984" spans="1:2" x14ac:dyDescent="0.2">
      <c r="A984" s="40"/>
      <c r="B984" s="40"/>
    </row>
    <row r="985" spans="1:2" x14ac:dyDescent="0.2">
      <c r="A985" s="40"/>
      <c r="B985" s="40"/>
    </row>
    <row r="986" spans="1:2" x14ac:dyDescent="0.2">
      <c r="A986" s="40"/>
      <c r="B986" s="40"/>
    </row>
    <row r="987" spans="1:2" x14ac:dyDescent="0.2">
      <c r="A987" s="40"/>
      <c r="B987" s="40"/>
    </row>
    <row r="988" spans="1:2" x14ac:dyDescent="0.2">
      <c r="A988" s="40"/>
      <c r="B988" s="40"/>
    </row>
    <row r="989" spans="1:2" x14ac:dyDescent="0.2">
      <c r="A989" s="40"/>
      <c r="B989" s="40"/>
    </row>
    <row r="990" spans="1:2" x14ac:dyDescent="0.2">
      <c r="A990" s="40"/>
      <c r="B990" s="40"/>
    </row>
    <row r="991" spans="1:2" x14ac:dyDescent="0.2">
      <c r="A991" s="40"/>
      <c r="B991" s="40"/>
    </row>
    <row r="992" spans="1:2" x14ac:dyDescent="0.2">
      <c r="A992" s="40"/>
      <c r="B992" s="40"/>
    </row>
    <row r="993" spans="1:2" x14ac:dyDescent="0.2">
      <c r="A993" s="40"/>
      <c r="B993" s="40"/>
    </row>
    <row r="994" spans="1:2" x14ac:dyDescent="0.2">
      <c r="A994" s="40"/>
      <c r="B994" s="40"/>
    </row>
    <row r="995" spans="1:2" x14ac:dyDescent="0.2">
      <c r="A995" s="40"/>
      <c r="B995" s="40"/>
    </row>
    <row r="996" spans="1:2" x14ac:dyDescent="0.2">
      <c r="A996" s="40"/>
      <c r="B996" s="40"/>
    </row>
    <row r="997" spans="1:2" x14ac:dyDescent="0.2">
      <c r="A997" s="40"/>
      <c r="B997" s="40"/>
    </row>
    <row r="998" spans="1:2" x14ac:dyDescent="0.2">
      <c r="A998" s="40"/>
      <c r="B998" s="40"/>
    </row>
    <row r="999" spans="1:2" x14ac:dyDescent="0.2">
      <c r="A999" s="40"/>
      <c r="B999" s="40"/>
    </row>
    <row r="1000" spans="1:2" x14ac:dyDescent="0.2">
      <c r="A1000" s="40"/>
      <c r="B1000" s="40"/>
    </row>
    <row r="1001" spans="1:2" x14ac:dyDescent="0.2">
      <c r="A1001" s="40"/>
      <c r="B1001" s="40"/>
    </row>
    <row r="1002" spans="1:2" x14ac:dyDescent="0.2">
      <c r="A1002" s="40"/>
      <c r="B1002" s="40"/>
    </row>
    <row r="1003" spans="1:2" x14ac:dyDescent="0.2">
      <c r="A1003" s="40"/>
      <c r="B1003" s="40"/>
    </row>
    <row r="1004" spans="1:2" x14ac:dyDescent="0.2">
      <c r="A1004" s="40"/>
      <c r="B1004" s="40"/>
    </row>
    <row r="1005" spans="1:2" x14ac:dyDescent="0.2">
      <c r="A1005" s="40"/>
      <c r="B1005" s="40"/>
    </row>
    <row r="1006" spans="1:2" x14ac:dyDescent="0.2">
      <c r="A1006" s="40"/>
      <c r="B1006" s="40"/>
    </row>
    <row r="1007" spans="1:2" x14ac:dyDescent="0.2">
      <c r="A1007" s="40"/>
      <c r="B1007" s="40"/>
    </row>
    <row r="1008" spans="1:2" x14ac:dyDescent="0.2">
      <c r="A1008" s="40"/>
      <c r="B1008" s="40"/>
    </row>
    <row r="1009" spans="1:2" x14ac:dyDescent="0.2">
      <c r="A1009" s="40"/>
      <c r="B1009" s="40"/>
    </row>
    <row r="1010" spans="1:2" x14ac:dyDescent="0.2">
      <c r="A1010" s="40"/>
      <c r="B1010" s="40"/>
    </row>
    <row r="1011" spans="1:2" x14ac:dyDescent="0.2">
      <c r="A1011" s="40"/>
      <c r="B1011" s="40"/>
    </row>
    <row r="1012" spans="1:2" x14ac:dyDescent="0.2">
      <c r="A1012" s="40"/>
      <c r="B1012" s="40"/>
    </row>
    <row r="1013" spans="1:2" x14ac:dyDescent="0.2">
      <c r="A1013" s="40"/>
      <c r="B1013" s="40"/>
    </row>
    <row r="1014" spans="1:2" x14ac:dyDescent="0.2">
      <c r="A1014" s="40"/>
      <c r="B1014" s="40"/>
    </row>
    <row r="1015" spans="1:2" x14ac:dyDescent="0.2">
      <c r="A1015" s="40"/>
      <c r="B1015" s="40"/>
    </row>
    <row r="1016" spans="1:2" x14ac:dyDescent="0.2">
      <c r="A1016" s="40"/>
      <c r="B1016" s="40"/>
    </row>
    <row r="1017" spans="1:2" x14ac:dyDescent="0.2">
      <c r="A1017" s="40"/>
      <c r="B1017" s="40"/>
    </row>
    <row r="1018" spans="1:2" x14ac:dyDescent="0.2">
      <c r="A1018" s="40"/>
      <c r="B1018" s="40"/>
    </row>
    <row r="1019" spans="1:2" x14ac:dyDescent="0.2">
      <c r="A1019" s="40"/>
      <c r="B1019" s="40"/>
    </row>
    <row r="1020" spans="1:2" x14ac:dyDescent="0.2">
      <c r="A1020" s="40"/>
      <c r="B1020" s="40"/>
    </row>
    <row r="1021" spans="1:2" x14ac:dyDescent="0.2">
      <c r="A1021" s="40"/>
      <c r="B1021" s="40"/>
    </row>
    <row r="1022" spans="1:2" x14ac:dyDescent="0.2">
      <c r="A1022" s="40"/>
      <c r="B1022" s="40"/>
    </row>
    <row r="1023" spans="1:2" x14ac:dyDescent="0.2">
      <c r="A1023" s="40"/>
      <c r="B1023" s="40"/>
    </row>
    <row r="1024" spans="1:2" x14ac:dyDescent="0.2">
      <c r="A1024" s="40"/>
      <c r="B1024" s="40"/>
    </row>
    <row r="1025" spans="1:2" x14ac:dyDescent="0.2">
      <c r="A1025" s="40"/>
      <c r="B1025" s="40"/>
    </row>
    <row r="1026" spans="1:2" x14ac:dyDescent="0.2">
      <c r="A1026" s="40"/>
      <c r="B1026" s="40"/>
    </row>
    <row r="1027" spans="1:2" x14ac:dyDescent="0.2">
      <c r="A1027" s="40"/>
      <c r="B1027" s="40"/>
    </row>
    <row r="1028" spans="1:2" x14ac:dyDescent="0.2">
      <c r="A1028" s="40"/>
      <c r="B1028" s="40"/>
    </row>
    <row r="1029" spans="1:2" x14ac:dyDescent="0.2">
      <c r="A1029" s="40"/>
      <c r="B1029" s="40"/>
    </row>
    <row r="1030" spans="1:2" x14ac:dyDescent="0.2">
      <c r="A1030" s="40"/>
      <c r="B1030" s="40"/>
    </row>
    <row r="1031" spans="1:2" x14ac:dyDescent="0.2">
      <c r="A1031" s="40"/>
      <c r="B1031" s="40"/>
    </row>
    <row r="1032" spans="1:2" x14ac:dyDescent="0.2">
      <c r="A1032" s="40"/>
      <c r="B1032" s="40"/>
    </row>
    <row r="1033" spans="1:2" x14ac:dyDescent="0.2">
      <c r="A1033" s="40"/>
      <c r="B1033" s="40"/>
    </row>
    <row r="1034" spans="1:2" x14ac:dyDescent="0.2">
      <c r="A1034" s="40"/>
      <c r="B1034" s="40"/>
    </row>
    <row r="1035" spans="1:2" x14ac:dyDescent="0.2">
      <c r="A1035" s="40"/>
      <c r="B1035" s="40"/>
    </row>
    <row r="1036" spans="1:2" x14ac:dyDescent="0.2">
      <c r="A1036" s="40"/>
      <c r="B1036" s="40"/>
    </row>
    <row r="1037" spans="1:2" x14ac:dyDescent="0.2">
      <c r="A1037" s="40"/>
      <c r="B1037" s="40"/>
    </row>
    <row r="1038" spans="1:2" x14ac:dyDescent="0.2">
      <c r="A1038" s="40"/>
      <c r="B1038" s="40"/>
    </row>
    <row r="1039" spans="1:2" x14ac:dyDescent="0.2">
      <c r="A1039" s="40"/>
      <c r="B1039" s="40"/>
    </row>
    <row r="1040" spans="1:2" x14ac:dyDescent="0.2">
      <c r="A1040" s="40"/>
      <c r="B1040" s="40"/>
    </row>
    <row r="1041" spans="1:2" x14ac:dyDescent="0.2">
      <c r="A1041" s="40"/>
      <c r="B1041" s="40"/>
    </row>
    <row r="1042" spans="1:2" x14ac:dyDescent="0.2">
      <c r="A1042" s="40"/>
      <c r="B1042" s="40"/>
    </row>
    <row r="1043" spans="1:2" x14ac:dyDescent="0.2">
      <c r="A1043" s="40"/>
      <c r="B1043" s="40"/>
    </row>
    <row r="1044" spans="1:2" x14ac:dyDescent="0.2">
      <c r="A1044" s="40"/>
      <c r="B1044" s="40"/>
    </row>
    <row r="1045" spans="1:2" x14ac:dyDescent="0.2">
      <c r="A1045" s="40"/>
      <c r="B1045" s="40"/>
    </row>
    <row r="1046" spans="1:2" x14ac:dyDescent="0.2">
      <c r="A1046" s="40"/>
      <c r="B1046" s="40"/>
    </row>
    <row r="1047" spans="1:2" x14ac:dyDescent="0.2">
      <c r="A1047" s="40"/>
      <c r="B1047" s="40"/>
    </row>
    <row r="1048" spans="1:2" x14ac:dyDescent="0.2">
      <c r="A1048" s="40"/>
      <c r="B1048" s="40"/>
    </row>
    <row r="1049" spans="1:2" x14ac:dyDescent="0.2">
      <c r="A1049" s="40"/>
      <c r="B1049" s="40"/>
    </row>
    <row r="1050" spans="1:2" x14ac:dyDescent="0.2">
      <c r="A1050" s="40"/>
      <c r="B1050" s="40"/>
    </row>
    <row r="1051" spans="1:2" x14ac:dyDescent="0.2">
      <c r="A1051" s="40"/>
      <c r="B1051" s="40"/>
    </row>
    <row r="1052" spans="1:2" x14ac:dyDescent="0.2">
      <c r="A1052" s="40"/>
      <c r="B1052" s="40"/>
    </row>
    <row r="1053" spans="1:2" x14ac:dyDescent="0.2">
      <c r="A1053" s="40"/>
      <c r="B1053" s="40"/>
    </row>
    <row r="1054" spans="1:2" x14ac:dyDescent="0.2">
      <c r="A1054" s="40"/>
      <c r="B1054" s="40"/>
    </row>
    <row r="1055" spans="1:2" x14ac:dyDescent="0.2">
      <c r="A1055" s="40"/>
      <c r="B1055" s="40"/>
    </row>
    <row r="1056" spans="1:2" x14ac:dyDescent="0.2">
      <c r="A1056" s="40"/>
      <c r="B1056" s="40"/>
    </row>
    <row r="1057" spans="1:2" x14ac:dyDescent="0.2">
      <c r="A1057" s="40"/>
      <c r="B1057" s="40"/>
    </row>
    <row r="1058" spans="1:2" x14ac:dyDescent="0.2">
      <c r="A1058" s="40"/>
      <c r="B1058" s="40"/>
    </row>
    <row r="1059" spans="1:2" x14ac:dyDescent="0.2">
      <c r="A1059" s="40"/>
      <c r="B1059" s="40"/>
    </row>
    <row r="1060" spans="1:2" x14ac:dyDescent="0.2">
      <c r="A1060" s="40"/>
      <c r="B1060" s="40"/>
    </row>
    <row r="1061" spans="1:2" x14ac:dyDescent="0.2">
      <c r="A1061" s="40"/>
      <c r="B1061" s="40"/>
    </row>
    <row r="1062" spans="1:2" x14ac:dyDescent="0.2">
      <c r="A1062" s="40"/>
      <c r="B1062" s="40"/>
    </row>
    <row r="1063" spans="1:2" x14ac:dyDescent="0.2">
      <c r="A1063" s="40"/>
      <c r="B1063" s="40"/>
    </row>
    <row r="1064" spans="1:2" x14ac:dyDescent="0.2">
      <c r="A1064" s="40"/>
      <c r="B1064" s="40"/>
    </row>
    <row r="1065" spans="1:2" x14ac:dyDescent="0.2">
      <c r="A1065" s="40"/>
      <c r="B1065" s="40"/>
    </row>
    <row r="1066" spans="1:2" x14ac:dyDescent="0.2">
      <c r="A1066" s="40"/>
      <c r="B1066" s="40"/>
    </row>
    <row r="1067" spans="1:2" x14ac:dyDescent="0.2">
      <c r="A1067" s="40"/>
      <c r="B1067" s="40"/>
    </row>
    <row r="1068" spans="1:2" x14ac:dyDescent="0.2">
      <c r="A1068" s="40"/>
      <c r="B1068" s="40"/>
    </row>
    <row r="1069" spans="1:2" x14ac:dyDescent="0.2">
      <c r="A1069" s="40"/>
      <c r="B1069" s="40"/>
    </row>
    <row r="1070" spans="1:2" x14ac:dyDescent="0.2">
      <c r="A1070" s="40"/>
      <c r="B1070" s="40"/>
    </row>
    <row r="1071" spans="1:2" x14ac:dyDescent="0.2">
      <c r="A1071" s="40"/>
      <c r="B1071" s="40"/>
    </row>
    <row r="1072" spans="1:2" x14ac:dyDescent="0.2">
      <c r="A1072" s="40"/>
      <c r="B1072" s="40"/>
    </row>
    <row r="1073" spans="1:2" x14ac:dyDescent="0.2">
      <c r="A1073" s="40"/>
      <c r="B1073" s="40"/>
    </row>
    <row r="1074" spans="1:2" x14ac:dyDescent="0.2">
      <c r="A1074" s="40"/>
      <c r="B1074" s="40"/>
    </row>
    <row r="1075" spans="1:2" x14ac:dyDescent="0.2">
      <c r="A1075" s="40"/>
      <c r="B1075" s="40"/>
    </row>
    <row r="1076" spans="1:2" x14ac:dyDescent="0.2">
      <c r="A1076" s="40"/>
      <c r="B1076" s="40"/>
    </row>
    <row r="1077" spans="1:2" x14ac:dyDescent="0.2">
      <c r="A1077" s="40"/>
      <c r="B1077" s="40"/>
    </row>
    <row r="1078" spans="1:2" x14ac:dyDescent="0.2">
      <c r="A1078" s="40"/>
      <c r="B1078" s="40"/>
    </row>
    <row r="1079" spans="1:2" x14ac:dyDescent="0.2">
      <c r="A1079" s="40"/>
      <c r="B1079" s="40"/>
    </row>
    <row r="1080" spans="1:2" x14ac:dyDescent="0.2">
      <c r="A1080" s="40"/>
      <c r="B1080" s="40"/>
    </row>
    <row r="1081" spans="1:2" x14ac:dyDescent="0.2">
      <c r="A1081" s="40"/>
      <c r="B1081" s="40"/>
    </row>
    <row r="1082" spans="1:2" x14ac:dyDescent="0.2">
      <c r="A1082" s="40"/>
      <c r="B1082" s="40"/>
    </row>
    <row r="1083" spans="1:2" x14ac:dyDescent="0.2">
      <c r="A1083" s="40"/>
      <c r="B1083" s="40"/>
    </row>
    <row r="1084" spans="1:2" x14ac:dyDescent="0.2">
      <c r="A1084" s="40"/>
      <c r="B1084" s="40"/>
    </row>
    <row r="1085" spans="1:2" x14ac:dyDescent="0.2">
      <c r="A1085" s="40"/>
      <c r="B1085" s="40"/>
    </row>
    <row r="1086" spans="1:2" x14ac:dyDescent="0.2">
      <c r="A1086" s="40"/>
      <c r="B1086" s="40"/>
    </row>
    <row r="1087" spans="1:2" x14ac:dyDescent="0.2">
      <c r="A1087" s="40"/>
      <c r="B1087" s="40"/>
    </row>
    <row r="1088" spans="1:2" x14ac:dyDescent="0.2">
      <c r="A1088" s="40"/>
      <c r="B1088" s="40"/>
    </row>
    <row r="1089" spans="1:2" x14ac:dyDescent="0.2">
      <c r="A1089" s="40"/>
      <c r="B1089" s="40"/>
    </row>
    <row r="1090" spans="1:2" x14ac:dyDescent="0.2">
      <c r="A1090" s="40"/>
      <c r="B1090" s="40"/>
    </row>
    <row r="1091" spans="1:2" x14ac:dyDescent="0.2">
      <c r="A1091" s="40"/>
      <c r="B1091" s="40"/>
    </row>
    <row r="1092" spans="1:2" x14ac:dyDescent="0.2">
      <c r="A1092" s="40"/>
      <c r="B1092" s="40"/>
    </row>
    <row r="1093" spans="1:2" x14ac:dyDescent="0.2">
      <c r="A1093" s="40"/>
      <c r="B1093" s="40"/>
    </row>
    <row r="1094" spans="1:2" x14ac:dyDescent="0.2">
      <c r="A1094" s="40"/>
      <c r="B1094" s="40"/>
    </row>
    <row r="1095" spans="1:2" x14ac:dyDescent="0.2">
      <c r="A1095" s="40"/>
      <c r="B1095" s="40"/>
    </row>
    <row r="1096" spans="1:2" x14ac:dyDescent="0.2">
      <c r="A1096" s="40"/>
      <c r="B1096" s="40"/>
    </row>
    <row r="1097" spans="1:2" x14ac:dyDescent="0.2">
      <c r="A1097" s="40"/>
      <c r="B1097" s="40"/>
    </row>
    <row r="1098" spans="1:2" x14ac:dyDescent="0.2">
      <c r="A1098" s="40"/>
      <c r="B1098" s="40"/>
    </row>
    <row r="1099" spans="1:2" x14ac:dyDescent="0.2">
      <c r="A1099" s="40"/>
      <c r="B1099" s="40"/>
    </row>
    <row r="1100" spans="1:2" x14ac:dyDescent="0.2">
      <c r="A1100" s="40"/>
      <c r="B1100" s="40"/>
    </row>
    <row r="1101" spans="1:2" x14ac:dyDescent="0.2">
      <c r="A1101" s="40"/>
      <c r="B1101" s="40"/>
    </row>
    <row r="1102" spans="1:2" x14ac:dyDescent="0.2">
      <c r="A1102" s="40"/>
      <c r="B1102" s="40"/>
    </row>
    <row r="1103" spans="1:2" x14ac:dyDescent="0.2">
      <c r="A1103" s="40"/>
      <c r="B1103" s="40"/>
    </row>
    <row r="1104" spans="1:2" x14ac:dyDescent="0.2">
      <c r="A1104" s="40"/>
      <c r="B1104" s="40"/>
    </row>
    <row r="1105" spans="1:2" x14ac:dyDescent="0.2">
      <c r="A1105" s="40"/>
      <c r="B1105" s="40"/>
    </row>
    <row r="1106" spans="1:2" x14ac:dyDescent="0.2">
      <c r="A1106" s="40"/>
      <c r="B1106" s="40"/>
    </row>
    <row r="1107" spans="1:2" x14ac:dyDescent="0.2">
      <c r="A1107" s="40"/>
      <c r="B1107" s="40"/>
    </row>
    <row r="1108" spans="1:2" x14ac:dyDescent="0.2">
      <c r="A1108" s="40"/>
      <c r="B1108" s="40"/>
    </row>
    <row r="1109" spans="1:2" x14ac:dyDescent="0.2">
      <c r="A1109" s="40"/>
      <c r="B1109" s="40"/>
    </row>
    <row r="1110" spans="1:2" x14ac:dyDescent="0.2">
      <c r="A1110" s="40"/>
      <c r="B1110" s="40"/>
    </row>
    <row r="1111" spans="1:2" x14ac:dyDescent="0.2">
      <c r="A1111" s="40"/>
      <c r="B1111" s="40"/>
    </row>
    <row r="1112" spans="1:2" x14ac:dyDescent="0.2">
      <c r="A1112" s="40"/>
      <c r="B1112" s="40"/>
    </row>
    <row r="1113" spans="1:2" x14ac:dyDescent="0.2">
      <c r="A1113" s="40"/>
      <c r="B1113" s="40"/>
    </row>
    <row r="1114" spans="1:2" x14ac:dyDescent="0.2">
      <c r="A1114" s="40"/>
      <c r="B1114" s="40"/>
    </row>
    <row r="1115" spans="1:2" x14ac:dyDescent="0.2">
      <c r="A1115" s="40"/>
      <c r="B1115" s="40"/>
    </row>
    <row r="1116" spans="1:2" x14ac:dyDescent="0.2">
      <c r="A1116" s="40"/>
      <c r="B1116" s="40"/>
    </row>
    <row r="1117" spans="1:2" x14ac:dyDescent="0.2">
      <c r="A1117" s="40"/>
      <c r="B1117" s="40"/>
    </row>
    <row r="1118" spans="1:2" x14ac:dyDescent="0.2">
      <c r="A1118" s="40"/>
      <c r="B1118" s="40"/>
    </row>
    <row r="1119" spans="1:2" x14ac:dyDescent="0.2">
      <c r="A1119" s="40"/>
      <c r="B1119" s="40"/>
    </row>
    <row r="1120" spans="1:2" x14ac:dyDescent="0.2">
      <c r="A1120" s="40"/>
      <c r="B1120" s="40"/>
    </row>
    <row r="1121" spans="1:2" x14ac:dyDescent="0.2">
      <c r="A1121" s="40"/>
      <c r="B1121" s="40"/>
    </row>
    <row r="1122" spans="1:2" x14ac:dyDescent="0.2">
      <c r="A1122" s="40"/>
      <c r="B1122" s="40"/>
    </row>
    <row r="1123" spans="1:2" x14ac:dyDescent="0.2">
      <c r="A1123" s="40"/>
      <c r="B1123" s="40"/>
    </row>
    <row r="1124" spans="1:2" x14ac:dyDescent="0.2">
      <c r="A1124" s="40"/>
      <c r="B1124" s="40"/>
    </row>
    <row r="1125" spans="1:2" x14ac:dyDescent="0.2">
      <c r="A1125" s="40"/>
      <c r="B1125" s="40"/>
    </row>
    <row r="1126" spans="1:2" x14ac:dyDescent="0.2">
      <c r="A1126" s="40"/>
      <c r="B1126" s="40"/>
    </row>
    <row r="1127" spans="1:2" x14ac:dyDescent="0.2">
      <c r="A1127" s="40"/>
      <c r="B1127" s="40"/>
    </row>
    <row r="1128" spans="1:2" x14ac:dyDescent="0.2">
      <c r="A1128" s="40"/>
      <c r="B1128" s="40"/>
    </row>
    <row r="1129" spans="1:2" x14ac:dyDescent="0.2">
      <c r="A1129" s="40"/>
      <c r="B1129" s="40"/>
    </row>
    <row r="1130" spans="1:2" x14ac:dyDescent="0.2">
      <c r="A1130" s="40"/>
      <c r="B1130" s="40"/>
    </row>
    <row r="1131" spans="1:2" x14ac:dyDescent="0.2">
      <c r="A1131" s="40"/>
      <c r="B1131" s="40"/>
    </row>
    <row r="1132" spans="1:2" x14ac:dyDescent="0.2">
      <c r="A1132" s="40"/>
      <c r="B1132" s="40"/>
    </row>
    <row r="1133" spans="1:2" x14ac:dyDescent="0.2">
      <c r="A1133" s="40"/>
      <c r="B1133" s="40"/>
    </row>
    <row r="1134" spans="1:2" x14ac:dyDescent="0.2">
      <c r="A1134" s="40"/>
      <c r="B1134" s="40"/>
    </row>
    <row r="1135" spans="1:2" x14ac:dyDescent="0.2">
      <c r="A1135" s="40"/>
      <c r="B1135" s="40"/>
    </row>
    <row r="1136" spans="1:2" x14ac:dyDescent="0.2">
      <c r="A1136" s="40"/>
      <c r="B1136" s="40"/>
    </row>
    <row r="1137" spans="1:2" x14ac:dyDescent="0.2">
      <c r="A1137" s="40"/>
      <c r="B1137" s="40"/>
    </row>
    <row r="1138" spans="1:2" x14ac:dyDescent="0.2">
      <c r="A1138" s="40"/>
      <c r="B1138" s="40"/>
    </row>
    <row r="1139" spans="1:2" x14ac:dyDescent="0.2">
      <c r="A1139" s="40"/>
      <c r="B1139" s="40"/>
    </row>
    <row r="1140" spans="1:2" x14ac:dyDescent="0.2">
      <c r="A1140" s="40"/>
      <c r="B1140" s="40"/>
    </row>
    <row r="1141" spans="1:2" x14ac:dyDescent="0.2">
      <c r="A1141" s="40"/>
      <c r="B1141" s="40"/>
    </row>
    <row r="1142" spans="1:2" x14ac:dyDescent="0.2">
      <c r="A1142" s="40"/>
      <c r="B1142" s="40"/>
    </row>
    <row r="1143" spans="1:2" x14ac:dyDescent="0.2">
      <c r="A1143" s="40"/>
      <c r="B1143" s="40"/>
    </row>
    <row r="1144" spans="1:2" x14ac:dyDescent="0.2">
      <c r="A1144" s="40"/>
      <c r="B1144" s="40"/>
    </row>
    <row r="1145" spans="1:2" x14ac:dyDescent="0.2">
      <c r="A1145" s="40"/>
      <c r="B1145" s="40"/>
    </row>
    <row r="1146" spans="1:2" x14ac:dyDescent="0.2">
      <c r="A1146" s="40"/>
      <c r="B1146" s="40"/>
    </row>
    <row r="1147" spans="1:2" x14ac:dyDescent="0.2">
      <c r="A1147" s="40"/>
      <c r="B1147" s="40"/>
    </row>
    <row r="1148" spans="1:2" x14ac:dyDescent="0.2">
      <c r="A1148" s="40"/>
      <c r="B1148" s="40"/>
    </row>
    <row r="1149" spans="1:2" x14ac:dyDescent="0.2">
      <c r="A1149" s="40"/>
      <c r="B1149" s="40"/>
    </row>
    <row r="1150" spans="1:2" x14ac:dyDescent="0.2">
      <c r="A1150" s="40"/>
      <c r="B1150" s="40"/>
    </row>
    <row r="1151" spans="1:2" x14ac:dyDescent="0.2">
      <c r="A1151" s="40"/>
      <c r="B1151" s="40"/>
    </row>
    <row r="1152" spans="1:2" x14ac:dyDescent="0.2">
      <c r="A1152" s="40"/>
      <c r="B1152" s="40"/>
    </row>
    <row r="1153" spans="1:2" x14ac:dyDescent="0.2">
      <c r="A1153" s="40"/>
      <c r="B1153" s="40"/>
    </row>
    <row r="1154" spans="1:2" x14ac:dyDescent="0.2">
      <c r="A1154" s="40"/>
      <c r="B1154" s="40"/>
    </row>
    <row r="1155" spans="1:2" x14ac:dyDescent="0.2">
      <c r="A1155" s="40"/>
      <c r="B1155" s="40"/>
    </row>
    <row r="1156" spans="1:2" x14ac:dyDescent="0.2">
      <c r="A1156" s="40"/>
      <c r="B1156" s="40"/>
    </row>
    <row r="1157" spans="1:2" x14ac:dyDescent="0.2">
      <c r="A1157" s="40"/>
      <c r="B1157" s="40"/>
    </row>
    <row r="1158" spans="1:2" x14ac:dyDescent="0.2">
      <c r="A1158" s="40"/>
      <c r="B1158" s="40"/>
    </row>
    <row r="1159" spans="1:2" x14ac:dyDescent="0.2">
      <c r="A1159" s="40"/>
      <c r="B1159" s="40"/>
    </row>
    <row r="1160" spans="1:2" x14ac:dyDescent="0.2">
      <c r="A1160" s="40"/>
      <c r="B1160" s="40"/>
    </row>
    <row r="1161" spans="1:2" x14ac:dyDescent="0.2">
      <c r="A1161" s="40"/>
      <c r="B1161" s="40"/>
    </row>
    <row r="1162" spans="1:2" x14ac:dyDescent="0.2">
      <c r="A1162" s="40"/>
      <c r="B1162" s="40"/>
    </row>
    <row r="1163" spans="1:2" x14ac:dyDescent="0.2">
      <c r="A1163" s="40"/>
      <c r="B1163" s="40"/>
    </row>
    <row r="1164" spans="1:2" x14ac:dyDescent="0.2">
      <c r="A1164" s="40"/>
      <c r="B1164" s="40"/>
    </row>
    <row r="1165" spans="1:2" x14ac:dyDescent="0.2">
      <c r="A1165" s="40"/>
      <c r="B1165" s="40"/>
    </row>
    <row r="1166" spans="1:2" x14ac:dyDescent="0.2">
      <c r="A1166" s="40"/>
      <c r="B1166" s="40"/>
    </row>
    <row r="1167" spans="1:2" x14ac:dyDescent="0.2">
      <c r="A1167" s="40"/>
      <c r="B1167" s="40"/>
    </row>
    <row r="1168" spans="1:2" x14ac:dyDescent="0.2">
      <c r="A1168" s="40"/>
      <c r="B1168" s="40"/>
    </row>
    <row r="1169" spans="1:2" x14ac:dyDescent="0.2">
      <c r="A1169" s="40"/>
      <c r="B1169" s="40"/>
    </row>
    <row r="1170" spans="1:2" x14ac:dyDescent="0.2">
      <c r="A1170" s="40"/>
      <c r="B1170" s="40"/>
    </row>
    <row r="1171" spans="1:2" x14ac:dyDescent="0.2">
      <c r="A1171" s="40"/>
      <c r="B1171" s="40"/>
    </row>
    <row r="1172" spans="1:2" x14ac:dyDescent="0.2">
      <c r="A1172" s="40"/>
      <c r="B1172" s="40"/>
    </row>
    <row r="1173" spans="1:2" x14ac:dyDescent="0.2">
      <c r="A1173" s="40"/>
      <c r="B1173" s="40"/>
    </row>
    <row r="1174" spans="1:2" x14ac:dyDescent="0.2">
      <c r="A1174" s="40"/>
      <c r="B1174" s="40"/>
    </row>
    <row r="1175" spans="1:2" x14ac:dyDescent="0.2">
      <c r="A1175" s="40"/>
      <c r="B1175" s="40"/>
    </row>
    <row r="1176" spans="1:2" x14ac:dyDescent="0.2">
      <c r="A1176" s="40"/>
      <c r="B1176" s="40"/>
    </row>
    <row r="1177" spans="1:2" x14ac:dyDescent="0.2">
      <c r="A1177" s="40"/>
      <c r="B1177" s="40"/>
    </row>
    <row r="1178" spans="1:2" x14ac:dyDescent="0.2">
      <c r="A1178" s="40"/>
      <c r="B1178" s="40"/>
    </row>
    <row r="1179" spans="1:2" x14ac:dyDescent="0.2">
      <c r="A1179" s="40"/>
      <c r="B1179" s="40"/>
    </row>
    <row r="1180" spans="1:2" x14ac:dyDescent="0.2">
      <c r="A1180" s="40"/>
      <c r="B1180" s="40"/>
    </row>
    <row r="1181" spans="1:2" x14ac:dyDescent="0.2">
      <c r="A1181" s="40"/>
      <c r="B1181" s="40"/>
    </row>
    <row r="1182" spans="1:2" x14ac:dyDescent="0.2">
      <c r="A1182" s="40"/>
      <c r="B1182" s="40"/>
    </row>
    <row r="1183" spans="1:2" x14ac:dyDescent="0.2">
      <c r="A1183" s="40"/>
      <c r="B1183" s="40"/>
    </row>
    <row r="1184" spans="1:2" x14ac:dyDescent="0.2">
      <c r="A1184" s="40"/>
      <c r="B1184" s="40"/>
    </row>
    <row r="1185" spans="1:2" x14ac:dyDescent="0.2">
      <c r="A1185" s="40"/>
      <c r="B1185" s="40"/>
    </row>
    <row r="1186" spans="1:2" x14ac:dyDescent="0.2">
      <c r="A1186" s="40"/>
      <c r="B1186" s="40"/>
    </row>
    <row r="1187" spans="1:2" x14ac:dyDescent="0.2">
      <c r="A1187" s="40"/>
      <c r="B1187" s="40"/>
    </row>
    <row r="1188" spans="1:2" x14ac:dyDescent="0.2">
      <c r="A1188" s="40"/>
      <c r="B1188" s="40"/>
    </row>
    <row r="1189" spans="1:2" x14ac:dyDescent="0.2">
      <c r="A1189" s="40"/>
      <c r="B1189" s="40"/>
    </row>
    <row r="1190" spans="1:2" x14ac:dyDescent="0.2">
      <c r="A1190" s="40"/>
      <c r="B1190" s="40"/>
    </row>
    <row r="1191" spans="1:2" x14ac:dyDescent="0.2">
      <c r="A1191" s="40"/>
      <c r="B1191" s="40"/>
    </row>
    <row r="1192" spans="1:2" x14ac:dyDescent="0.2">
      <c r="A1192" s="40"/>
      <c r="B1192" s="40"/>
    </row>
    <row r="1193" spans="1:2" x14ac:dyDescent="0.2">
      <c r="A1193" s="40"/>
      <c r="B1193" s="40"/>
    </row>
    <row r="1194" spans="1:2" x14ac:dyDescent="0.2">
      <c r="A1194" s="40"/>
      <c r="B1194" s="40"/>
    </row>
    <row r="1195" spans="1:2" x14ac:dyDescent="0.2">
      <c r="A1195" s="40"/>
      <c r="B1195" s="40"/>
    </row>
    <row r="1196" spans="1:2" x14ac:dyDescent="0.2">
      <c r="A1196" s="40"/>
      <c r="B1196" s="40"/>
    </row>
    <row r="1197" spans="1:2" x14ac:dyDescent="0.2">
      <c r="A1197" s="40"/>
      <c r="B1197" s="40"/>
    </row>
    <row r="1198" spans="1:2" x14ac:dyDescent="0.2">
      <c r="A1198" s="40"/>
      <c r="B1198" s="40"/>
    </row>
    <row r="1199" spans="1:2" x14ac:dyDescent="0.2">
      <c r="A1199" s="40"/>
      <c r="B1199" s="40"/>
    </row>
    <row r="1200" spans="1:2" x14ac:dyDescent="0.2">
      <c r="A1200" s="40"/>
      <c r="B1200" s="40"/>
    </row>
    <row r="1201" spans="1:2" x14ac:dyDescent="0.2">
      <c r="A1201" s="40"/>
      <c r="B1201" s="40"/>
    </row>
    <row r="1202" spans="1:2" x14ac:dyDescent="0.2">
      <c r="A1202" s="40"/>
      <c r="B1202" s="40"/>
    </row>
    <row r="1203" spans="1:2" x14ac:dyDescent="0.2">
      <c r="A1203" s="40"/>
      <c r="B1203" s="40"/>
    </row>
    <row r="1204" spans="1:2" x14ac:dyDescent="0.2">
      <c r="A1204" s="40"/>
      <c r="B1204" s="40"/>
    </row>
    <row r="1205" spans="1:2" x14ac:dyDescent="0.2">
      <c r="A1205" s="40"/>
      <c r="B1205" s="40"/>
    </row>
    <row r="1206" spans="1:2" x14ac:dyDescent="0.2">
      <c r="A1206" s="40"/>
      <c r="B1206" s="40"/>
    </row>
    <row r="1207" spans="1:2" x14ac:dyDescent="0.2">
      <c r="A1207" s="40"/>
      <c r="B1207" s="40"/>
    </row>
    <row r="1208" spans="1:2" x14ac:dyDescent="0.2">
      <c r="A1208" s="40"/>
      <c r="B1208" s="40"/>
    </row>
    <row r="1209" spans="1:2" x14ac:dyDescent="0.2">
      <c r="A1209" s="40"/>
      <c r="B1209" s="40"/>
    </row>
    <row r="1210" spans="1:2" x14ac:dyDescent="0.2">
      <c r="A1210" s="40"/>
      <c r="B1210" s="40"/>
    </row>
    <row r="1211" spans="1:2" x14ac:dyDescent="0.2">
      <c r="A1211" s="40"/>
      <c r="B1211" s="40"/>
    </row>
    <row r="1212" spans="1:2" x14ac:dyDescent="0.2">
      <c r="A1212" s="40"/>
      <c r="B1212" s="40"/>
    </row>
    <row r="1213" spans="1:2" x14ac:dyDescent="0.2">
      <c r="A1213" s="40"/>
      <c r="B1213" s="40"/>
    </row>
    <row r="1214" spans="1:2" x14ac:dyDescent="0.2">
      <c r="A1214" s="40"/>
      <c r="B1214" s="40"/>
    </row>
    <row r="1215" spans="1:2" x14ac:dyDescent="0.2">
      <c r="A1215" s="40"/>
      <c r="B1215" s="40"/>
    </row>
    <row r="1216" spans="1:2" x14ac:dyDescent="0.2">
      <c r="A1216" s="40"/>
      <c r="B1216" s="40"/>
    </row>
    <row r="1217" spans="1:2" x14ac:dyDescent="0.2">
      <c r="A1217" s="40"/>
      <c r="B1217" s="40"/>
    </row>
    <row r="1218" spans="1:2" x14ac:dyDescent="0.2">
      <c r="A1218" s="40"/>
      <c r="B1218" s="40"/>
    </row>
    <row r="1219" spans="1:2" x14ac:dyDescent="0.2">
      <c r="A1219" s="40"/>
      <c r="B1219" s="40"/>
    </row>
    <row r="1220" spans="1:2" x14ac:dyDescent="0.2">
      <c r="A1220" s="40"/>
      <c r="B1220" s="40"/>
    </row>
    <row r="1221" spans="1:2" x14ac:dyDescent="0.2">
      <c r="A1221" s="40"/>
      <c r="B1221" s="40"/>
    </row>
    <row r="1222" spans="1:2" x14ac:dyDescent="0.2">
      <c r="A1222" s="40"/>
      <c r="B1222" s="40"/>
    </row>
    <row r="1223" spans="1:2" x14ac:dyDescent="0.2">
      <c r="A1223" s="40"/>
      <c r="B1223" s="40"/>
    </row>
    <row r="1224" spans="1:2" x14ac:dyDescent="0.2">
      <c r="A1224" s="40"/>
      <c r="B1224" s="40"/>
    </row>
    <row r="1225" spans="1:2" x14ac:dyDescent="0.2">
      <c r="A1225" s="40"/>
      <c r="B1225" s="40"/>
    </row>
    <row r="1226" spans="1:2" x14ac:dyDescent="0.2">
      <c r="A1226" s="40"/>
      <c r="B1226" s="40"/>
    </row>
    <row r="1227" spans="1:2" x14ac:dyDescent="0.2">
      <c r="A1227" s="40"/>
      <c r="B1227" s="40"/>
    </row>
    <row r="1228" spans="1:2" x14ac:dyDescent="0.2">
      <c r="A1228" s="40"/>
      <c r="B1228" s="40"/>
    </row>
    <row r="1229" spans="1:2" x14ac:dyDescent="0.2">
      <c r="A1229" s="40"/>
      <c r="B1229" s="40"/>
    </row>
    <row r="1230" spans="1:2" x14ac:dyDescent="0.2">
      <c r="A1230" s="40"/>
      <c r="B1230" s="40"/>
    </row>
    <row r="1231" spans="1:2" x14ac:dyDescent="0.2">
      <c r="A1231" s="40"/>
      <c r="B1231" s="40"/>
    </row>
    <row r="1232" spans="1:2" x14ac:dyDescent="0.2">
      <c r="A1232" s="40"/>
      <c r="B1232" s="40"/>
    </row>
    <row r="1233" spans="1:2" x14ac:dyDescent="0.2">
      <c r="A1233" s="40"/>
      <c r="B1233" s="40"/>
    </row>
    <row r="1234" spans="1:2" x14ac:dyDescent="0.2">
      <c r="A1234" s="40"/>
      <c r="B1234" s="40"/>
    </row>
    <row r="1235" spans="1:2" x14ac:dyDescent="0.2">
      <c r="A1235" s="40"/>
      <c r="B1235" s="40"/>
    </row>
    <row r="1236" spans="1:2" x14ac:dyDescent="0.2">
      <c r="A1236" s="40"/>
      <c r="B1236" s="40"/>
    </row>
    <row r="1237" spans="1:2" x14ac:dyDescent="0.2">
      <c r="A1237" s="40"/>
      <c r="B1237" s="40"/>
    </row>
    <row r="1238" spans="1:2" x14ac:dyDescent="0.2">
      <c r="A1238" s="40"/>
      <c r="B1238" s="40"/>
    </row>
    <row r="1239" spans="1:2" x14ac:dyDescent="0.2">
      <c r="A1239" s="40"/>
      <c r="B1239" s="40"/>
    </row>
    <row r="1240" spans="1:2" x14ac:dyDescent="0.2">
      <c r="A1240" s="40"/>
      <c r="B1240" s="40"/>
    </row>
    <row r="1241" spans="1:2" x14ac:dyDescent="0.2">
      <c r="A1241" s="40"/>
      <c r="B1241" s="40"/>
    </row>
    <row r="1242" spans="1:2" x14ac:dyDescent="0.2">
      <c r="A1242" s="40"/>
      <c r="B1242" s="40"/>
    </row>
    <row r="1243" spans="1:2" x14ac:dyDescent="0.2">
      <c r="A1243" s="40"/>
      <c r="B1243" s="40"/>
    </row>
    <row r="1244" spans="1:2" x14ac:dyDescent="0.2">
      <c r="A1244" s="40"/>
      <c r="B1244" s="40"/>
    </row>
    <row r="1245" spans="1:2" x14ac:dyDescent="0.2">
      <c r="A1245" s="40"/>
      <c r="B1245" s="40"/>
    </row>
    <row r="1246" spans="1:2" x14ac:dyDescent="0.2">
      <c r="A1246" s="40"/>
      <c r="B1246" s="40"/>
    </row>
    <row r="1247" spans="1:2" x14ac:dyDescent="0.2">
      <c r="A1247" s="40"/>
      <c r="B1247" s="40"/>
    </row>
    <row r="1248" spans="1:2" x14ac:dyDescent="0.2">
      <c r="A1248" s="40"/>
      <c r="B1248" s="40"/>
    </row>
    <row r="1249" spans="1:2" x14ac:dyDescent="0.2">
      <c r="A1249" s="40"/>
      <c r="B1249" s="40"/>
    </row>
    <row r="1250" spans="1:2" x14ac:dyDescent="0.2">
      <c r="A1250" s="40"/>
      <c r="B1250" s="40"/>
    </row>
    <row r="1251" spans="1:2" x14ac:dyDescent="0.2">
      <c r="A1251" s="40"/>
      <c r="B1251" s="40"/>
    </row>
    <row r="1252" spans="1:2" x14ac:dyDescent="0.2">
      <c r="A1252" s="40"/>
      <c r="B1252" s="40"/>
    </row>
    <row r="1253" spans="1:2" x14ac:dyDescent="0.2">
      <c r="A1253" s="40"/>
      <c r="B1253" s="40"/>
    </row>
    <row r="1254" spans="1:2" x14ac:dyDescent="0.2">
      <c r="A1254" s="40"/>
      <c r="B1254" s="40"/>
    </row>
    <row r="1255" spans="1:2" x14ac:dyDescent="0.2">
      <c r="A1255" s="40"/>
      <c r="B1255" s="40"/>
    </row>
    <row r="1256" spans="1:2" x14ac:dyDescent="0.2">
      <c r="A1256" s="40"/>
      <c r="B1256" s="40"/>
    </row>
    <row r="1257" spans="1:2" x14ac:dyDescent="0.2">
      <c r="A1257" s="40"/>
      <c r="B1257" s="40"/>
    </row>
    <row r="1258" spans="1:2" x14ac:dyDescent="0.2">
      <c r="A1258" s="40"/>
      <c r="B1258" s="40"/>
    </row>
    <row r="1259" spans="1:2" x14ac:dyDescent="0.2">
      <c r="A1259" s="40"/>
      <c r="B1259" s="40"/>
    </row>
    <row r="1260" spans="1:2" x14ac:dyDescent="0.2">
      <c r="A1260" s="40"/>
      <c r="B1260" s="40"/>
    </row>
    <row r="1261" spans="1:2" x14ac:dyDescent="0.2">
      <c r="A1261" s="40"/>
      <c r="B1261" s="40"/>
    </row>
    <row r="1262" spans="1:2" x14ac:dyDescent="0.2">
      <c r="A1262" s="40"/>
      <c r="B1262" s="40"/>
    </row>
    <row r="1263" spans="1:2" x14ac:dyDescent="0.2">
      <c r="A1263" s="40"/>
      <c r="B1263" s="40"/>
    </row>
    <row r="1264" spans="1:2" x14ac:dyDescent="0.2">
      <c r="A1264" s="40"/>
      <c r="B1264" s="40"/>
    </row>
    <row r="1265" spans="1:2" x14ac:dyDescent="0.2">
      <c r="A1265" s="40"/>
      <c r="B1265" s="40"/>
    </row>
    <row r="1266" spans="1:2" x14ac:dyDescent="0.2">
      <c r="A1266" s="40"/>
      <c r="B1266" s="40"/>
    </row>
    <row r="1267" spans="1:2" x14ac:dyDescent="0.2">
      <c r="A1267" s="40"/>
      <c r="B1267" s="40"/>
    </row>
    <row r="1268" spans="1:2" x14ac:dyDescent="0.2">
      <c r="A1268" s="40"/>
      <c r="B1268" s="40"/>
    </row>
    <row r="1269" spans="1:2" x14ac:dyDescent="0.2">
      <c r="A1269" s="40"/>
      <c r="B1269" s="40"/>
    </row>
    <row r="1270" spans="1:2" x14ac:dyDescent="0.2">
      <c r="A1270" s="40"/>
      <c r="B1270" s="40"/>
    </row>
    <row r="1271" spans="1:2" x14ac:dyDescent="0.2">
      <c r="A1271" s="40"/>
      <c r="B1271" s="40"/>
    </row>
    <row r="1272" spans="1:2" x14ac:dyDescent="0.2">
      <c r="A1272" s="40"/>
      <c r="B1272" s="40"/>
    </row>
    <row r="1273" spans="1:2" x14ac:dyDescent="0.2">
      <c r="A1273" s="40"/>
      <c r="B1273" s="40"/>
    </row>
    <row r="1274" spans="1:2" x14ac:dyDescent="0.2">
      <c r="A1274" s="40"/>
      <c r="B1274" s="40"/>
    </row>
    <row r="1275" spans="1:2" x14ac:dyDescent="0.2">
      <c r="A1275" s="40"/>
      <c r="B1275" s="40"/>
    </row>
    <row r="1276" spans="1:2" x14ac:dyDescent="0.2">
      <c r="A1276" s="40"/>
      <c r="B1276" s="40"/>
    </row>
    <row r="1277" spans="1:2" x14ac:dyDescent="0.2">
      <c r="A1277" s="40"/>
      <c r="B1277" s="40"/>
    </row>
    <row r="1278" spans="1:2" x14ac:dyDescent="0.2">
      <c r="A1278" s="40"/>
      <c r="B1278" s="40"/>
    </row>
    <row r="1279" spans="1:2" x14ac:dyDescent="0.2">
      <c r="A1279" s="40"/>
      <c r="B1279" s="40"/>
    </row>
    <row r="1280" spans="1:2" x14ac:dyDescent="0.2">
      <c r="A1280" s="40"/>
      <c r="B1280" s="40"/>
    </row>
    <row r="1281" spans="1:2" x14ac:dyDescent="0.2">
      <c r="A1281" s="40"/>
      <c r="B1281" s="40"/>
    </row>
    <row r="1282" spans="1:2" x14ac:dyDescent="0.2">
      <c r="A1282" s="40"/>
      <c r="B1282" s="40"/>
    </row>
    <row r="1283" spans="1:2" x14ac:dyDescent="0.2">
      <c r="A1283" s="40"/>
      <c r="B1283" s="40"/>
    </row>
    <row r="1284" spans="1:2" x14ac:dyDescent="0.2">
      <c r="A1284" s="40"/>
      <c r="B1284" s="40"/>
    </row>
    <row r="1285" spans="1:2" x14ac:dyDescent="0.2">
      <c r="A1285" s="40"/>
      <c r="B1285" s="40"/>
    </row>
    <row r="1286" spans="1:2" x14ac:dyDescent="0.2">
      <c r="A1286" s="40"/>
      <c r="B1286" s="40"/>
    </row>
    <row r="1287" spans="1:2" x14ac:dyDescent="0.2">
      <c r="A1287" s="40"/>
      <c r="B1287" s="40"/>
    </row>
    <row r="1288" spans="1:2" x14ac:dyDescent="0.2">
      <c r="A1288" s="40"/>
      <c r="B1288" s="40"/>
    </row>
    <row r="1289" spans="1:2" x14ac:dyDescent="0.2">
      <c r="A1289" s="40"/>
      <c r="B1289" s="40"/>
    </row>
    <row r="1290" spans="1:2" x14ac:dyDescent="0.2">
      <c r="A1290" s="40"/>
      <c r="B1290" s="40"/>
    </row>
    <row r="1291" spans="1:2" x14ac:dyDescent="0.2">
      <c r="A1291" s="40"/>
      <c r="B1291" s="40"/>
    </row>
    <row r="1292" spans="1:2" x14ac:dyDescent="0.2">
      <c r="A1292" s="40"/>
      <c r="B1292" s="40"/>
    </row>
    <row r="1293" spans="1:2" x14ac:dyDescent="0.2">
      <c r="A1293" s="40"/>
      <c r="B1293" s="40"/>
    </row>
    <row r="1294" spans="1:2" x14ac:dyDescent="0.2">
      <c r="A1294" s="40"/>
      <c r="B1294" s="40"/>
    </row>
    <row r="1295" spans="1:2" x14ac:dyDescent="0.2">
      <c r="A1295" s="40"/>
      <c r="B1295" s="40"/>
    </row>
    <row r="1296" spans="1:2" x14ac:dyDescent="0.2">
      <c r="A1296" s="40"/>
      <c r="B1296" s="40"/>
    </row>
    <row r="1297" spans="1:2" x14ac:dyDescent="0.2">
      <c r="A1297" s="40"/>
      <c r="B1297" s="40"/>
    </row>
    <row r="1298" spans="1:2" x14ac:dyDescent="0.2">
      <c r="A1298" s="40"/>
      <c r="B1298" s="40"/>
    </row>
    <row r="1299" spans="1:2" x14ac:dyDescent="0.2">
      <c r="A1299" s="40"/>
      <c r="B1299" s="40"/>
    </row>
    <row r="1300" spans="1:2" x14ac:dyDescent="0.2">
      <c r="A1300" s="40"/>
      <c r="B1300" s="40"/>
    </row>
    <row r="1301" spans="1:2" x14ac:dyDescent="0.2">
      <c r="A1301" s="40"/>
      <c r="B1301" s="40"/>
    </row>
    <row r="1302" spans="1:2" x14ac:dyDescent="0.2">
      <c r="A1302" s="40"/>
      <c r="B1302" s="40"/>
    </row>
    <row r="1303" spans="1:2" x14ac:dyDescent="0.2">
      <c r="A1303" s="40"/>
      <c r="B1303" s="40"/>
    </row>
    <row r="1304" spans="1:2" x14ac:dyDescent="0.2">
      <c r="A1304" s="40"/>
      <c r="B1304" s="40"/>
    </row>
    <row r="1305" spans="1:2" x14ac:dyDescent="0.2">
      <c r="A1305" s="40"/>
      <c r="B1305" s="40"/>
    </row>
    <row r="1306" spans="1:2" x14ac:dyDescent="0.2">
      <c r="A1306" s="40"/>
      <c r="B1306" s="40"/>
    </row>
    <row r="1307" spans="1:2" x14ac:dyDescent="0.2">
      <c r="A1307" s="40"/>
      <c r="B1307" s="40"/>
    </row>
    <row r="1308" spans="1:2" x14ac:dyDescent="0.2">
      <c r="A1308" s="40"/>
      <c r="B1308" s="40"/>
    </row>
    <row r="1309" spans="1:2" x14ac:dyDescent="0.2">
      <c r="A1309" s="40"/>
      <c r="B1309" s="40"/>
    </row>
    <row r="1310" spans="1:2" x14ac:dyDescent="0.2">
      <c r="A1310" s="40"/>
      <c r="B1310" s="40"/>
    </row>
    <row r="1311" spans="1:2" x14ac:dyDescent="0.2">
      <c r="A1311" s="40"/>
      <c r="B1311" s="40"/>
    </row>
    <row r="1312" spans="1:2" x14ac:dyDescent="0.2">
      <c r="A1312" s="40"/>
      <c r="B1312" s="40"/>
    </row>
    <row r="1313" spans="1:2" x14ac:dyDescent="0.2">
      <c r="A1313" s="40"/>
      <c r="B1313" s="40"/>
    </row>
    <row r="1314" spans="1:2" x14ac:dyDescent="0.2">
      <c r="A1314" s="40"/>
      <c r="B1314" s="40"/>
    </row>
    <row r="1315" spans="1:2" x14ac:dyDescent="0.2">
      <c r="A1315" s="40"/>
      <c r="B1315" s="40"/>
    </row>
    <row r="1316" spans="1:2" x14ac:dyDescent="0.2">
      <c r="A1316" s="40"/>
      <c r="B1316" s="40"/>
    </row>
    <row r="1317" spans="1:2" x14ac:dyDescent="0.2">
      <c r="A1317" s="40"/>
      <c r="B1317" s="40"/>
    </row>
    <row r="1318" spans="1:2" x14ac:dyDescent="0.2">
      <c r="A1318" s="40"/>
      <c r="B1318" s="40"/>
    </row>
    <row r="1319" spans="1:2" x14ac:dyDescent="0.2">
      <c r="A1319" s="40"/>
      <c r="B1319" s="40"/>
    </row>
    <row r="1320" spans="1:2" x14ac:dyDescent="0.2">
      <c r="A1320" s="40"/>
      <c r="B1320" s="40"/>
    </row>
    <row r="1321" spans="1:2" x14ac:dyDescent="0.2">
      <c r="A1321" s="40"/>
      <c r="B1321" s="40"/>
    </row>
    <row r="1322" spans="1:2" x14ac:dyDescent="0.2">
      <c r="A1322" s="40"/>
      <c r="B1322" s="40"/>
    </row>
    <row r="1323" spans="1:2" x14ac:dyDescent="0.2">
      <c r="A1323" s="40"/>
      <c r="B1323" s="40"/>
    </row>
    <row r="1324" spans="1:2" x14ac:dyDescent="0.2">
      <c r="A1324" s="40"/>
      <c r="B1324" s="40"/>
    </row>
    <row r="1325" spans="1:2" x14ac:dyDescent="0.2">
      <c r="A1325" s="40"/>
      <c r="B1325" s="40"/>
    </row>
    <row r="1326" spans="1:2" x14ac:dyDescent="0.2">
      <c r="A1326" s="40"/>
      <c r="B1326" s="40"/>
    </row>
    <row r="1327" spans="1:2" x14ac:dyDescent="0.2">
      <c r="A1327" s="40"/>
      <c r="B1327" s="40"/>
    </row>
    <row r="1328" spans="1:2" x14ac:dyDescent="0.2">
      <c r="A1328" s="40"/>
      <c r="B1328" s="40"/>
    </row>
    <row r="1329" spans="1:2" x14ac:dyDescent="0.2">
      <c r="A1329" s="40"/>
      <c r="B1329" s="40"/>
    </row>
    <row r="1330" spans="1:2" x14ac:dyDescent="0.2">
      <c r="A1330" s="40"/>
      <c r="B1330" s="40"/>
    </row>
    <row r="1331" spans="1:2" x14ac:dyDescent="0.2">
      <c r="A1331" s="40"/>
      <c r="B1331" s="40"/>
    </row>
    <row r="1332" spans="1:2" x14ac:dyDescent="0.2">
      <c r="A1332" s="40"/>
      <c r="B1332" s="40"/>
    </row>
    <row r="1333" spans="1:2" x14ac:dyDescent="0.2">
      <c r="A1333" s="40"/>
      <c r="B1333" s="40"/>
    </row>
    <row r="1334" spans="1:2" x14ac:dyDescent="0.2">
      <c r="A1334" s="40"/>
      <c r="B1334" s="40"/>
    </row>
    <row r="1335" spans="1:2" x14ac:dyDescent="0.2">
      <c r="A1335" s="40"/>
      <c r="B1335" s="40"/>
    </row>
    <row r="1336" spans="1:2" x14ac:dyDescent="0.2">
      <c r="A1336" s="40"/>
      <c r="B1336" s="40"/>
    </row>
    <row r="1337" spans="1:2" x14ac:dyDescent="0.2">
      <c r="A1337" s="40"/>
      <c r="B1337" s="40"/>
    </row>
    <row r="1338" spans="1:2" x14ac:dyDescent="0.2">
      <c r="A1338" s="40"/>
      <c r="B1338" s="40"/>
    </row>
    <row r="1339" spans="1:2" x14ac:dyDescent="0.2">
      <c r="A1339" s="40"/>
      <c r="B1339" s="40"/>
    </row>
    <row r="1340" spans="1:2" x14ac:dyDescent="0.2">
      <c r="A1340" s="40"/>
      <c r="B1340" s="40"/>
    </row>
    <row r="1341" spans="1:2" x14ac:dyDescent="0.2">
      <c r="A1341" s="40"/>
      <c r="B1341" s="40"/>
    </row>
    <row r="1342" spans="1:2" x14ac:dyDescent="0.2">
      <c r="A1342" s="40"/>
      <c r="B1342" s="40"/>
    </row>
    <row r="1343" spans="1:2" x14ac:dyDescent="0.2">
      <c r="A1343" s="40"/>
      <c r="B1343" s="40"/>
    </row>
    <row r="1344" spans="1:2" x14ac:dyDescent="0.2">
      <c r="A1344" s="40"/>
      <c r="B1344" s="40"/>
    </row>
    <row r="1345" spans="1:2" x14ac:dyDescent="0.2">
      <c r="A1345" s="40"/>
      <c r="B1345" s="40"/>
    </row>
    <row r="1346" spans="1:2" x14ac:dyDescent="0.2">
      <c r="A1346" s="40"/>
      <c r="B1346" s="40"/>
    </row>
    <row r="1347" spans="1:2" x14ac:dyDescent="0.2">
      <c r="A1347" s="40"/>
      <c r="B1347" s="40"/>
    </row>
    <row r="1348" spans="1:2" x14ac:dyDescent="0.2">
      <c r="A1348" s="40"/>
      <c r="B1348" s="40"/>
    </row>
    <row r="1349" spans="1:2" x14ac:dyDescent="0.2">
      <c r="A1349" s="40"/>
      <c r="B1349" s="40"/>
    </row>
    <row r="1350" spans="1:2" x14ac:dyDescent="0.2">
      <c r="A1350" s="40"/>
      <c r="B1350" s="40"/>
    </row>
    <row r="1351" spans="1:2" x14ac:dyDescent="0.2">
      <c r="A1351" s="40"/>
      <c r="B1351" s="40"/>
    </row>
    <row r="1352" spans="1:2" x14ac:dyDescent="0.2">
      <c r="A1352" s="40"/>
      <c r="B1352" s="40"/>
    </row>
    <row r="1353" spans="1:2" x14ac:dyDescent="0.2">
      <c r="A1353" s="40"/>
      <c r="B1353" s="40"/>
    </row>
    <row r="1354" spans="1:2" x14ac:dyDescent="0.2">
      <c r="A1354" s="40"/>
      <c r="B1354" s="40"/>
    </row>
    <row r="1355" spans="1:2" x14ac:dyDescent="0.2">
      <c r="A1355" s="40"/>
      <c r="B1355" s="40"/>
    </row>
    <row r="1356" spans="1:2" x14ac:dyDescent="0.2">
      <c r="A1356" s="40"/>
      <c r="B1356" s="40"/>
    </row>
    <row r="1357" spans="1:2" x14ac:dyDescent="0.2">
      <c r="A1357" s="40"/>
      <c r="B1357" s="40"/>
    </row>
    <row r="1358" spans="1:2" x14ac:dyDescent="0.2">
      <c r="A1358" s="40"/>
      <c r="B1358" s="40"/>
    </row>
    <row r="1359" spans="1:2" x14ac:dyDescent="0.2">
      <c r="A1359" s="40"/>
      <c r="B1359" s="40"/>
    </row>
    <row r="1360" spans="1:2" x14ac:dyDescent="0.2">
      <c r="A1360" s="40"/>
      <c r="B1360" s="40"/>
    </row>
    <row r="1361" spans="1:2" x14ac:dyDescent="0.2">
      <c r="A1361" s="40"/>
      <c r="B1361" s="40"/>
    </row>
    <row r="1362" spans="1:2" x14ac:dyDescent="0.2">
      <c r="A1362" s="40"/>
      <c r="B1362" s="40"/>
    </row>
    <row r="1363" spans="1:2" x14ac:dyDescent="0.2">
      <c r="A1363" s="40"/>
      <c r="B1363" s="40"/>
    </row>
    <row r="1364" spans="1:2" x14ac:dyDescent="0.2">
      <c r="A1364" s="40"/>
      <c r="B1364" s="40"/>
    </row>
    <row r="1365" spans="1:2" x14ac:dyDescent="0.2">
      <c r="A1365" s="40"/>
      <c r="B1365" s="40"/>
    </row>
    <row r="1366" spans="1:2" x14ac:dyDescent="0.2">
      <c r="A1366" s="40"/>
      <c r="B1366" s="40"/>
    </row>
    <row r="1367" spans="1:2" x14ac:dyDescent="0.2">
      <c r="A1367" s="40"/>
      <c r="B1367" s="40"/>
    </row>
    <row r="1368" spans="1:2" x14ac:dyDescent="0.2">
      <c r="A1368" s="40"/>
      <c r="B1368" s="40"/>
    </row>
    <row r="1369" spans="1:2" x14ac:dyDescent="0.2">
      <c r="A1369" s="40"/>
      <c r="B1369" s="40"/>
    </row>
    <row r="1370" spans="1:2" x14ac:dyDescent="0.2">
      <c r="A1370" s="40"/>
      <c r="B1370" s="40"/>
    </row>
    <row r="1371" spans="1:2" x14ac:dyDescent="0.2">
      <c r="A1371" s="40"/>
      <c r="B1371" s="40"/>
    </row>
    <row r="1372" spans="1:2" x14ac:dyDescent="0.2">
      <c r="A1372" s="40"/>
      <c r="B1372" s="40"/>
    </row>
    <row r="1373" spans="1:2" x14ac:dyDescent="0.2">
      <c r="A1373" s="40"/>
      <c r="B1373" s="40"/>
    </row>
    <row r="1374" spans="1:2" x14ac:dyDescent="0.2">
      <c r="A1374" s="40"/>
      <c r="B1374" s="40"/>
    </row>
    <row r="1375" spans="1:2" x14ac:dyDescent="0.2">
      <c r="A1375" s="40"/>
      <c r="B1375" s="40"/>
    </row>
    <row r="1376" spans="1:2" x14ac:dyDescent="0.2">
      <c r="A1376" s="40"/>
      <c r="B1376" s="40"/>
    </row>
    <row r="1377" spans="1:2" x14ac:dyDescent="0.2">
      <c r="A1377" s="40"/>
      <c r="B1377" s="40"/>
    </row>
    <row r="1378" spans="1:2" x14ac:dyDescent="0.2">
      <c r="A1378" s="40"/>
      <c r="B1378" s="40"/>
    </row>
    <row r="1379" spans="1:2" x14ac:dyDescent="0.2">
      <c r="A1379" s="40"/>
      <c r="B1379" s="40"/>
    </row>
    <row r="1380" spans="1:2" x14ac:dyDescent="0.2">
      <c r="A1380" s="40"/>
      <c r="B1380" s="40"/>
    </row>
    <row r="1381" spans="1:2" x14ac:dyDescent="0.2">
      <c r="A1381" s="40"/>
      <c r="B1381" s="40"/>
    </row>
    <row r="1382" spans="1:2" x14ac:dyDescent="0.2">
      <c r="A1382" s="40"/>
      <c r="B1382" s="40"/>
    </row>
    <row r="1383" spans="1:2" x14ac:dyDescent="0.2">
      <c r="A1383" s="40"/>
      <c r="B1383" s="40"/>
    </row>
    <row r="1384" spans="1:2" x14ac:dyDescent="0.2">
      <c r="A1384" s="40"/>
      <c r="B1384" s="40"/>
    </row>
    <row r="1385" spans="1:2" x14ac:dyDescent="0.2">
      <c r="A1385" s="40"/>
      <c r="B1385" s="40"/>
    </row>
    <row r="1386" spans="1:2" x14ac:dyDescent="0.2">
      <c r="A1386" s="40"/>
      <c r="B1386" s="40"/>
    </row>
    <row r="1387" spans="1:2" x14ac:dyDescent="0.2">
      <c r="A1387" s="40"/>
      <c r="B1387" s="40"/>
    </row>
    <row r="1388" spans="1:2" x14ac:dyDescent="0.2">
      <c r="A1388" s="40"/>
      <c r="B1388" s="40"/>
    </row>
    <row r="1389" spans="1:2" x14ac:dyDescent="0.2">
      <c r="A1389" s="40"/>
      <c r="B1389" s="40"/>
    </row>
    <row r="1390" spans="1:2" x14ac:dyDescent="0.2">
      <c r="A1390" s="40"/>
      <c r="B1390" s="40"/>
    </row>
    <row r="1391" spans="1:2" x14ac:dyDescent="0.2">
      <c r="A1391" s="40"/>
      <c r="B1391" s="40"/>
    </row>
    <row r="1392" spans="1:2" x14ac:dyDescent="0.2">
      <c r="A1392" s="40"/>
      <c r="B1392" s="40"/>
    </row>
    <row r="1393" spans="1:2" x14ac:dyDescent="0.2">
      <c r="A1393" s="40"/>
      <c r="B1393" s="40"/>
    </row>
    <row r="1394" spans="1:2" x14ac:dyDescent="0.2">
      <c r="A1394" s="40"/>
      <c r="B1394" s="40"/>
    </row>
    <row r="1395" spans="1:2" x14ac:dyDescent="0.2">
      <c r="A1395" s="40"/>
      <c r="B1395" s="40"/>
    </row>
    <row r="1396" spans="1:2" x14ac:dyDescent="0.2">
      <c r="A1396" s="40"/>
      <c r="B1396" s="40"/>
    </row>
    <row r="1397" spans="1:2" x14ac:dyDescent="0.2">
      <c r="A1397" s="40"/>
      <c r="B1397" s="40"/>
    </row>
    <row r="1398" spans="1:2" x14ac:dyDescent="0.2">
      <c r="A1398" s="40"/>
      <c r="B1398" s="40"/>
    </row>
    <row r="1399" spans="1:2" x14ac:dyDescent="0.2">
      <c r="A1399" s="40"/>
      <c r="B1399" s="40"/>
    </row>
    <row r="1400" spans="1:2" x14ac:dyDescent="0.2">
      <c r="A1400" s="40"/>
      <c r="B1400" s="40"/>
    </row>
    <row r="1401" spans="1:2" x14ac:dyDescent="0.2">
      <c r="A1401" s="40"/>
      <c r="B1401" s="40"/>
    </row>
    <row r="1402" spans="1:2" x14ac:dyDescent="0.2">
      <c r="A1402" s="40"/>
      <c r="B1402" s="40"/>
    </row>
    <row r="1403" spans="1:2" x14ac:dyDescent="0.2">
      <c r="A1403" s="40"/>
      <c r="B1403" s="40"/>
    </row>
    <row r="1404" spans="1:2" x14ac:dyDescent="0.2">
      <c r="A1404" s="40"/>
      <c r="B1404" s="40"/>
    </row>
    <row r="1405" spans="1:2" x14ac:dyDescent="0.2">
      <c r="A1405" s="40"/>
      <c r="B1405" s="40"/>
    </row>
    <row r="1406" spans="1:2" x14ac:dyDescent="0.2">
      <c r="A1406" s="40"/>
      <c r="B1406" s="40"/>
    </row>
    <row r="1407" spans="1:2" x14ac:dyDescent="0.2">
      <c r="A1407" s="40"/>
      <c r="B1407" s="40"/>
    </row>
    <row r="1408" spans="1:2" x14ac:dyDescent="0.2">
      <c r="A1408" s="40"/>
      <c r="B1408" s="40"/>
    </row>
    <row r="1409" spans="1:2" x14ac:dyDescent="0.2">
      <c r="A1409" s="40"/>
      <c r="B1409" s="40"/>
    </row>
    <row r="1410" spans="1:2" x14ac:dyDescent="0.2">
      <c r="A1410" s="40"/>
      <c r="B1410" s="40"/>
    </row>
    <row r="1411" spans="1:2" x14ac:dyDescent="0.2">
      <c r="A1411" s="40"/>
      <c r="B1411" s="40"/>
    </row>
    <row r="1412" spans="1:2" x14ac:dyDescent="0.2">
      <c r="A1412" s="40"/>
      <c r="B1412" s="40"/>
    </row>
    <row r="1413" spans="1:2" x14ac:dyDescent="0.2">
      <c r="A1413" s="40"/>
      <c r="B1413" s="40"/>
    </row>
    <row r="1414" spans="1:2" x14ac:dyDescent="0.2">
      <c r="A1414" s="40"/>
      <c r="B1414" s="40"/>
    </row>
    <row r="1415" spans="1:2" x14ac:dyDescent="0.2">
      <c r="A1415" s="40"/>
      <c r="B1415" s="40"/>
    </row>
    <row r="1416" spans="1:2" x14ac:dyDescent="0.2">
      <c r="A1416" s="40"/>
      <c r="B1416" s="40"/>
    </row>
    <row r="1417" spans="1:2" x14ac:dyDescent="0.2">
      <c r="A1417" s="40"/>
      <c r="B1417" s="40"/>
    </row>
    <row r="1418" spans="1:2" x14ac:dyDescent="0.2">
      <c r="A1418" s="40"/>
      <c r="B1418" s="40"/>
    </row>
    <row r="1419" spans="1:2" x14ac:dyDescent="0.2">
      <c r="A1419" s="40"/>
      <c r="B1419" s="40"/>
    </row>
    <row r="1420" spans="1:2" x14ac:dyDescent="0.2">
      <c r="A1420" s="40"/>
      <c r="B1420" s="40"/>
    </row>
    <row r="1421" spans="1:2" x14ac:dyDescent="0.2">
      <c r="A1421" s="40"/>
      <c r="B1421" s="40"/>
    </row>
    <row r="1422" spans="1:2" x14ac:dyDescent="0.2">
      <c r="A1422" s="40"/>
      <c r="B1422" s="40"/>
    </row>
    <row r="1423" spans="1:2" x14ac:dyDescent="0.2">
      <c r="A1423" s="40"/>
      <c r="B1423" s="40"/>
    </row>
    <row r="1424" spans="1:2" x14ac:dyDescent="0.2">
      <c r="A1424" s="40"/>
      <c r="B1424" s="40"/>
    </row>
    <row r="1425" spans="1:2" x14ac:dyDescent="0.2">
      <c r="A1425" s="40"/>
      <c r="B1425" s="40"/>
    </row>
    <row r="1426" spans="1:2" x14ac:dyDescent="0.2">
      <c r="A1426" s="40"/>
      <c r="B1426" s="40"/>
    </row>
    <row r="1427" spans="1:2" x14ac:dyDescent="0.2">
      <c r="A1427" s="40"/>
      <c r="B1427" s="40"/>
    </row>
    <row r="1428" spans="1:2" x14ac:dyDescent="0.2">
      <c r="A1428" s="40"/>
      <c r="B1428" s="40"/>
    </row>
    <row r="1429" spans="1:2" x14ac:dyDescent="0.2">
      <c r="A1429" s="40"/>
      <c r="B1429" s="40"/>
    </row>
    <row r="1430" spans="1:2" x14ac:dyDescent="0.2">
      <c r="A1430" s="40"/>
      <c r="B1430" s="40"/>
    </row>
    <row r="1431" spans="1:2" x14ac:dyDescent="0.2">
      <c r="A1431" s="40"/>
      <c r="B1431" s="40"/>
    </row>
    <row r="1432" spans="1:2" x14ac:dyDescent="0.2">
      <c r="A1432" s="40"/>
      <c r="B1432" s="40"/>
    </row>
    <row r="1433" spans="1:2" x14ac:dyDescent="0.2">
      <c r="A1433" s="40"/>
      <c r="B1433" s="40"/>
    </row>
    <row r="1434" spans="1:2" x14ac:dyDescent="0.2">
      <c r="A1434" s="40"/>
      <c r="B1434" s="40"/>
    </row>
    <row r="1435" spans="1:2" x14ac:dyDescent="0.2">
      <c r="A1435" s="40"/>
      <c r="B1435" s="40"/>
    </row>
    <row r="1436" spans="1:2" x14ac:dyDescent="0.2">
      <c r="A1436" s="40"/>
      <c r="B1436" s="40"/>
    </row>
    <row r="1437" spans="1:2" x14ac:dyDescent="0.2">
      <c r="A1437" s="40"/>
      <c r="B1437" s="40"/>
    </row>
    <row r="1438" spans="1:2" x14ac:dyDescent="0.2">
      <c r="A1438" s="40"/>
      <c r="B1438" s="40"/>
    </row>
    <row r="1439" spans="1:2" x14ac:dyDescent="0.2">
      <c r="A1439" s="40"/>
      <c r="B1439" s="40"/>
    </row>
    <row r="1440" spans="1:2" x14ac:dyDescent="0.2">
      <c r="A1440" s="40"/>
      <c r="B1440" s="40"/>
    </row>
    <row r="1441" spans="1:2" x14ac:dyDescent="0.2">
      <c r="A1441" s="40"/>
      <c r="B1441" s="40"/>
    </row>
    <row r="1442" spans="1:2" x14ac:dyDescent="0.2">
      <c r="A1442" s="40"/>
      <c r="B1442" s="40"/>
    </row>
    <row r="1443" spans="1:2" x14ac:dyDescent="0.2">
      <c r="A1443" s="40"/>
      <c r="B1443" s="40"/>
    </row>
    <row r="1444" spans="1:2" x14ac:dyDescent="0.2">
      <c r="A1444" s="40"/>
      <c r="B1444" s="40"/>
    </row>
    <row r="1445" spans="1:2" x14ac:dyDescent="0.2">
      <c r="A1445" s="40"/>
      <c r="B1445" s="40"/>
    </row>
    <row r="1446" spans="1:2" x14ac:dyDescent="0.2">
      <c r="A1446" s="40"/>
      <c r="B1446" s="40"/>
    </row>
    <row r="1447" spans="1:2" x14ac:dyDescent="0.2">
      <c r="A1447" s="40"/>
      <c r="B1447" s="40"/>
    </row>
    <row r="1448" spans="1:2" x14ac:dyDescent="0.2">
      <c r="A1448" s="40"/>
      <c r="B1448" s="40"/>
    </row>
    <row r="1449" spans="1:2" x14ac:dyDescent="0.2">
      <c r="A1449" s="40"/>
      <c r="B1449" s="40"/>
    </row>
    <row r="1450" spans="1:2" x14ac:dyDescent="0.2">
      <c r="A1450" s="40"/>
      <c r="B1450" s="40"/>
    </row>
    <row r="1451" spans="1:2" x14ac:dyDescent="0.2">
      <c r="A1451" s="40"/>
      <c r="B1451" s="40"/>
    </row>
    <row r="1452" spans="1:2" x14ac:dyDescent="0.2">
      <c r="A1452" s="40"/>
      <c r="B1452" s="40"/>
    </row>
    <row r="1453" spans="1:2" x14ac:dyDescent="0.2">
      <c r="A1453" s="40"/>
      <c r="B1453" s="40"/>
    </row>
    <row r="1454" spans="1:2" x14ac:dyDescent="0.2">
      <c r="A1454" s="40"/>
      <c r="B1454" s="40"/>
    </row>
    <row r="1455" spans="1:2" x14ac:dyDescent="0.2">
      <c r="A1455" s="40"/>
      <c r="B1455" s="40"/>
    </row>
    <row r="1456" spans="1:2" x14ac:dyDescent="0.2">
      <c r="A1456" s="40"/>
      <c r="B1456" s="40"/>
    </row>
    <row r="1457" spans="1:2" x14ac:dyDescent="0.2">
      <c r="A1457" s="40"/>
      <c r="B1457" s="40"/>
    </row>
    <row r="1458" spans="1:2" x14ac:dyDescent="0.2">
      <c r="A1458" s="40"/>
      <c r="B1458" s="40"/>
    </row>
    <row r="1459" spans="1:2" x14ac:dyDescent="0.2">
      <c r="A1459" s="40"/>
      <c r="B1459" s="40"/>
    </row>
    <row r="1460" spans="1:2" x14ac:dyDescent="0.2">
      <c r="A1460" s="40"/>
      <c r="B1460" s="40"/>
    </row>
    <row r="1461" spans="1:2" x14ac:dyDescent="0.2">
      <c r="A1461" s="40"/>
      <c r="B1461" s="40"/>
    </row>
    <row r="1462" spans="1:2" x14ac:dyDescent="0.2">
      <c r="A1462" s="40"/>
      <c r="B1462" s="40"/>
    </row>
    <row r="1463" spans="1:2" x14ac:dyDescent="0.2">
      <c r="A1463" s="40"/>
      <c r="B1463" s="40"/>
    </row>
    <row r="1464" spans="1:2" x14ac:dyDescent="0.2">
      <c r="A1464" s="40"/>
      <c r="B1464" s="40"/>
    </row>
    <row r="1465" spans="1:2" x14ac:dyDescent="0.2">
      <c r="A1465" s="40"/>
      <c r="B1465" s="40"/>
    </row>
    <row r="1466" spans="1:2" x14ac:dyDescent="0.2">
      <c r="A1466" s="40"/>
      <c r="B1466" s="40"/>
    </row>
    <row r="1467" spans="1:2" x14ac:dyDescent="0.2">
      <c r="A1467" s="40"/>
      <c r="B1467" s="40"/>
    </row>
    <row r="1468" spans="1:2" x14ac:dyDescent="0.2">
      <c r="A1468" s="40"/>
      <c r="B1468" s="40"/>
    </row>
    <row r="1469" spans="1:2" x14ac:dyDescent="0.2">
      <c r="A1469" s="40"/>
      <c r="B1469" s="40"/>
    </row>
    <row r="1470" spans="1:2" x14ac:dyDescent="0.2">
      <c r="A1470" s="40"/>
      <c r="B1470" s="40"/>
    </row>
    <row r="1471" spans="1:2" x14ac:dyDescent="0.2">
      <c r="A1471" s="40"/>
      <c r="B1471" s="40"/>
    </row>
    <row r="1472" spans="1:2" x14ac:dyDescent="0.2">
      <c r="A1472" s="40"/>
      <c r="B1472" s="40"/>
    </row>
    <row r="1473" spans="1:2" x14ac:dyDescent="0.2">
      <c r="A1473" s="40"/>
      <c r="B1473" s="40"/>
    </row>
    <row r="1474" spans="1:2" x14ac:dyDescent="0.2">
      <c r="A1474" s="40"/>
      <c r="B1474" s="40"/>
    </row>
    <row r="1475" spans="1:2" x14ac:dyDescent="0.2">
      <c r="A1475" s="40"/>
      <c r="B1475" s="40"/>
    </row>
    <row r="1476" spans="1:2" x14ac:dyDescent="0.2">
      <c r="A1476" s="40"/>
      <c r="B1476" s="40"/>
    </row>
    <row r="1477" spans="1:2" x14ac:dyDescent="0.2">
      <c r="A1477" s="40"/>
      <c r="B1477" s="40"/>
    </row>
    <row r="1478" spans="1:2" x14ac:dyDescent="0.2">
      <c r="A1478" s="40"/>
      <c r="B1478" s="40"/>
    </row>
    <row r="1479" spans="1:2" x14ac:dyDescent="0.2">
      <c r="A1479" s="40"/>
      <c r="B1479" s="40"/>
    </row>
    <row r="1480" spans="1:2" x14ac:dyDescent="0.2">
      <c r="A1480" s="40"/>
      <c r="B1480" s="40"/>
    </row>
    <row r="1481" spans="1:2" x14ac:dyDescent="0.2">
      <c r="A1481" s="40"/>
      <c r="B1481" s="40"/>
    </row>
    <row r="1482" spans="1:2" x14ac:dyDescent="0.2">
      <c r="A1482" s="40"/>
      <c r="B1482" s="40"/>
    </row>
    <row r="1483" spans="1:2" x14ac:dyDescent="0.2">
      <c r="A1483" s="40"/>
      <c r="B1483" s="40"/>
    </row>
    <row r="1484" spans="1:2" x14ac:dyDescent="0.2">
      <c r="A1484" s="40"/>
      <c r="B1484" s="40"/>
    </row>
    <row r="1485" spans="1:2" x14ac:dyDescent="0.2">
      <c r="A1485" s="40"/>
      <c r="B1485" s="40"/>
    </row>
    <row r="1486" spans="1:2" x14ac:dyDescent="0.2">
      <c r="A1486" s="40"/>
      <c r="B1486" s="40"/>
    </row>
    <row r="1487" spans="1:2" x14ac:dyDescent="0.2">
      <c r="A1487" s="40"/>
      <c r="B1487" s="40"/>
    </row>
    <row r="1488" spans="1:2" x14ac:dyDescent="0.2">
      <c r="A1488" s="40"/>
      <c r="B1488" s="40"/>
    </row>
    <row r="1489" spans="1:2" x14ac:dyDescent="0.2">
      <c r="A1489" s="40"/>
      <c r="B1489" s="40"/>
    </row>
    <row r="1490" spans="1:2" x14ac:dyDescent="0.2">
      <c r="A1490" s="40"/>
      <c r="B1490" s="40"/>
    </row>
    <row r="1491" spans="1:2" x14ac:dyDescent="0.2">
      <c r="A1491" s="40"/>
      <c r="B1491" s="40"/>
    </row>
    <row r="1492" spans="1:2" x14ac:dyDescent="0.2">
      <c r="A1492" s="40"/>
      <c r="B1492" s="40"/>
    </row>
    <row r="1493" spans="1:2" x14ac:dyDescent="0.2">
      <c r="A1493" s="40"/>
      <c r="B1493" s="40"/>
    </row>
    <row r="1494" spans="1:2" x14ac:dyDescent="0.2">
      <c r="A1494" s="40"/>
      <c r="B1494" s="40"/>
    </row>
    <row r="1495" spans="1:2" x14ac:dyDescent="0.2">
      <c r="A1495" s="40"/>
      <c r="B1495" s="40"/>
    </row>
    <row r="1496" spans="1:2" x14ac:dyDescent="0.2">
      <c r="A1496" s="40"/>
      <c r="B1496" s="40"/>
    </row>
    <row r="1497" spans="1:2" x14ac:dyDescent="0.2">
      <c r="A1497" s="40"/>
      <c r="B1497" s="40"/>
    </row>
    <row r="1498" spans="1:2" x14ac:dyDescent="0.2">
      <c r="A1498" s="40"/>
      <c r="B1498" s="40"/>
    </row>
    <row r="1499" spans="1:2" x14ac:dyDescent="0.2">
      <c r="A1499" s="40"/>
      <c r="B1499" s="40"/>
    </row>
    <row r="1500" spans="1:2" x14ac:dyDescent="0.2">
      <c r="A1500" s="40"/>
      <c r="B1500" s="40"/>
    </row>
    <row r="1501" spans="1:2" x14ac:dyDescent="0.2">
      <c r="A1501" s="40"/>
      <c r="B1501" s="40"/>
    </row>
    <row r="1502" spans="1:2" x14ac:dyDescent="0.2">
      <c r="A1502" s="40"/>
      <c r="B1502" s="40"/>
    </row>
    <row r="1503" spans="1:2" x14ac:dyDescent="0.2">
      <c r="A1503" s="40"/>
      <c r="B1503" s="40"/>
    </row>
    <row r="1504" spans="1:2" x14ac:dyDescent="0.2">
      <c r="A1504" s="40"/>
      <c r="B1504" s="40"/>
    </row>
    <row r="1505" spans="1:2" x14ac:dyDescent="0.2">
      <c r="A1505" s="40"/>
      <c r="B1505" s="40"/>
    </row>
    <row r="1506" spans="1:2" x14ac:dyDescent="0.2">
      <c r="A1506" s="40"/>
      <c r="B1506" s="40"/>
    </row>
    <row r="1507" spans="1:2" x14ac:dyDescent="0.2">
      <c r="A1507" s="40"/>
      <c r="B1507" s="40"/>
    </row>
    <row r="1508" spans="1:2" x14ac:dyDescent="0.2">
      <c r="A1508" s="40"/>
      <c r="B1508" s="40"/>
    </row>
    <row r="1509" spans="1:2" x14ac:dyDescent="0.2">
      <c r="A1509" s="40"/>
      <c r="B1509" s="40"/>
    </row>
    <row r="1510" spans="1:2" x14ac:dyDescent="0.2">
      <c r="A1510" s="40"/>
      <c r="B1510" s="40"/>
    </row>
    <row r="1511" spans="1:2" x14ac:dyDescent="0.2">
      <c r="A1511" s="40"/>
      <c r="B1511" s="40"/>
    </row>
    <row r="1512" spans="1:2" x14ac:dyDescent="0.2">
      <c r="A1512" s="40"/>
      <c r="B1512" s="40"/>
    </row>
    <row r="1513" spans="1:2" x14ac:dyDescent="0.2">
      <c r="A1513" s="40"/>
      <c r="B1513" s="40"/>
    </row>
    <row r="1514" spans="1:2" x14ac:dyDescent="0.2">
      <c r="A1514" s="40"/>
      <c r="B1514" s="40"/>
    </row>
    <row r="1515" spans="1:2" x14ac:dyDescent="0.2">
      <c r="A1515" s="40"/>
      <c r="B1515" s="40"/>
    </row>
    <row r="1516" spans="1:2" x14ac:dyDescent="0.2">
      <c r="A1516" s="40"/>
      <c r="B1516" s="40"/>
    </row>
    <row r="1517" spans="1:2" x14ac:dyDescent="0.2">
      <c r="A1517" s="40"/>
      <c r="B1517" s="40"/>
    </row>
    <row r="1518" spans="1:2" x14ac:dyDescent="0.2">
      <c r="A1518" s="40"/>
      <c r="B1518" s="40"/>
    </row>
    <row r="1519" spans="1:2" x14ac:dyDescent="0.2">
      <c r="A1519" s="40"/>
      <c r="B1519" s="40"/>
    </row>
    <row r="1520" spans="1:2" x14ac:dyDescent="0.2">
      <c r="A1520" s="40"/>
      <c r="B1520" s="40"/>
    </row>
    <row r="1521" spans="1:2" x14ac:dyDescent="0.2">
      <c r="A1521" s="40"/>
      <c r="B1521" s="40"/>
    </row>
    <row r="1522" spans="1:2" x14ac:dyDescent="0.2">
      <c r="A1522" s="40"/>
      <c r="B1522" s="40"/>
    </row>
    <row r="1523" spans="1:2" x14ac:dyDescent="0.2">
      <c r="A1523" s="40"/>
      <c r="B1523" s="40"/>
    </row>
    <row r="1524" spans="1:2" x14ac:dyDescent="0.2">
      <c r="A1524" s="40"/>
      <c r="B1524" s="40"/>
    </row>
    <row r="1525" spans="1:2" x14ac:dyDescent="0.2">
      <c r="A1525" s="40"/>
      <c r="B1525" s="40"/>
    </row>
    <row r="1526" spans="1:2" x14ac:dyDescent="0.2">
      <c r="A1526" s="40"/>
      <c r="B1526" s="40"/>
    </row>
    <row r="1527" spans="1:2" x14ac:dyDescent="0.2">
      <c r="A1527" s="40"/>
      <c r="B1527" s="40"/>
    </row>
    <row r="1528" spans="1:2" x14ac:dyDescent="0.2">
      <c r="A1528" s="40"/>
      <c r="B1528" s="40"/>
    </row>
    <row r="1529" spans="1:2" x14ac:dyDescent="0.2">
      <c r="A1529" s="40"/>
      <c r="B1529" s="40"/>
    </row>
    <row r="1530" spans="1:2" x14ac:dyDescent="0.2">
      <c r="A1530" s="40"/>
      <c r="B1530" s="40"/>
    </row>
    <row r="1531" spans="1:2" x14ac:dyDescent="0.2">
      <c r="A1531" s="40"/>
      <c r="B1531" s="40"/>
    </row>
    <row r="1532" spans="1:2" x14ac:dyDescent="0.2">
      <c r="A1532" s="40"/>
      <c r="B1532" s="40"/>
    </row>
    <row r="1533" spans="1:2" x14ac:dyDescent="0.2">
      <c r="A1533" s="40"/>
      <c r="B1533" s="40"/>
    </row>
    <row r="1534" spans="1:2" x14ac:dyDescent="0.2">
      <c r="A1534" s="40"/>
      <c r="B1534" s="40"/>
    </row>
    <row r="1535" spans="1:2" x14ac:dyDescent="0.2">
      <c r="A1535" s="40"/>
      <c r="B1535" s="40"/>
    </row>
    <row r="1536" spans="1:2" x14ac:dyDescent="0.2">
      <c r="A1536" s="40"/>
      <c r="B1536" s="40"/>
    </row>
    <row r="1537" spans="1:2" x14ac:dyDescent="0.2">
      <c r="A1537" s="40"/>
      <c r="B1537" s="40"/>
    </row>
    <row r="1538" spans="1:2" x14ac:dyDescent="0.2">
      <c r="A1538" s="40"/>
      <c r="B1538" s="40"/>
    </row>
    <row r="1539" spans="1:2" x14ac:dyDescent="0.2">
      <c r="A1539" s="40"/>
      <c r="B1539" s="40"/>
    </row>
    <row r="1540" spans="1:2" x14ac:dyDescent="0.2">
      <c r="A1540" s="40"/>
      <c r="B1540" s="40"/>
    </row>
    <row r="1541" spans="1:2" x14ac:dyDescent="0.2">
      <c r="A1541" s="40"/>
      <c r="B1541" s="40"/>
    </row>
    <row r="1542" spans="1:2" x14ac:dyDescent="0.2">
      <c r="A1542" s="40"/>
      <c r="B1542" s="40"/>
    </row>
    <row r="1543" spans="1:2" x14ac:dyDescent="0.2">
      <c r="A1543" s="40"/>
      <c r="B1543" s="40"/>
    </row>
    <row r="1544" spans="1:2" x14ac:dyDescent="0.2">
      <c r="A1544" s="40"/>
      <c r="B1544" s="40"/>
    </row>
    <row r="1545" spans="1:2" x14ac:dyDescent="0.2">
      <c r="A1545" s="40"/>
      <c r="B1545" s="40"/>
    </row>
    <row r="1546" spans="1:2" x14ac:dyDescent="0.2">
      <c r="A1546" s="40"/>
      <c r="B1546" s="40"/>
    </row>
    <row r="1547" spans="1:2" x14ac:dyDescent="0.2">
      <c r="A1547" s="40"/>
      <c r="B1547" s="40"/>
    </row>
    <row r="1548" spans="1:2" x14ac:dyDescent="0.2">
      <c r="A1548" s="40"/>
      <c r="B1548" s="40"/>
    </row>
    <row r="1549" spans="1:2" x14ac:dyDescent="0.2">
      <c r="A1549" s="40"/>
      <c r="B1549" s="40"/>
    </row>
    <row r="1550" spans="1:2" x14ac:dyDescent="0.2">
      <c r="A1550" s="40"/>
      <c r="B1550" s="40"/>
    </row>
    <row r="1551" spans="1:2" x14ac:dyDescent="0.2">
      <c r="A1551" s="40"/>
      <c r="B1551" s="40"/>
    </row>
    <row r="1552" spans="1:2" x14ac:dyDescent="0.2">
      <c r="A1552" s="40"/>
      <c r="B1552" s="40"/>
    </row>
    <row r="1553" spans="1:2" x14ac:dyDescent="0.2">
      <c r="A1553" s="40"/>
      <c r="B1553" s="40"/>
    </row>
    <row r="1554" spans="1:2" x14ac:dyDescent="0.2">
      <c r="A1554" s="40"/>
      <c r="B1554" s="40"/>
    </row>
    <row r="1555" spans="1:2" x14ac:dyDescent="0.2">
      <c r="A1555" s="40"/>
      <c r="B1555" s="40"/>
    </row>
    <row r="1556" spans="1:2" x14ac:dyDescent="0.2">
      <c r="A1556" s="40"/>
      <c r="B1556" s="40"/>
    </row>
    <row r="1557" spans="1:2" x14ac:dyDescent="0.2">
      <c r="A1557" s="40"/>
      <c r="B1557" s="40"/>
    </row>
    <row r="1558" spans="1:2" x14ac:dyDescent="0.2">
      <c r="A1558" s="40"/>
      <c r="B1558" s="40"/>
    </row>
    <row r="1559" spans="1:2" x14ac:dyDescent="0.2">
      <c r="A1559" s="40"/>
      <c r="B1559" s="40"/>
    </row>
    <row r="1560" spans="1:2" x14ac:dyDescent="0.2">
      <c r="A1560" s="40"/>
      <c r="B1560" s="40"/>
    </row>
    <row r="1561" spans="1:2" x14ac:dyDescent="0.2">
      <c r="A1561" s="40"/>
      <c r="B1561" s="40"/>
    </row>
    <row r="1562" spans="1:2" x14ac:dyDescent="0.2">
      <c r="A1562" s="40"/>
      <c r="B1562" s="40"/>
    </row>
    <row r="1563" spans="1:2" x14ac:dyDescent="0.2">
      <c r="A1563" s="40"/>
      <c r="B1563" s="40"/>
    </row>
    <row r="1564" spans="1:2" x14ac:dyDescent="0.2">
      <c r="A1564" s="40"/>
      <c r="B1564" s="40"/>
    </row>
    <row r="1565" spans="1:2" x14ac:dyDescent="0.2">
      <c r="A1565" s="40"/>
      <c r="B1565" s="40"/>
    </row>
    <row r="1566" spans="1:2" x14ac:dyDescent="0.2">
      <c r="A1566" s="40"/>
      <c r="B1566" s="40"/>
    </row>
    <row r="1567" spans="1:2" x14ac:dyDescent="0.2">
      <c r="A1567" s="40"/>
      <c r="B1567" s="40"/>
    </row>
    <row r="1568" spans="1:2" x14ac:dyDescent="0.2">
      <c r="A1568" s="40"/>
      <c r="B1568" s="40"/>
    </row>
    <row r="1569" spans="1:2" x14ac:dyDescent="0.2">
      <c r="A1569" s="40"/>
      <c r="B1569" s="40"/>
    </row>
    <row r="1570" spans="1:2" x14ac:dyDescent="0.2">
      <c r="A1570" s="40"/>
      <c r="B1570" s="40"/>
    </row>
    <row r="1571" spans="1:2" x14ac:dyDescent="0.2">
      <c r="A1571" s="40"/>
      <c r="B1571" s="40"/>
    </row>
    <row r="1572" spans="1:2" x14ac:dyDescent="0.2">
      <c r="A1572" s="40"/>
      <c r="B1572" s="40"/>
    </row>
    <row r="1573" spans="1:2" x14ac:dyDescent="0.2">
      <c r="A1573" s="40"/>
      <c r="B1573" s="40"/>
    </row>
    <row r="1574" spans="1:2" x14ac:dyDescent="0.2">
      <c r="A1574" s="40"/>
      <c r="B1574" s="40"/>
    </row>
    <row r="1575" spans="1:2" x14ac:dyDescent="0.2">
      <c r="A1575" s="40"/>
      <c r="B1575" s="40"/>
    </row>
    <row r="1576" spans="1:2" x14ac:dyDescent="0.2">
      <c r="A1576" s="40"/>
      <c r="B1576" s="40"/>
    </row>
    <row r="1577" spans="1:2" x14ac:dyDescent="0.2">
      <c r="A1577" s="40"/>
      <c r="B1577" s="40"/>
    </row>
    <row r="1578" spans="1:2" x14ac:dyDescent="0.2">
      <c r="A1578" s="40"/>
      <c r="B1578" s="40"/>
    </row>
    <row r="1579" spans="1:2" x14ac:dyDescent="0.2">
      <c r="A1579" s="40"/>
      <c r="B1579" s="40"/>
    </row>
    <row r="1580" spans="1:2" x14ac:dyDescent="0.2">
      <c r="A1580" s="40"/>
      <c r="B1580" s="40"/>
    </row>
    <row r="1581" spans="1:2" x14ac:dyDescent="0.2">
      <c r="A1581" s="40"/>
      <c r="B1581" s="40"/>
    </row>
    <row r="1582" spans="1:2" x14ac:dyDescent="0.2">
      <c r="A1582" s="40"/>
      <c r="B1582" s="40"/>
    </row>
    <row r="1583" spans="1:2" x14ac:dyDescent="0.2">
      <c r="A1583" s="40"/>
      <c r="B1583" s="40"/>
    </row>
    <row r="1584" spans="1:2" x14ac:dyDescent="0.2">
      <c r="A1584" s="40"/>
      <c r="B1584" s="40"/>
    </row>
    <row r="1585" spans="1:2" x14ac:dyDescent="0.2">
      <c r="A1585" s="40"/>
      <c r="B1585" s="40"/>
    </row>
    <row r="1586" spans="1:2" x14ac:dyDescent="0.2">
      <c r="A1586" s="40"/>
      <c r="B1586" s="40"/>
    </row>
    <row r="1587" spans="1:2" x14ac:dyDescent="0.2">
      <c r="A1587" s="40"/>
      <c r="B1587" s="40"/>
    </row>
    <row r="1588" spans="1:2" x14ac:dyDescent="0.2">
      <c r="A1588" s="40"/>
      <c r="B1588" s="40"/>
    </row>
    <row r="1589" spans="1:2" x14ac:dyDescent="0.2">
      <c r="A1589" s="40"/>
      <c r="B1589" s="40"/>
    </row>
    <row r="1590" spans="1:2" x14ac:dyDescent="0.2">
      <c r="A1590" s="40"/>
      <c r="B1590" s="40"/>
    </row>
    <row r="1591" spans="1:2" x14ac:dyDescent="0.2">
      <c r="A1591" s="40"/>
      <c r="B1591" s="40"/>
    </row>
    <row r="1592" spans="1:2" x14ac:dyDescent="0.2">
      <c r="A1592" s="40"/>
      <c r="B1592" s="40"/>
    </row>
    <row r="1593" spans="1:2" x14ac:dyDescent="0.2">
      <c r="A1593" s="40"/>
      <c r="B1593" s="40"/>
    </row>
    <row r="1594" spans="1:2" x14ac:dyDescent="0.2">
      <c r="A1594" s="40"/>
      <c r="B1594" s="40"/>
    </row>
    <row r="1595" spans="1:2" x14ac:dyDescent="0.2">
      <c r="A1595" s="40"/>
      <c r="B1595" s="40"/>
    </row>
    <row r="1596" spans="1:2" x14ac:dyDescent="0.2">
      <c r="A1596" s="40"/>
      <c r="B1596" s="40"/>
    </row>
    <row r="1597" spans="1:2" x14ac:dyDescent="0.2">
      <c r="A1597" s="40"/>
      <c r="B1597" s="40"/>
    </row>
    <row r="1598" spans="1:2" x14ac:dyDescent="0.2">
      <c r="A1598" s="40"/>
      <c r="B1598" s="40"/>
    </row>
    <row r="1599" spans="1:2" x14ac:dyDescent="0.2">
      <c r="A1599" s="40"/>
      <c r="B1599" s="40"/>
    </row>
    <row r="1600" spans="1:2" x14ac:dyDescent="0.2">
      <c r="A1600" s="40"/>
      <c r="B1600" s="40"/>
    </row>
    <row r="1601" spans="1:2" x14ac:dyDescent="0.2">
      <c r="A1601" s="40"/>
      <c r="B1601" s="40"/>
    </row>
    <row r="1602" spans="1:2" x14ac:dyDescent="0.2">
      <c r="A1602" s="40"/>
      <c r="B1602" s="40"/>
    </row>
    <row r="1603" spans="1:2" x14ac:dyDescent="0.2">
      <c r="A1603" s="40"/>
      <c r="B1603" s="40"/>
    </row>
    <row r="1604" spans="1:2" x14ac:dyDescent="0.2">
      <c r="A1604" s="40"/>
      <c r="B1604" s="40"/>
    </row>
    <row r="1605" spans="1:2" x14ac:dyDescent="0.2">
      <c r="A1605" s="40"/>
      <c r="B1605" s="40"/>
    </row>
    <row r="1606" spans="1:2" x14ac:dyDescent="0.2">
      <c r="A1606" s="40"/>
      <c r="B1606" s="40"/>
    </row>
    <row r="1607" spans="1:2" x14ac:dyDescent="0.2">
      <c r="A1607" s="40"/>
      <c r="B1607" s="40"/>
    </row>
    <row r="1608" spans="1:2" x14ac:dyDescent="0.2">
      <c r="A1608" s="40"/>
      <c r="B1608" s="40"/>
    </row>
    <row r="1609" spans="1:2" x14ac:dyDescent="0.2">
      <c r="A1609" s="40"/>
      <c r="B1609" s="40"/>
    </row>
    <row r="1610" spans="1:2" x14ac:dyDescent="0.2">
      <c r="A1610" s="40"/>
      <c r="B1610" s="40"/>
    </row>
    <row r="1611" spans="1:2" x14ac:dyDescent="0.2">
      <c r="A1611" s="40"/>
      <c r="B1611" s="40"/>
    </row>
    <row r="1612" spans="1:2" x14ac:dyDescent="0.2">
      <c r="A1612" s="40"/>
      <c r="B1612" s="40"/>
    </row>
    <row r="1613" spans="1:2" x14ac:dyDescent="0.2">
      <c r="A1613" s="40"/>
      <c r="B1613" s="40"/>
    </row>
    <row r="1614" spans="1:2" x14ac:dyDescent="0.2">
      <c r="A1614" s="40"/>
      <c r="B1614" s="40"/>
    </row>
    <row r="1615" spans="1:2" x14ac:dyDescent="0.2">
      <c r="A1615" s="40"/>
      <c r="B1615" s="40"/>
    </row>
    <row r="1616" spans="1:2" x14ac:dyDescent="0.2">
      <c r="A1616" s="40"/>
      <c r="B1616" s="40"/>
    </row>
    <row r="1617" spans="1:2" x14ac:dyDescent="0.2">
      <c r="A1617" s="40"/>
      <c r="B1617" s="40"/>
    </row>
    <row r="1618" spans="1:2" x14ac:dyDescent="0.2">
      <c r="A1618" s="40"/>
      <c r="B1618" s="40"/>
    </row>
    <row r="1619" spans="1:2" x14ac:dyDescent="0.2">
      <c r="A1619" s="40"/>
      <c r="B1619" s="40"/>
    </row>
    <row r="1620" spans="1:2" x14ac:dyDescent="0.2">
      <c r="A1620" s="40"/>
      <c r="B1620" s="40"/>
    </row>
    <row r="1621" spans="1:2" x14ac:dyDescent="0.2">
      <c r="A1621" s="40"/>
      <c r="B1621" s="40"/>
    </row>
    <row r="1622" spans="1:2" x14ac:dyDescent="0.2">
      <c r="A1622" s="40"/>
      <c r="B1622" s="40"/>
    </row>
    <row r="1623" spans="1:2" x14ac:dyDescent="0.2">
      <c r="A1623" s="40"/>
      <c r="B1623" s="40"/>
    </row>
    <row r="1624" spans="1:2" x14ac:dyDescent="0.2">
      <c r="A1624" s="40"/>
      <c r="B1624" s="40"/>
    </row>
    <row r="1625" spans="1:2" x14ac:dyDescent="0.2">
      <c r="A1625" s="40"/>
      <c r="B1625" s="40"/>
    </row>
    <row r="1626" spans="1:2" x14ac:dyDescent="0.2">
      <c r="A1626" s="40"/>
      <c r="B1626" s="40"/>
    </row>
    <row r="1627" spans="1:2" x14ac:dyDescent="0.2">
      <c r="A1627" s="40"/>
      <c r="B1627" s="40"/>
    </row>
    <row r="1628" spans="1:2" x14ac:dyDescent="0.2">
      <c r="A1628" s="40"/>
      <c r="B1628" s="40"/>
    </row>
    <row r="1629" spans="1:2" x14ac:dyDescent="0.2">
      <c r="A1629" s="40"/>
      <c r="B1629" s="40"/>
    </row>
    <row r="1630" spans="1:2" x14ac:dyDescent="0.2">
      <c r="A1630" s="40"/>
      <c r="B1630" s="40"/>
    </row>
    <row r="1631" spans="1:2" x14ac:dyDescent="0.2">
      <c r="A1631" s="40"/>
      <c r="B1631" s="40"/>
    </row>
    <row r="1632" spans="1:2" x14ac:dyDescent="0.2">
      <c r="A1632" s="40"/>
      <c r="B1632" s="40"/>
    </row>
    <row r="1633" spans="1:2" x14ac:dyDescent="0.2">
      <c r="A1633" s="40"/>
      <c r="B1633" s="40"/>
    </row>
    <row r="1634" spans="1:2" x14ac:dyDescent="0.2">
      <c r="A1634" s="40"/>
      <c r="B1634" s="40"/>
    </row>
    <row r="1635" spans="1:2" x14ac:dyDescent="0.2">
      <c r="A1635" s="40"/>
      <c r="B1635" s="40"/>
    </row>
    <row r="1636" spans="1:2" x14ac:dyDescent="0.2">
      <c r="A1636" s="40"/>
      <c r="B1636" s="40"/>
    </row>
    <row r="1637" spans="1:2" x14ac:dyDescent="0.2">
      <c r="A1637" s="40"/>
      <c r="B1637" s="40"/>
    </row>
    <row r="1638" spans="1:2" x14ac:dyDescent="0.2">
      <c r="A1638" s="40"/>
      <c r="B1638" s="40"/>
    </row>
    <row r="1639" spans="1:2" x14ac:dyDescent="0.2">
      <c r="A1639" s="40"/>
      <c r="B1639" s="40"/>
    </row>
    <row r="1640" spans="1:2" x14ac:dyDescent="0.2">
      <c r="A1640" s="40"/>
      <c r="B1640" s="40"/>
    </row>
    <row r="1641" spans="1:2" x14ac:dyDescent="0.2">
      <c r="A1641" s="40"/>
      <c r="B1641" s="40"/>
    </row>
    <row r="1642" spans="1:2" x14ac:dyDescent="0.2">
      <c r="A1642" s="40"/>
      <c r="B1642" s="40"/>
    </row>
    <row r="1643" spans="1:2" x14ac:dyDescent="0.2">
      <c r="A1643" s="40"/>
      <c r="B1643" s="40"/>
    </row>
    <row r="1644" spans="1:2" x14ac:dyDescent="0.2">
      <c r="A1644" s="40"/>
      <c r="B1644" s="40"/>
    </row>
    <row r="1645" spans="1:2" x14ac:dyDescent="0.2">
      <c r="A1645" s="40"/>
      <c r="B1645" s="40"/>
    </row>
    <row r="1646" spans="1:2" x14ac:dyDescent="0.2">
      <c r="A1646" s="40"/>
      <c r="B1646" s="40"/>
    </row>
    <row r="1647" spans="1:2" x14ac:dyDescent="0.2">
      <c r="A1647" s="40"/>
      <c r="B1647" s="40"/>
    </row>
    <row r="1648" spans="1:2" x14ac:dyDescent="0.2">
      <c r="A1648" s="40"/>
      <c r="B1648" s="40"/>
    </row>
    <row r="1649" spans="1:2" x14ac:dyDescent="0.2">
      <c r="A1649" s="40"/>
      <c r="B1649" s="40"/>
    </row>
    <row r="1650" spans="1:2" x14ac:dyDescent="0.2">
      <c r="A1650" s="40"/>
      <c r="B1650" s="40"/>
    </row>
    <row r="1651" spans="1:2" x14ac:dyDescent="0.2">
      <c r="A1651" s="40"/>
      <c r="B1651" s="40"/>
    </row>
    <row r="1652" spans="1:2" x14ac:dyDescent="0.2">
      <c r="A1652" s="40"/>
      <c r="B1652" s="40"/>
    </row>
    <row r="1653" spans="1:2" x14ac:dyDescent="0.2">
      <c r="A1653" s="40"/>
      <c r="B1653" s="40"/>
    </row>
    <row r="1654" spans="1:2" x14ac:dyDescent="0.2">
      <c r="A1654" s="40"/>
      <c r="B1654" s="40"/>
    </row>
    <row r="1655" spans="1:2" x14ac:dyDescent="0.2">
      <c r="A1655" s="40"/>
      <c r="B1655" s="40"/>
    </row>
    <row r="1656" spans="1:2" x14ac:dyDescent="0.2">
      <c r="A1656" s="40"/>
      <c r="B1656" s="40"/>
    </row>
    <row r="1657" spans="1:2" x14ac:dyDescent="0.2">
      <c r="A1657" s="40"/>
      <c r="B1657" s="40"/>
    </row>
    <row r="1658" spans="1:2" x14ac:dyDescent="0.2">
      <c r="A1658" s="40"/>
      <c r="B1658" s="40"/>
    </row>
    <row r="1659" spans="1:2" x14ac:dyDescent="0.2">
      <c r="A1659" s="40"/>
      <c r="B1659" s="40"/>
    </row>
    <row r="1660" spans="1:2" x14ac:dyDescent="0.2">
      <c r="A1660" s="40"/>
      <c r="B1660" s="40"/>
    </row>
    <row r="1661" spans="1:2" x14ac:dyDescent="0.2">
      <c r="A1661" s="40"/>
      <c r="B1661" s="40"/>
    </row>
    <row r="1662" spans="1:2" x14ac:dyDescent="0.2">
      <c r="A1662" s="40"/>
      <c r="B1662" s="40"/>
    </row>
    <row r="1663" spans="1:2" x14ac:dyDescent="0.2">
      <c r="A1663" s="40"/>
      <c r="B1663" s="40"/>
    </row>
    <row r="1664" spans="1:2" x14ac:dyDescent="0.2">
      <c r="A1664" s="40"/>
      <c r="B1664" s="40"/>
    </row>
    <row r="1665" spans="1:2" x14ac:dyDescent="0.2">
      <c r="A1665" s="40"/>
      <c r="B1665" s="40"/>
    </row>
    <row r="1666" spans="1:2" x14ac:dyDescent="0.2">
      <c r="A1666" s="40"/>
      <c r="B1666" s="40"/>
    </row>
    <row r="1667" spans="1:2" x14ac:dyDescent="0.2">
      <c r="A1667" s="40"/>
      <c r="B1667" s="40"/>
    </row>
    <row r="1668" spans="1:2" x14ac:dyDescent="0.2">
      <c r="A1668" s="40"/>
      <c r="B1668" s="40"/>
    </row>
    <row r="1669" spans="1:2" x14ac:dyDescent="0.2">
      <c r="A1669" s="40"/>
      <c r="B1669" s="40"/>
    </row>
    <row r="1670" spans="1:2" x14ac:dyDescent="0.2">
      <c r="A1670" s="40"/>
      <c r="B1670" s="40"/>
    </row>
    <row r="1671" spans="1:2" x14ac:dyDescent="0.2">
      <c r="A1671" s="40"/>
      <c r="B1671" s="40"/>
    </row>
    <row r="1672" spans="1:2" x14ac:dyDescent="0.2">
      <c r="A1672" s="40"/>
      <c r="B1672" s="40"/>
    </row>
    <row r="1673" spans="1:2" x14ac:dyDescent="0.2">
      <c r="A1673" s="40"/>
      <c r="B1673" s="40"/>
    </row>
    <row r="1674" spans="1:2" x14ac:dyDescent="0.2">
      <c r="A1674" s="40"/>
      <c r="B1674" s="40"/>
    </row>
    <row r="1675" spans="1:2" x14ac:dyDescent="0.2">
      <c r="A1675" s="40"/>
      <c r="B1675" s="40"/>
    </row>
    <row r="1676" spans="1:2" x14ac:dyDescent="0.2">
      <c r="A1676" s="40"/>
      <c r="B1676" s="40"/>
    </row>
    <row r="1677" spans="1:2" x14ac:dyDescent="0.2">
      <c r="A1677" s="40"/>
      <c r="B1677" s="40"/>
    </row>
    <row r="1678" spans="1:2" x14ac:dyDescent="0.2">
      <c r="A1678" s="40"/>
      <c r="B1678" s="40"/>
    </row>
    <row r="1679" spans="1:2" x14ac:dyDescent="0.2">
      <c r="A1679" s="40"/>
      <c r="B1679" s="40"/>
    </row>
    <row r="1680" spans="1:2" x14ac:dyDescent="0.2">
      <c r="A1680" s="40"/>
      <c r="B1680" s="40"/>
    </row>
    <row r="1681" spans="1:2" x14ac:dyDescent="0.2">
      <c r="A1681" s="40"/>
      <c r="B1681" s="40"/>
    </row>
    <row r="1682" spans="1:2" x14ac:dyDescent="0.2">
      <c r="A1682" s="40"/>
      <c r="B1682" s="40"/>
    </row>
    <row r="1683" spans="1:2" x14ac:dyDescent="0.2">
      <c r="A1683" s="40"/>
      <c r="B1683" s="40"/>
    </row>
    <row r="1684" spans="1:2" x14ac:dyDescent="0.2">
      <c r="A1684" s="40"/>
      <c r="B1684" s="40"/>
    </row>
    <row r="1685" spans="1:2" x14ac:dyDescent="0.2">
      <c r="A1685" s="40"/>
      <c r="B1685" s="40"/>
    </row>
    <row r="1686" spans="1:2" x14ac:dyDescent="0.2">
      <c r="A1686" s="40"/>
      <c r="B1686" s="40"/>
    </row>
    <row r="1687" spans="1:2" x14ac:dyDescent="0.2">
      <c r="A1687" s="40"/>
      <c r="B1687" s="40"/>
    </row>
    <row r="1688" spans="1:2" x14ac:dyDescent="0.2">
      <c r="A1688" s="40"/>
      <c r="B1688" s="40"/>
    </row>
    <row r="1689" spans="1:2" x14ac:dyDescent="0.2">
      <c r="A1689" s="40"/>
      <c r="B1689" s="40"/>
    </row>
    <row r="1690" spans="1:2" x14ac:dyDescent="0.2">
      <c r="A1690" s="40"/>
      <c r="B1690" s="40"/>
    </row>
    <row r="1691" spans="1:2" x14ac:dyDescent="0.2">
      <c r="A1691" s="40"/>
      <c r="B1691" s="40"/>
    </row>
    <row r="1692" spans="1:2" x14ac:dyDescent="0.2">
      <c r="A1692" s="40"/>
      <c r="B1692" s="40"/>
    </row>
    <row r="1693" spans="1:2" x14ac:dyDescent="0.2">
      <c r="A1693" s="40"/>
      <c r="B1693" s="40"/>
    </row>
    <row r="1694" spans="1:2" x14ac:dyDescent="0.2">
      <c r="A1694" s="40"/>
      <c r="B1694" s="40"/>
    </row>
    <row r="1695" spans="1:2" x14ac:dyDescent="0.2">
      <c r="A1695" s="40"/>
      <c r="B1695" s="40"/>
    </row>
    <row r="1696" spans="1:2" x14ac:dyDescent="0.2">
      <c r="A1696" s="40"/>
      <c r="B1696" s="40"/>
    </row>
    <row r="1697" spans="1:2" x14ac:dyDescent="0.2">
      <c r="A1697" s="40"/>
      <c r="B1697" s="40"/>
    </row>
    <row r="1698" spans="1:2" x14ac:dyDescent="0.2">
      <c r="A1698" s="40"/>
      <c r="B1698" s="40"/>
    </row>
    <row r="1699" spans="1:2" x14ac:dyDescent="0.2">
      <c r="A1699" s="40"/>
      <c r="B1699" s="40"/>
    </row>
    <row r="1700" spans="1:2" x14ac:dyDescent="0.2">
      <c r="A1700" s="40"/>
      <c r="B1700" s="40"/>
    </row>
    <row r="1701" spans="1:2" x14ac:dyDescent="0.2">
      <c r="A1701" s="40"/>
      <c r="B1701" s="40"/>
    </row>
    <row r="1702" spans="1:2" x14ac:dyDescent="0.2">
      <c r="A1702" s="40"/>
      <c r="B1702" s="40"/>
    </row>
    <row r="1703" spans="1:2" x14ac:dyDescent="0.2">
      <c r="A1703" s="40"/>
      <c r="B1703" s="40"/>
    </row>
    <row r="1704" spans="1:2" x14ac:dyDescent="0.2">
      <c r="A1704" s="40"/>
      <c r="B1704" s="40"/>
    </row>
    <row r="1705" spans="1:2" x14ac:dyDescent="0.2">
      <c r="A1705" s="40"/>
      <c r="B1705" s="40"/>
    </row>
    <row r="1706" spans="1:2" x14ac:dyDescent="0.2">
      <c r="A1706" s="40"/>
      <c r="B1706" s="40"/>
    </row>
    <row r="1707" spans="1:2" x14ac:dyDescent="0.2">
      <c r="A1707" s="40"/>
      <c r="B1707" s="40"/>
    </row>
    <row r="1708" spans="1:2" x14ac:dyDescent="0.2">
      <c r="A1708" s="40"/>
      <c r="B1708" s="40"/>
    </row>
    <row r="1709" spans="1:2" x14ac:dyDescent="0.2">
      <c r="A1709" s="40"/>
      <c r="B1709" s="40"/>
    </row>
    <row r="1710" spans="1:2" x14ac:dyDescent="0.2">
      <c r="A1710" s="40"/>
      <c r="B1710" s="40"/>
    </row>
    <row r="1711" spans="1:2" x14ac:dyDescent="0.2">
      <c r="A1711" s="40"/>
      <c r="B1711" s="40"/>
    </row>
    <row r="1712" spans="1:2" x14ac:dyDescent="0.2">
      <c r="A1712" s="40"/>
      <c r="B1712" s="40"/>
    </row>
    <row r="1713" spans="1:2" x14ac:dyDescent="0.2">
      <c r="A1713" s="40"/>
      <c r="B1713" s="40"/>
    </row>
    <row r="1714" spans="1:2" x14ac:dyDescent="0.2">
      <c r="A1714" s="40"/>
      <c r="B1714" s="40"/>
    </row>
    <row r="1715" spans="1:2" x14ac:dyDescent="0.2">
      <c r="A1715" s="40"/>
      <c r="B1715" s="40"/>
    </row>
    <row r="1716" spans="1:2" x14ac:dyDescent="0.2">
      <c r="A1716" s="40"/>
      <c r="B1716" s="40"/>
    </row>
    <row r="1717" spans="1:2" x14ac:dyDescent="0.2">
      <c r="A1717" s="40"/>
      <c r="B1717" s="40"/>
    </row>
    <row r="1718" spans="1:2" x14ac:dyDescent="0.2">
      <c r="A1718" s="40"/>
      <c r="B1718" s="40"/>
    </row>
    <row r="1719" spans="1:2" x14ac:dyDescent="0.2">
      <c r="A1719" s="40"/>
      <c r="B1719" s="40"/>
    </row>
    <row r="1720" spans="1:2" x14ac:dyDescent="0.2">
      <c r="A1720" s="40"/>
      <c r="B1720" s="40"/>
    </row>
    <row r="1721" spans="1:2" x14ac:dyDescent="0.2">
      <c r="A1721" s="40"/>
      <c r="B1721" s="40"/>
    </row>
    <row r="1722" spans="1:2" x14ac:dyDescent="0.2">
      <c r="A1722" s="40"/>
      <c r="B1722" s="40"/>
    </row>
    <row r="1723" spans="1:2" x14ac:dyDescent="0.2">
      <c r="A1723" s="40"/>
      <c r="B1723" s="40"/>
    </row>
    <row r="1724" spans="1:2" x14ac:dyDescent="0.2">
      <c r="A1724" s="40"/>
      <c r="B1724" s="40"/>
    </row>
    <row r="1725" spans="1:2" x14ac:dyDescent="0.2">
      <c r="A1725" s="40"/>
      <c r="B1725" s="40"/>
    </row>
    <row r="1726" spans="1:2" x14ac:dyDescent="0.2">
      <c r="A1726" s="40"/>
      <c r="B1726" s="40"/>
    </row>
    <row r="1727" spans="1:2" x14ac:dyDescent="0.2">
      <c r="A1727" s="40"/>
      <c r="B1727" s="40"/>
    </row>
    <row r="1728" spans="1:2" x14ac:dyDescent="0.2">
      <c r="A1728" s="40"/>
      <c r="B1728" s="40"/>
    </row>
    <row r="1729" spans="1:2" x14ac:dyDescent="0.2">
      <c r="A1729" s="40"/>
      <c r="B1729" s="40"/>
    </row>
    <row r="1730" spans="1:2" x14ac:dyDescent="0.2">
      <c r="A1730" s="40"/>
      <c r="B1730" s="40"/>
    </row>
    <row r="1731" spans="1:2" x14ac:dyDescent="0.2">
      <c r="A1731" s="40"/>
      <c r="B1731" s="40"/>
    </row>
    <row r="1732" spans="1:2" x14ac:dyDescent="0.2">
      <c r="A1732" s="40"/>
      <c r="B1732" s="40"/>
    </row>
    <row r="1733" spans="1:2" x14ac:dyDescent="0.2">
      <c r="A1733" s="40"/>
      <c r="B1733" s="40"/>
    </row>
    <row r="1734" spans="1:2" x14ac:dyDescent="0.2">
      <c r="A1734" s="40"/>
      <c r="B1734" s="40"/>
    </row>
    <row r="1735" spans="1:2" x14ac:dyDescent="0.2">
      <c r="A1735" s="40"/>
      <c r="B1735" s="40"/>
    </row>
    <row r="1736" spans="1:2" x14ac:dyDescent="0.2">
      <c r="A1736" s="40"/>
      <c r="B1736" s="40"/>
    </row>
    <row r="1737" spans="1:2" x14ac:dyDescent="0.2">
      <c r="A1737" s="40"/>
      <c r="B1737" s="40"/>
    </row>
    <row r="1738" spans="1:2" x14ac:dyDescent="0.2">
      <c r="A1738" s="40"/>
      <c r="B1738" s="40"/>
    </row>
    <row r="1739" spans="1:2" x14ac:dyDescent="0.2">
      <c r="A1739" s="40"/>
      <c r="B1739" s="40"/>
    </row>
    <row r="1740" spans="1:2" x14ac:dyDescent="0.2">
      <c r="A1740" s="40"/>
      <c r="B1740" s="40"/>
    </row>
    <row r="1741" spans="1:2" x14ac:dyDescent="0.2">
      <c r="A1741" s="40"/>
      <c r="B1741" s="40"/>
    </row>
    <row r="1742" spans="1:2" x14ac:dyDescent="0.2">
      <c r="A1742" s="40"/>
      <c r="B1742" s="40"/>
    </row>
    <row r="1743" spans="1:2" x14ac:dyDescent="0.2">
      <c r="A1743" s="40"/>
      <c r="B1743" s="40"/>
    </row>
    <row r="1744" spans="1:2" x14ac:dyDescent="0.2">
      <c r="A1744" s="40"/>
      <c r="B1744" s="40"/>
    </row>
    <row r="1745" spans="1:2" x14ac:dyDescent="0.2">
      <c r="A1745" s="40"/>
      <c r="B1745" s="40"/>
    </row>
    <row r="1746" spans="1:2" x14ac:dyDescent="0.2">
      <c r="A1746" s="40"/>
      <c r="B1746" s="40"/>
    </row>
    <row r="1747" spans="1:2" x14ac:dyDescent="0.2">
      <c r="A1747" s="40"/>
      <c r="B1747" s="40"/>
    </row>
    <row r="1748" spans="1:2" x14ac:dyDescent="0.2">
      <c r="A1748" s="40"/>
      <c r="B1748" s="40"/>
    </row>
    <row r="1749" spans="1:2" x14ac:dyDescent="0.2">
      <c r="A1749" s="40"/>
      <c r="B1749" s="40"/>
    </row>
    <row r="1750" spans="1:2" x14ac:dyDescent="0.2">
      <c r="A1750" s="40"/>
      <c r="B1750" s="40"/>
    </row>
    <row r="1751" spans="1:2" x14ac:dyDescent="0.2">
      <c r="A1751" s="40"/>
      <c r="B1751" s="40"/>
    </row>
    <row r="1752" spans="1:2" x14ac:dyDescent="0.2">
      <c r="A1752" s="40"/>
      <c r="B1752" s="40"/>
    </row>
    <row r="1753" spans="1:2" x14ac:dyDescent="0.2">
      <c r="A1753" s="40"/>
      <c r="B1753" s="40"/>
    </row>
    <row r="1754" spans="1:2" x14ac:dyDescent="0.2">
      <c r="A1754" s="40"/>
      <c r="B1754" s="40"/>
    </row>
    <row r="1755" spans="1:2" x14ac:dyDescent="0.2">
      <c r="A1755" s="40"/>
      <c r="B1755" s="40"/>
    </row>
    <row r="1756" spans="1:2" x14ac:dyDescent="0.2">
      <c r="A1756" s="40"/>
      <c r="B1756" s="40"/>
    </row>
    <row r="1757" spans="1:2" x14ac:dyDescent="0.2">
      <c r="A1757" s="40"/>
      <c r="B1757" s="40"/>
    </row>
    <row r="1758" spans="1:2" x14ac:dyDescent="0.2">
      <c r="A1758" s="40"/>
      <c r="B1758" s="40"/>
    </row>
    <row r="1759" spans="1:2" x14ac:dyDescent="0.2">
      <c r="A1759" s="40"/>
      <c r="B1759" s="40"/>
    </row>
    <row r="1760" spans="1:2" x14ac:dyDescent="0.2">
      <c r="A1760" s="40"/>
      <c r="B1760" s="40"/>
    </row>
    <row r="1761" spans="1:2" x14ac:dyDescent="0.2">
      <c r="A1761" s="40"/>
      <c r="B1761" s="40"/>
    </row>
    <row r="1762" spans="1:2" x14ac:dyDescent="0.2">
      <c r="A1762" s="40"/>
      <c r="B1762" s="40"/>
    </row>
    <row r="1763" spans="1:2" x14ac:dyDescent="0.2">
      <c r="A1763" s="40"/>
      <c r="B1763" s="40"/>
    </row>
    <row r="1764" spans="1:2" x14ac:dyDescent="0.2">
      <c r="A1764" s="40"/>
      <c r="B1764" s="40"/>
    </row>
    <row r="1765" spans="1:2" x14ac:dyDescent="0.2">
      <c r="A1765" s="40"/>
      <c r="B1765" s="40"/>
    </row>
    <row r="1766" spans="1:2" x14ac:dyDescent="0.2">
      <c r="A1766" s="40"/>
      <c r="B1766" s="40"/>
    </row>
    <row r="1767" spans="1:2" x14ac:dyDescent="0.2">
      <c r="A1767" s="40"/>
      <c r="B1767" s="40"/>
    </row>
    <row r="1768" spans="1:2" x14ac:dyDescent="0.2">
      <c r="A1768" s="40"/>
      <c r="B1768" s="40"/>
    </row>
    <row r="1769" spans="1:2" x14ac:dyDescent="0.2">
      <c r="A1769" s="40"/>
      <c r="B1769" s="40"/>
    </row>
    <row r="1770" spans="1:2" x14ac:dyDescent="0.2">
      <c r="A1770" s="40"/>
      <c r="B1770" s="40"/>
    </row>
    <row r="1771" spans="1:2" x14ac:dyDescent="0.2">
      <c r="A1771" s="40"/>
      <c r="B1771" s="40"/>
    </row>
    <row r="1772" spans="1:2" x14ac:dyDescent="0.2">
      <c r="A1772" s="40"/>
      <c r="B1772" s="40"/>
    </row>
    <row r="1773" spans="1:2" x14ac:dyDescent="0.2">
      <c r="A1773" s="40"/>
      <c r="B1773" s="40"/>
    </row>
    <row r="1774" spans="1:2" x14ac:dyDescent="0.2">
      <c r="A1774" s="40"/>
      <c r="B1774" s="40"/>
    </row>
    <row r="1775" spans="1:2" x14ac:dyDescent="0.2">
      <c r="A1775" s="40"/>
      <c r="B1775" s="40"/>
    </row>
    <row r="1776" spans="1:2" x14ac:dyDescent="0.2">
      <c r="A1776" s="40"/>
      <c r="B1776" s="40"/>
    </row>
    <row r="1777" spans="1:2" x14ac:dyDescent="0.2">
      <c r="A1777" s="40"/>
      <c r="B1777" s="40"/>
    </row>
    <row r="1778" spans="1:2" x14ac:dyDescent="0.2">
      <c r="A1778" s="40"/>
      <c r="B1778" s="40"/>
    </row>
    <row r="1779" spans="1:2" x14ac:dyDescent="0.2">
      <c r="A1779" s="40"/>
      <c r="B1779" s="40"/>
    </row>
    <row r="1780" spans="1:2" x14ac:dyDescent="0.2">
      <c r="A1780" s="40"/>
      <c r="B1780" s="40"/>
    </row>
    <row r="1781" spans="1:2" x14ac:dyDescent="0.2">
      <c r="A1781" s="40"/>
      <c r="B1781" s="40"/>
    </row>
    <row r="1782" spans="1:2" x14ac:dyDescent="0.2">
      <c r="A1782" s="40"/>
      <c r="B1782" s="40"/>
    </row>
    <row r="1783" spans="1:2" x14ac:dyDescent="0.2">
      <c r="A1783" s="40"/>
      <c r="B1783" s="40"/>
    </row>
    <row r="1784" spans="1:2" x14ac:dyDescent="0.2">
      <c r="A1784" s="40"/>
      <c r="B1784" s="40"/>
    </row>
    <row r="1785" spans="1:2" x14ac:dyDescent="0.2">
      <c r="A1785" s="40"/>
      <c r="B1785" s="40"/>
    </row>
    <row r="1786" spans="1:2" x14ac:dyDescent="0.2">
      <c r="A1786" s="40"/>
      <c r="B1786" s="40"/>
    </row>
    <row r="1787" spans="1:2" x14ac:dyDescent="0.2">
      <c r="A1787" s="40"/>
      <c r="B1787" s="40"/>
    </row>
    <row r="1788" spans="1:2" x14ac:dyDescent="0.2">
      <c r="A1788" s="40"/>
      <c r="B1788" s="40"/>
    </row>
    <row r="1789" spans="1:2" x14ac:dyDescent="0.2">
      <c r="A1789" s="40"/>
      <c r="B1789" s="40"/>
    </row>
    <row r="1790" spans="1:2" x14ac:dyDescent="0.2">
      <c r="A1790" s="40"/>
      <c r="B1790" s="40"/>
    </row>
    <row r="1791" spans="1:2" x14ac:dyDescent="0.2">
      <c r="A1791" s="40"/>
      <c r="B1791" s="40"/>
    </row>
    <row r="1792" spans="1:2" x14ac:dyDescent="0.2">
      <c r="A1792" s="40"/>
      <c r="B1792" s="40"/>
    </row>
    <row r="1793" spans="1:2" x14ac:dyDescent="0.2">
      <c r="A1793" s="40"/>
      <c r="B1793" s="40"/>
    </row>
    <row r="1794" spans="1:2" x14ac:dyDescent="0.2">
      <c r="A1794" s="40"/>
      <c r="B1794" s="40"/>
    </row>
    <row r="1795" spans="1:2" x14ac:dyDescent="0.2">
      <c r="A1795" s="40"/>
      <c r="B1795" s="40"/>
    </row>
    <row r="1796" spans="1:2" x14ac:dyDescent="0.2">
      <c r="A1796" s="40"/>
      <c r="B1796" s="40"/>
    </row>
    <row r="1797" spans="1:2" x14ac:dyDescent="0.2">
      <c r="A1797" s="40"/>
      <c r="B1797" s="40"/>
    </row>
    <row r="1798" spans="1:2" x14ac:dyDescent="0.2">
      <c r="A1798" s="40"/>
      <c r="B1798" s="40"/>
    </row>
    <row r="1799" spans="1:2" x14ac:dyDescent="0.2">
      <c r="A1799" s="40"/>
      <c r="B1799" s="40"/>
    </row>
    <row r="1800" spans="1:2" x14ac:dyDescent="0.2">
      <c r="A1800" s="40"/>
      <c r="B1800" s="40"/>
    </row>
    <row r="1801" spans="1:2" x14ac:dyDescent="0.2">
      <c r="A1801" s="40"/>
      <c r="B1801" s="40"/>
    </row>
    <row r="1802" spans="1:2" x14ac:dyDescent="0.2">
      <c r="A1802" s="40"/>
      <c r="B1802" s="40"/>
    </row>
    <row r="1803" spans="1:2" x14ac:dyDescent="0.2">
      <c r="A1803" s="40"/>
      <c r="B1803" s="40"/>
    </row>
    <row r="1804" spans="1:2" x14ac:dyDescent="0.2">
      <c r="A1804" s="40"/>
      <c r="B1804" s="40"/>
    </row>
    <row r="1805" spans="1:2" x14ac:dyDescent="0.2">
      <c r="A1805" s="40"/>
      <c r="B1805" s="40"/>
    </row>
    <row r="1806" spans="1:2" x14ac:dyDescent="0.2">
      <c r="A1806" s="40"/>
      <c r="B1806" s="40"/>
    </row>
    <row r="1807" spans="1:2" x14ac:dyDescent="0.2">
      <c r="A1807" s="40"/>
      <c r="B1807" s="40"/>
    </row>
    <row r="1808" spans="1:2" x14ac:dyDescent="0.2">
      <c r="A1808" s="40"/>
      <c r="B1808" s="40"/>
    </row>
    <row r="1809" spans="1:2" x14ac:dyDescent="0.2">
      <c r="A1809" s="40"/>
      <c r="B1809" s="40"/>
    </row>
    <row r="1810" spans="1:2" x14ac:dyDescent="0.2">
      <c r="A1810" s="40"/>
      <c r="B1810" s="40"/>
    </row>
    <row r="1811" spans="1:2" x14ac:dyDescent="0.2">
      <c r="A1811" s="40"/>
      <c r="B1811" s="40"/>
    </row>
    <row r="1812" spans="1:2" x14ac:dyDescent="0.2">
      <c r="A1812" s="40"/>
      <c r="B1812" s="40"/>
    </row>
    <row r="1813" spans="1:2" x14ac:dyDescent="0.2">
      <c r="A1813" s="40"/>
      <c r="B1813" s="40"/>
    </row>
    <row r="1814" spans="1:2" x14ac:dyDescent="0.2">
      <c r="A1814" s="40"/>
      <c r="B1814" s="40"/>
    </row>
    <row r="1815" spans="1:2" x14ac:dyDescent="0.2">
      <c r="A1815" s="40"/>
      <c r="B1815" s="40"/>
    </row>
    <row r="1816" spans="1:2" x14ac:dyDescent="0.2">
      <c r="A1816" s="40"/>
      <c r="B1816" s="40"/>
    </row>
    <row r="1817" spans="1:2" x14ac:dyDescent="0.2">
      <c r="A1817" s="40"/>
      <c r="B1817" s="40"/>
    </row>
    <row r="1818" spans="1:2" x14ac:dyDescent="0.2">
      <c r="A1818" s="40"/>
      <c r="B1818" s="40"/>
    </row>
    <row r="1819" spans="1:2" x14ac:dyDescent="0.2">
      <c r="A1819" s="40"/>
      <c r="B1819" s="40"/>
    </row>
    <row r="1820" spans="1:2" x14ac:dyDescent="0.2">
      <c r="A1820" s="40"/>
      <c r="B1820" s="40"/>
    </row>
    <row r="1821" spans="1:2" x14ac:dyDescent="0.2">
      <c r="A1821" s="40"/>
      <c r="B1821" s="40"/>
    </row>
    <row r="1822" spans="1:2" x14ac:dyDescent="0.2">
      <c r="A1822" s="40"/>
      <c r="B1822" s="40"/>
    </row>
    <row r="1823" spans="1:2" x14ac:dyDescent="0.2">
      <c r="A1823" s="40"/>
      <c r="B1823" s="40"/>
    </row>
    <row r="1824" spans="1:2" x14ac:dyDescent="0.2">
      <c r="A1824" s="40"/>
      <c r="B1824" s="40"/>
    </row>
    <row r="1825" spans="1:2" x14ac:dyDescent="0.2">
      <c r="A1825" s="40"/>
      <c r="B1825" s="40"/>
    </row>
    <row r="1826" spans="1:2" x14ac:dyDescent="0.2">
      <c r="A1826" s="40"/>
      <c r="B1826" s="40"/>
    </row>
    <row r="1827" spans="1:2" x14ac:dyDescent="0.2">
      <c r="A1827" s="40"/>
      <c r="B1827" s="40"/>
    </row>
    <row r="1828" spans="1:2" x14ac:dyDescent="0.2">
      <c r="A1828" s="40"/>
      <c r="B1828" s="40"/>
    </row>
    <row r="1829" spans="1:2" x14ac:dyDescent="0.2">
      <c r="A1829" s="40"/>
      <c r="B1829" s="40"/>
    </row>
    <row r="1830" spans="1:2" x14ac:dyDescent="0.2">
      <c r="A1830" s="40"/>
      <c r="B1830" s="40"/>
    </row>
    <row r="1831" spans="1:2" x14ac:dyDescent="0.2">
      <c r="A1831" s="40"/>
      <c r="B1831" s="40"/>
    </row>
    <row r="1832" spans="1:2" x14ac:dyDescent="0.2">
      <c r="A1832" s="40"/>
      <c r="B1832" s="40"/>
    </row>
    <row r="1833" spans="1:2" x14ac:dyDescent="0.2">
      <c r="A1833" s="40"/>
      <c r="B1833" s="40"/>
    </row>
    <row r="1834" spans="1:2" x14ac:dyDescent="0.2">
      <c r="A1834" s="40"/>
      <c r="B1834" s="40"/>
    </row>
    <row r="1835" spans="1:2" x14ac:dyDescent="0.2">
      <c r="A1835" s="40"/>
      <c r="B1835" s="40"/>
    </row>
    <row r="1836" spans="1:2" x14ac:dyDescent="0.2">
      <c r="A1836" s="40"/>
      <c r="B1836" s="40"/>
    </row>
    <row r="1837" spans="1:2" x14ac:dyDescent="0.2">
      <c r="A1837" s="40"/>
      <c r="B1837" s="40"/>
    </row>
    <row r="1838" spans="1:2" x14ac:dyDescent="0.2">
      <c r="A1838" s="40"/>
      <c r="B1838" s="40"/>
    </row>
    <row r="1839" spans="1:2" x14ac:dyDescent="0.2">
      <c r="A1839" s="40"/>
      <c r="B1839" s="40"/>
    </row>
    <row r="1840" spans="1:2" x14ac:dyDescent="0.2">
      <c r="A1840" s="40"/>
      <c r="B1840" s="40"/>
    </row>
    <row r="1841" spans="1:2" x14ac:dyDescent="0.2">
      <c r="A1841" s="40"/>
      <c r="B1841" s="40"/>
    </row>
    <row r="1842" spans="1:2" x14ac:dyDescent="0.2">
      <c r="A1842" s="40"/>
      <c r="B1842" s="40"/>
    </row>
    <row r="1843" spans="1:2" x14ac:dyDescent="0.2">
      <c r="A1843" s="40"/>
      <c r="B1843" s="40"/>
    </row>
    <row r="1844" spans="1:2" x14ac:dyDescent="0.2">
      <c r="A1844" s="40"/>
      <c r="B1844" s="40"/>
    </row>
    <row r="1845" spans="1:2" x14ac:dyDescent="0.2">
      <c r="A1845" s="40"/>
      <c r="B1845" s="40"/>
    </row>
    <row r="1846" spans="1:2" x14ac:dyDescent="0.2">
      <c r="A1846" s="40"/>
      <c r="B1846" s="40"/>
    </row>
    <row r="1847" spans="1:2" x14ac:dyDescent="0.2">
      <c r="A1847" s="40"/>
      <c r="B1847" s="40"/>
    </row>
    <row r="1848" spans="1:2" x14ac:dyDescent="0.2">
      <c r="A1848" s="40"/>
      <c r="B1848" s="40"/>
    </row>
    <row r="1849" spans="1:2" x14ac:dyDescent="0.2">
      <c r="A1849" s="40"/>
      <c r="B1849" s="40"/>
    </row>
    <row r="1850" spans="1:2" x14ac:dyDescent="0.2">
      <c r="A1850" s="40"/>
      <c r="B1850" s="40"/>
    </row>
    <row r="1851" spans="1:2" x14ac:dyDescent="0.2">
      <c r="A1851" s="40"/>
      <c r="B1851" s="40"/>
    </row>
    <row r="1852" spans="1:2" x14ac:dyDescent="0.2">
      <c r="A1852" s="40"/>
      <c r="B1852" s="40"/>
    </row>
    <row r="1853" spans="1:2" x14ac:dyDescent="0.2">
      <c r="A1853" s="40"/>
      <c r="B1853" s="40"/>
    </row>
    <row r="1854" spans="1:2" x14ac:dyDescent="0.2">
      <c r="A1854" s="40"/>
      <c r="B1854" s="40"/>
    </row>
    <row r="1855" spans="1:2" x14ac:dyDescent="0.2">
      <c r="A1855" s="40"/>
      <c r="B1855" s="40"/>
    </row>
    <row r="1856" spans="1:2" x14ac:dyDescent="0.2">
      <c r="A1856" s="40"/>
      <c r="B1856" s="40"/>
    </row>
    <row r="1857" spans="1:2" x14ac:dyDescent="0.2">
      <c r="A1857" s="40"/>
      <c r="B1857" s="40"/>
    </row>
    <row r="1858" spans="1:2" x14ac:dyDescent="0.2">
      <c r="A1858" s="40"/>
      <c r="B1858" s="40"/>
    </row>
    <row r="1859" spans="1:2" x14ac:dyDescent="0.2">
      <c r="A1859" s="40"/>
      <c r="B1859" s="40"/>
    </row>
    <row r="1860" spans="1:2" x14ac:dyDescent="0.2">
      <c r="A1860" s="40"/>
      <c r="B1860" s="40"/>
    </row>
    <row r="1861" spans="1:2" x14ac:dyDescent="0.2">
      <c r="A1861" s="40"/>
      <c r="B1861" s="40"/>
    </row>
    <row r="1862" spans="1:2" x14ac:dyDescent="0.2">
      <c r="A1862" s="40"/>
      <c r="B1862" s="40"/>
    </row>
    <row r="1863" spans="1:2" x14ac:dyDescent="0.2">
      <c r="A1863" s="40"/>
      <c r="B1863" s="40"/>
    </row>
    <row r="1864" spans="1:2" x14ac:dyDescent="0.2">
      <c r="A1864" s="40"/>
      <c r="B1864" s="40"/>
    </row>
    <row r="1865" spans="1:2" x14ac:dyDescent="0.2">
      <c r="A1865" s="40"/>
      <c r="B1865" s="40"/>
    </row>
    <row r="1866" spans="1:2" x14ac:dyDescent="0.2">
      <c r="A1866" s="40"/>
      <c r="B1866" s="40"/>
    </row>
    <row r="1867" spans="1:2" x14ac:dyDescent="0.2">
      <c r="A1867" s="40"/>
      <c r="B1867" s="40"/>
    </row>
    <row r="1868" spans="1:2" x14ac:dyDescent="0.2">
      <c r="A1868" s="40"/>
      <c r="B1868" s="40"/>
    </row>
    <row r="1869" spans="1:2" x14ac:dyDescent="0.2">
      <c r="A1869" s="40"/>
      <c r="B1869" s="40"/>
    </row>
    <row r="1870" spans="1:2" x14ac:dyDescent="0.2">
      <c r="A1870" s="40"/>
      <c r="B1870" s="40"/>
    </row>
    <row r="1871" spans="1:2" x14ac:dyDescent="0.2">
      <c r="A1871" s="40"/>
      <c r="B1871" s="40"/>
    </row>
    <row r="1872" spans="1:2" x14ac:dyDescent="0.2">
      <c r="A1872" s="40"/>
      <c r="B1872" s="40"/>
    </row>
    <row r="1873" spans="1:2" x14ac:dyDescent="0.2">
      <c r="A1873" s="40"/>
      <c r="B1873" s="40"/>
    </row>
    <row r="1874" spans="1:2" x14ac:dyDescent="0.2">
      <c r="A1874" s="40"/>
      <c r="B1874" s="40"/>
    </row>
    <row r="1875" spans="1:2" x14ac:dyDescent="0.2">
      <c r="A1875" s="40"/>
      <c r="B1875" s="40"/>
    </row>
    <row r="1876" spans="1:2" x14ac:dyDescent="0.2">
      <c r="A1876" s="40"/>
      <c r="B1876" s="40"/>
    </row>
    <row r="1877" spans="1:2" x14ac:dyDescent="0.2">
      <c r="A1877" s="40"/>
      <c r="B1877" s="40"/>
    </row>
    <row r="1878" spans="1:2" x14ac:dyDescent="0.2">
      <c r="A1878" s="40"/>
      <c r="B1878" s="40"/>
    </row>
    <row r="1879" spans="1:2" x14ac:dyDescent="0.2">
      <c r="A1879" s="40"/>
      <c r="B1879" s="40"/>
    </row>
    <row r="1880" spans="1:2" x14ac:dyDescent="0.2">
      <c r="A1880" s="40"/>
      <c r="B1880" s="40"/>
    </row>
    <row r="1881" spans="1:2" x14ac:dyDescent="0.2">
      <c r="A1881" s="40"/>
      <c r="B1881" s="40"/>
    </row>
    <row r="1882" spans="1:2" x14ac:dyDescent="0.2">
      <c r="A1882" s="40"/>
      <c r="B1882" s="40"/>
    </row>
    <row r="1883" spans="1:2" x14ac:dyDescent="0.2">
      <c r="A1883" s="40"/>
      <c r="B1883" s="40"/>
    </row>
    <row r="1884" spans="1:2" x14ac:dyDescent="0.2">
      <c r="A1884" s="40"/>
      <c r="B1884" s="40"/>
    </row>
    <row r="1885" spans="1:2" x14ac:dyDescent="0.2">
      <c r="A1885" s="40"/>
      <c r="B1885" s="40"/>
    </row>
    <row r="1886" spans="1:2" x14ac:dyDescent="0.2">
      <c r="A1886" s="40"/>
      <c r="B1886" s="40"/>
    </row>
    <row r="1887" spans="1:2" x14ac:dyDescent="0.2">
      <c r="A1887" s="40"/>
      <c r="B1887" s="40"/>
    </row>
    <row r="1888" spans="1:2" x14ac:dyDescent="0.2">
      <c r="A1888" s="40"/>
      <c r="B1888" s="40"/>
    </row>
    <row r="1889" spans="1:2" x14ac:dyDescent="0.2">
      <c r="A1889" s="40"/>
      <c r="B1889" s="40"/>
    </row>
    <row r="1890" spans="1:2" x14ac:dyDescent="0.2">
      <c r="A1890" s="40"/>
      <c r="B1890" s="40"/>
    </row>
    <row r="1891" spans="1:2" x14ac:dyDescent="0.2">
      <c r="A1891" s="40"/>
      <c r="B1891" s="40"/>
    </row>
    <row r="1892" spans="1:2" x14ac:dyDescent="0.2">
      <c r="A1892" s="40"/>
      <c r="B1892" s="40"/>
    </row>
    <row r="1893" spans="1:2" x14ac:dyDescent="0.2">
      <c r="A1893" s="40"/>
      <c r="B1893" s="40"/>
    </row>
    <row r="1894" spans="1:2" x14ac:dyDescent="0.2">
      <c r="A1894" s="40"/>
      <c r="B1894" s="40"/>
    </row>
    <row r="1895" spans="1:2" x14ac:dyDescent="0.2">
      <c r="A1895" s="40"/>
      <c r="B1895" s="40"/>
    </row>
    <row r="1896" spans="1:2" x14ac:dyDescent="0.2">
      <c r="A1896" s="40"/>
      <c r="B1896" s="40"/>
    </row>
    <row r="1897" spans="1:2" x14ac:dyDescent="0.2">
      <c r="A1897" s="40"/>
      <c r="B1897" s="40"/>
    </row>
    <row r="1898" spans="1:2" x14ac:dyDescent="0.2">
      <c r="A1898" s="40"/>
      <c r="B1898" s="40"/>
    </row>
    <row r="1899" spans="1:2" x14ac:dyDescent="0.2">
      <c r="A1899" s="40"/>
      <c r="B1899" s="40"/>
    </row>
    <row r="1900" spans="1:2" x14ac:dyDescent="0.2">
      <c r="A1900" s="40"/>
      <c r="B1900" s="40"/>
    </row>
    <row r="1901" spans="1:2" x14ac:dyDescent="0.2">
      <c r="A1901" s="40"/>
      <c r="B1901" s="40"/>
    </row>
    <row r="1902" spans="1:2" x14ac:dyDescent="0.2">
      <c r="A1902" s="40"/>
      <c r="B1902" s="40"/>
    </row>
    <row r="1903" spans="1:2" x14ac:dyDescent="0.2">
      <c r="A1903" s="40"/>
      <c r="B1903" s="40"/>
    </row>
    <row r="1904" spans="1:2" x14ac:dyDescent="0.2">
      <c r="A1904" s="40"/>
      <c r="B1904" s="40"/>
    </row>
    <row r="1905" spans="1:2" x14ac:dyDescent="0.2">
      <c r="A1905" s="40"/>
      <c r="B1905" s="40"/>
    </row>
    <row r="1906" spans="1:2" x14ac:dyDescent="0.2">
      <c r="A1906" s="40"/>
      <c r="B1906" s="40"/>
    </row>
    <row r="1907" spans="1:2" x14ac:dyDescent="0.2">
      <c r="A1907" s="40"/>
      <c r="B1907" s="40"/>
    </row>
    <row r="1908" spans="1:2" x14ac:dyDescent="0.2">
      <c r="A1908" s="40"/>
      <c r="B1908" s="40"/>
    </row>
    <row r="1909" spans="1:2" x14ac:dyDescent="0.2">
      <c r="A1909" s="40"/>
      <c r="B1909" s="40"/>
    </row>
    <row r="1910" spans="1:2" x14ac:dyDescent="0.2">
      <c r="A1910" s="40"/>
      <c r="B1910" s="40"/>
    </row>
    <row r="1911" spans="1:2" x14ac:dyDescent="0.2">
      <c r="A1911" s="40"/>
      <c r="B1911" s="40"/>
    </row>
    <row r="1912" spans="1:2" x14ac:dyDescent="0.2">
      <c r="A1912" s="40"/>
      <c r="B1912" s="40"/>
    </row>
    <row r="1913" spans="1:2" x14ac:dyDescent="0.2">
      <c r="A1913" s="40"/>
      <c r="B1913" s="40"/>
    </row>
    <row r="1914" spans="1:2" x14ac:dyDescent="0.2">
      <c r="A1914" s="40"/>
      <c r="B1914" s="40"/>
    </row>
    <row r="1915" spans="1:2" x14ac:dyDescent="0.2">
      <c r="A1915" s="40"/>
      <c r="B1915" s="40"/>
    </row>
    <row r="1916" spans="1:2" x14ac:dyDescent="0.2">
      <c r="A1916" s="40"/>
      <c r="B1916" s="40"/>
    </row>
    <row r="1917" spans="1:2" x14ac:dyDescent="0.2">
      <c r="A1917" s="40"/>
      <c r="B1917" s="40"/>
    </row>
    <row r="1918" spans="1:2" x14ac:dyDescent="0.2">
      <c r="A1918" s="40"/>
      <c r="B1918" s="40"/>
    </row>
    <row r="1919" spans="1:2" x14ac:dyDescent="0.2">
      <c r="A1919" s="40"/>
      <c r="B1919" s="40"/>
    </row>
    <row r="1920" spans="1:2" x14ac:dyDescent="0.2">
      <c r="A1920" s="40"/>
      <c r="B1920" s="40"/>
    </row>
    <row r="1921" spans="1:2" x14ac:dyDescent="0.2">
      <c r="A1921" s="40"/>
      <c r="B1921" s="40"/>
    </row>
    <row r="1922" spans="1:2" x14ac:dyDescent="0.2">
      <c r="A1922" s="40"/>
      <c r="B1922" s="40"/>
    </row>
    <row r="1923" spans="1:2" x14ac:dyDescent="0.2">
      <c r="A1923" s="40"/>
      <c r="B1923" s="40"/>
    </row>
    <row r="1924" spans="1:2" x14ac:dyDescent="0.2">
      <c r="A1924" s="40"/>
      <c r="B1924" s="40"/>
    </row>
    <row r="1925" spans="1:2" x14ac:dyDescent="0.2">
      <c r="A1925" s="40"/>
      <c r="B1925" s="40"/>
    </row>
    <row r="1926" spans="1:2" x14ac:dyDescent="0.2">
      <c r="A1926" s="40"/>
      <c r="B1926" s="40"/>
    </row>
    <row r="1927" spans="1:2" x14ac:dyDescent="0.2">
      <c r="A1927" s="40"/>
      <c r="B1927" s="40"/>
    </row>
    <row r="1928" spans="1:2" x14ac:dyDescent="0.2">
      <c r="A1928" s="40"/>
      <c r="B1928" s="40"/>
    </row>
    <row r="1929" spans="1:2" x14ac:dyDescent="0.2">
      <c r="A1929" s="40"/>
      <c r="B1929" s="40"/>
    </row>
    <row r="1930" spans="1:2" x14ac:dyDescent="0.2">
      <c r="A1930" s="40"/>
      <c r="B1930" s="40"/>
    </row>
    <row r="1931" spans="1:2" x14ac:dyDescent="0.2">
      <c r="A1931" s="40"/>
      <c r="B1931" s="40"/>
    </row>
    <row r="1932" spans="1:2" x14ac:dyDescent="0.2">
      <c r="A1932" s="40"/>
      <c r="B1932" s="40"/>
    </row>
    <row r="1933" spans="1:2" x14ac:dyDescent="0.2">
      <c r="A1933" s="40"/>
      <c r="B1933" s="40"/>
    </row>
    <row r="1934" spans="1:2" x14ac:dyDescent="0.2">
      <c r="A1934" s="40"/>
      <c r="B1934" s="40"/>
    </row>
    <row r="1935" spans="1:2" x14ac:dyDescent="0.2">
      <c r="A1935" s="40"/>
      <c r="B1935" s="40"/>
    </row>
    <row r="1936" spans="1:2" x14ac:dyDescent="0.2">
      <c r="A1936" s="40"/>
      <c r="B1936" s="40"/>
    </row>
    <row r="1937" spans="1:2" x14ac:dyDescent="0.2">
      <c r="A1937" s="40"/>
      <c r="B1937" s="40"/>
    </row>
    <row r="1938" spans="1:2" x14ac:dyDescent="0.2">
      <c r="A1938" s="40"/>
      <c r="B1938" s="40"/>
    </row>
    <row r="1939" spans="1:2" x14ac:dyDescent="0.2">
      <c r="A1939" s="40"/>
      <c r="B1939" s="40"/>
    </row>
    <row r="1940" spans="1:2" x14ac:dyDescent="0.2">
      <c r="A1940" s="40"/>
      <c r="B1940" s="40"/>
    </row>
    <row r="1941" spans="1:2" x14ac:dyDescent="0.2">
      <c r="A1941" s="40"/>
      <c r="B1941" s="40"/>
    </row>
    <row r="1942" spans="1:2" x14ac:dyDescent="0.2">
      <c r="A1942" s="40"/>
      <c r="B1942" s="40"/>
    </row>
    <row r="1943" spans="1:2" x14ac:dyDescent="0.2">
      <c r="A1943" s="40"/>
      <c r="B1943" s="40"/>
    </row>
    <row r="1944" spans="1:2" x14ac:dyDescent="0.2">
      <c r="A1944" s="40"/>
      <c r="B1944" s="40"/>
    </row>
    <row r="1945" spans="1:2" x14ac:dyDescent="0.2">
      <c r="A1945" s="40"/>
      <c r="B1945" s="40"/>
    </row>
    <row r="1946" spans="1:2" x14ac:dyDescent="0.2">
      <c r="A1946" s="40"/>
      <c r="B1946" s="40"/>
    </row>
    <row r="1947" spans="1:2" x14ac:dyDescent="0.2">
      <c r="A1947" s="40"/>
      <c r="B1947" s="40"/>
    </row>
    <row r="1948" spans="1:2" x14ac:dyDescent="0.2">
      <c r="A1948" s="40"/>
      <c r="B1948" s="40"/>
    </row>
    <row r="1949" spans="1:2" x14ac:dyDescent="0.2">
      <c r="A1949" s="40"/>
      <c r="B1949" s="40"/>
    </row>
    <row r="1950" spans="1:2" x14ac:dyDescent="0.2">
      <c r="A1950" s="40"/>
      <c r="B1950" s="40"/>
    </row>
    <row r="1951" spans="1:2" x14ac:dyDescent="0.2">
      <c r="A1951" s="40"/>
      <c r="B1951" s="40"/>
    </row>
    <row r="1952" spans="1:2" x14ac:dyDescent="0.2">
      <c r="A1952" s="40"/>
      <c r="B1952" s="40"/>
    </row>
    <row r="1953" spans="1:2" x14ac:dyDescent="0.2">
      <c r="A1953" s="40"/>
      <c r="B1953" s="40"/>
    </row>
    <row r="1954" spans="1:2" x14ac:dyDescent="0.2">
      <c r="A1954" s="40"/>
      <c r="B1954" s="40"/>
    </row>
    <row r="1955" spans="1:2" x14ac:dyDescent="0.2">
      <c r="A1955" s="40"/>
      <c r="B1955" s="40"/>
    </row>
    <row r="1956" spans="1:2" x14ac:dyDescent="0.2">
      <c r="A1956" s="40"/>
      <c r="B1956" s="40"/>
    </row>
    <row r="1957" spans="1:2" x14ac:dyDescent="0.2">
      <c r="A1957" s="40"/>
      <c r="B1957" s="40"/>
    </row>
    <row r="1958" spans="1:2" x14ac:dyDescent="0.2">
      <c r="A1958" s="40"/>
      <c r="B1958" s="40"/>
    </row>
    <row r="1959" spans="1:2" x14ac:dyDescent="0.2">
      <c r="A1959" s="40"/>
      <c r="B1959" s="40"/>
    </row>
    <row r="1960" spans="1:2" x14ac:dyDescent="0.2">
      <c r="A1960" s="40"/>
      <c r="B1960" s="40"/>
    </row>
    <row r="1961" spans="1:2" x14ac:dyDescent="0.2">
      <c r="A1961" s="40"/>
      <c r="B1961" s="40"/>
    </row>
    <row r="1962" spans="1:2" x14ac:dyDescent="0.2">
      <c r="A1962" s="40"/>
      <c r="B1962" s="40"/>
    </row>
    <row r="1963" spans="1:2" x14ac:dyDescent="0.2">
      <c r="A1963" s="40"/>
      <c r="B1963" s="40"/>
    </row>
    <row r="1964" spans="1:2" x14ac:dyDescent="0.2">
      <c r="A1964" s="40"/>
      <c r="B1964" s="40"/>
    </row>
    <row r="1965" spans="1:2" x14ac:dyDescent="0.2">
      <c r="A1965" s="40"/>
      <c r="B1965" s="40"/>
    </row>
    <row r="1966" spans="1:2" x14ac:dyDescent="0.2">
      <c r="A1966" s="40"/>
      <c r="B1966" s="40"/>
    </row>
    <row r="1967" spans="1:2" x14ac:dyDescent="0.2">
      <c r="A1967" s="40"/>
      <c r="B1967" s="40"/>
    </row>
    <row r="1968" spans="1:2" x14ac:dyDescent="0.2">
      <c r="A1968" s="40"/>
      <c r="B1968" s="40"/>
    </row>
    <row r="1969" spans="1:2" x14ac:dyDescent="0.2">
      <c r="A1969" s="40"/>
      <c r="B1969" s="40"/>
    </row>
    <row r="1970" spans="1:2" x14ac:dyDescent="0.2">
      <c r="A1970" s="40"/>
      <c r="B1970" s="40"/>
    </row>
    <row r="1971" spans="1:2" x14ac:dyDescent="0.2">
      <c r="A1971" s="40"/>
      <c r="B1971" s="40"/>
    </row>
    <row r="1972" spans="1:2" x14ac:dyDescent="0.2">
      <c r="A1972" s="40"/>
      <c r="B1972" s="40"/>
    </row>
    <row r="1973" spans="1:2" x14ac:dyDescent="0.2">
      <c r="A1973" s="40"/>
      <c r="B1973" s="40"/>
    </row>
    <row r="1974" spans="1:2" x14ac:dyDescent="0.2">
      <c r="A1974" s="40"/>
      <c r="B1974" s="40"/>
    </row>
    <row r="1975" spans="1:2" x14ac:dyDescent="0.2">
      <c r="A1975" s="40"/>
      <c r="B1975" s="40"/>
    </row>
    <row r="1976" spans="1:2" x14ac:dyDescent="0.2">
      <c r="A1976" s="40"/>
      <c r="B1976" s="40"/>
    </row>
    <row r="1977" spans="1:2" x14ac:dyDescent="0.2">
      <c r="A1977" s="40"/>
      <c r="B1977" s="40"/>
    </row>
    <row r="1978" spans="1:2" x14ac:dyDescent="0.2">
      <c r="A1978" s="40"/>
      <c r="B1978" s="40"/>
    </row>
    <row r="1979" spans="1:2" x14ac:dyDescent="0.2">
      <c r="A1979" s="40"/>
      <c r="B1979" s="40"/>
    </row>
    <row r="1980" spans="1:2" x14ac:dyDescent="0.2">
      <c r="A1980" s="40"/>
      <c r="B1980" s="40"/>
    </row>
    <row r="1981" spans="1:2" x14ac:dyDescent="0.2">
      <c r="A1981" s="40"/>
      <c r="B1981" s="40"/>
    </row>
    <row r="1982" spans="1:2" x14ac:dyDescent="0.2">
      <c r="A1982" s="40"/>
      <c r="B1982" s="40"/>
    </row>
    <row r="1983" spans="1:2" x14ac:dyDescent="0.2">
      <c r="A1983" s="40"/>
      <c r="B1983" s="40"/>
    </row>
    <row r="1984" spans="1:2" x14ac:dyDescent="0.2">
      <c r="A1984" s="40"/>
      <c r="B1984" s="40"/>
    </row>
    <row r="1985" spans="1:2" x14ac:dyDescent="0.2">
      <c r="A1985" s="40"/>
      <c r="B1985" s="40"/>
    </row>
    <row r="1986" spans="1:2" x14ac:dyDescent="0.2">
      <c r="A1986" s="40"/>
      <c r="B1986" s="40"/>
    </row>
    <row r="1987" spans="1:2" x14ac:dyDescent="0.2">
      <c r="A1987" s="40"/>
      <c r="B1987" s="40"/>
    </row>
    <row r="1988" spans="1:2" x14ac:dyDescent="0.2">
      <c r="A1988" s="40"/>
      <c r="B1988" s="40"/>
    </row>
    <row r="1989" spans="1:2" x14ac:dyDescent="0.2">
      <c r="A1989" s="40"/>
      <c r="B1989" s="40"/>
    </row>
    <row r="1990" spans="1:2" x14ac:dyDescent="0.2">
      <c r="A1990" s="40"/>
      <c r="B1990" s="40"/>
    </row>
    <row r="1991" spans="1:2" x14ac:dyDescent="0.2">
      <c r="A1991" s="40"/>
      <c r="B1991" s="40"/>
    </row>
    <row r="1992" spans="1:2" x14ac:dyDescent="0.2">
      <c r="A1992" s="40"/>
      <c r="B1992" s="40"/>
    </row>
    <row r="1993" spans="1:2" x14ac:dyDescent="0.2">
      <c r="A1993" s="40"/>
      <c r="B1993" s="40"/>
    </row>
    <row r="1994" spans="1:2" x14ac:dyDescent="0.2">
      <c r="A1994" s="40"/>
      <c r="B1994" s="40"/>
    </row>
    <row r="1995" spans="1:2" x14ac:dyDescent="0.2">
      <c r="A1995" s="40"/>
      <c r="B1995" s="40"/>
    </row>
    <row r="1996" spans="1:2" x14ac:dyDescent="0.2">
      <c r="A1996" s="40"/>
      <c r="B1996" s="40"/>
    </row>
    <row r="1997" spans="1:2" x14ac:dyDescent="0.2">
      <c r="A1997" s="40"/>
      <c r="B1997" s="40"/>
    </row>
    <row r="1998" spans="1:2" x14ac:dyDescent="0.2">
      <c r="A1998" s="40"/>
      <c r="B1998" s="40"/>
    </row>
    <row r="1999" spans="1:2" x14ac:dyDescent="0.2">
      <c r="A1999" s="40"/>
      <c r="B1999" s="40"/>
    </row>
    <row r="2000" spans="1:2" x14ac:dyDescent="0.2">
      <c r="A2000" s="40"/>
      <c r="B2000" s="40"/>
    </row>
    <row r="2001" spans="1:2" x14ac:dyDescent="0.2">
      <c r="A2001" s="40"/>
      <c r="B2001" s="40"/>
    </row>
    <row r="2002" spans="1:2" x14ac:dyDescent="0.2">
      <c r="A2002" s="40"/>
      <c r="B2002" s="40"/>
    </row>
    <row r="2003" spans="1:2" x14ac:dyDescent="0.2">
      <c r="A2003" s="40"/>
      <c r="B2003" s="40"/>
    </row>
    <row r="2004" spans="1:2" x14ac:dyDescent="0.2">
      <c r="A2004" s="40"/>
      <c r="B2004" s="40"/>
    </row>
    <row r="2005" spans="1:2" x14ac:dyDescent="0.2">
      <c r="A2005" s="40"/>
      <c r="B2005" s="40"/>
    </row>
    <row r="2006" spans="1:2" x14ac:dyDescent="0.2">
      <c r="A2006" s="40"/>
      <c r="B2006" s="40"/>
    </row>
    <row r="2007" spans="1:2" x14ac:dyDescent="0.2">
      <c r="A2007" s="40"/>
      <c r="B2007" s="40"/>
    </row>
    <row r="2008" spans="1:2" x14ac:dyDescent="0.2">
      <c r="A2008" s="40"/>
      <c r="B2008" s="40"/>
    </row>
    <row r="2009" spans="1:2" x14ac:dyDescent="0.2">
      <c r="A2009" s="40"/>
      <c r="B2009" s="40"/>
    </row>
    <row r="2010" spans="1:2" x14ac:dyDescent="0.2">
      <c r="A2010" s="40"/>
      <c r="B2010" s="40"/>
    </row>
    <row r="2011" spans="1:2" x14ac:dyDescent="0.2">
      <c r="A2011" s="40"/>
      <c r="B2011" s="40"/>
    </row>
    <row r="2012" spans="1:2" x14ac:dyDescent="0.2">
      <c r="A2012" s="40"/>
      <c r="B2012" s="40"/>
    </row>
    <row r="2013" spans="1:2" x14ac:dyDescent="0.2">
      <c r="A2013" s="40"/>
      <c r="B2013" s="40"/>
    </row>
    <row r="2014" spans="1:2" x14ac:dyDescent="0.2">
      <c r="A2014" s="40"/>
      <c r="B2014" s="40"/>
    </row>
    <row r="2015" spans="1:2" x14ac:dyDescent="0.2">
      <c r="A2015" s="40"/>
      <c r="B2015" s="40"/>
    </row>
    <row r="2016" spans="1:2" x14ac:dyDescent="0.2">
      <c r="A2016" s="40"/>
      <c r="B2016" s="40"/>
    </row>
    <row r="2017" spans="1:2" x14ac:dyDescent="0.2">
      <c r="A2017" s="40"/>
      <c r="B2017" s="40"/>
    </row>
    <row r="2018" spans="1:2" x14ac:dyDescent="0.2">
      <c r="A2018" s="40"/>
      <c r="B2018" s="40"/>
    </row>
    <row r="2019" spans="1:2" x14ac:dyDescent="0.2">
      <c r="A2019" s="40"/>
      <c r="B2019" s="40"/>
    </row>
    <row r="2020" spans="1:2" x14ac:dyDescent="0.2">
      <c r="A2020" s="40"/>
      <c r="B2020" s="40"/>
    </row>
    <row r="2021" spans="1:2" x14ac:dyDescent="0.2">
      <c r="A2021" s="40"/>
      <c r="B2021" s="40"/>
    </row>
    <row r="2022" spans="1:2" x14ac:dyDescent="0.2">
      <c r="A2022" s="40"/>
      <c r="B2022" s="40"/>
    </row>
    <row r="2023" spans="1:2" x14ac:dyDescent="0.2">
      <c r="A2023" s="40"/>
      <c r="B2023" s="40"/>
    </row>
    <row r="2024" spans="1:2" x14ac:dyDescent="0.2">
      <c r="A2024" s="40"/>
      <c r="B2024" s="40"/>
    </row>
    <row r="2025" spans="1:2" x14ac:dyDescent="0.2">
      <c r="A2025" s="40"/>
      <c r="B2025" s="40"/>
    </row>
    <row r="2026" spans="1:2" x14ac:dyDescent="0.2">
      <c r="A2026" s="40"/>
      <c r="B2026" s="40"/>
    </row>
    <row r="2027" spans="1:2" x14ac:dyDescent="0.2">
      <c r="A2027" s="40"/>
      <c r="B2027" s="40"/>
    </row>
    <row r="2028" spans="1:2" x14ac:dyDescent="0.2">
      <c r="A2028" s="40"/>
      <c r="B2028" s="40"/>
    </row>
    <row r="2029" spans="1:2" x14ac:dyDescent="0.2">
      <c r="A2029" s="40"/>
      <c r="B2029" s="40"/>
    </row>
    <row r="2030" spans="1:2" x14ac:dyDescent="0.2">
      <c r="A2030" s="40"/>
      <c r="B2030" s="40"/>
    </row>
    <row r="2031" spans="1:2" x14ac:dyDescent="0.2">
      <c r="A2031" s="40"/>
      <c r="B2031" s="40"/>
    </row>
    <row r="2032" spans="1:2" x14ac:dyDescent="0.2">
      <c r="A2032" s="40"/>
      <c r="B2032" s="40"/>
    </row>
    <row r="2033" spans="1:2" x14ac:dyDescent="0.2">
      <c r="A2033" s="40"/>
      <c r="B2033" s="40"/>
    </row>
    <row r="2034" spans="1:2" x14ac:dyDescent="0.2">
      <c r="A2034" s="40"/>
      <c r="B2034" s="40"/>
    </row>
    <row r="2035" spans="1:2" x14ac:dyDescent="0.2">
      <c r="A2035" s="40"/>
      <c r="B2035" s="40"/>
    </row>
    <row r="2036" spans="1:2" x14ac:dyDescent="0.2">
      <c r="A2036" s="40"/>
      <c r="B2036" s="40"/>
    </row>
    <row r="2037" spans="1:2" x14ac:dyDescent="0.2">
      <c r="A2037" s="40"/>
      <c r="B2037" s="40"/>
    </row>
    <row r="2038" spans="1:2" x14ac:dyDescent="0.2">
      <c r="A2038" s="40"/>
      <c r="B2038" s="40"/>
    </row>
    <row r="2039" spans="1:2" x14ac:dyDescent="0.2">
      <c r="A2039" s="40"/>
      <c r="B2039" s="40"/>
    </row>
    <row r="2040" spans="1:2" x14ac:dyDescent="0.2">
      <c r="A2040" s="40"/>
      <c r="B2040" s="40"/>
    </row>
    <row r="2041" spans="1:2" x14ac:dyDescent="0.2">
      <c r="A2041" s="40"/>
      <c r="B2041" s="40"/>
    </row>
    <row r="2042" spans="1:2" x14ac:dyDescent="0.2">
      <c r="A2042" s="40"/>
      <c r="B2042" s="40"/>
    </row>
    <row r="2043" spans="1:2" x14ac:dyDescent="0.2">
      <c r="A2043" s="40"/>
      <c r="B2043" s="40"/>
    </row>
    <row r="2044" spans="1:2" x14ac:dyDescent="0.2">
      <c r="A2044" s="40"/>
      <c r="B2044" s="40"/>
    </row>
    <row r="2045" spans="1:2" x14ac:dyDescent="0.2">
      <c r="A2045" s="40"/>
      <c r="B2045" s="40"/>
    </row>
    <row r="2046" spans="1:2" x14ac:dyDescent="0.2">
      <c r="A2046" s="40"/>
      <c r="B2046" s="40"/>
    </row>
    <row r="2047" spans="1:2" x14ac:dyDescent="0.2">
      <c r="A2047" s="40"/>
      <c r="B2047" s="40"/>
    </row>
    <row r="2048" spans="1:2" x14ac:dyDescent="0.2">
      <c r="A2048" s="40"/>
      <c r="B2048" s="40"/>
    </row>
    <row r="2049" spans="1:2" x14ac:dyDescent="0.2">
      <c r="A2049" s="40"/>
      <c r="B2049" s="40"/>
    </row>
    <row r="2050" spans="1:2" x14ac:dyDescent="0.2">
      <c r="A2050" s="40"/>
      <c r="B2050" s="40"/>
    </row>
    <row r="2051" spans="1:2" x14ac:dyDescent="0.2">
      <c r="A2051" s="40"/>
      <c r="B2051" s="40"/>
    </row>
    <row r="2052" spans="1:2" x14ac:dyDescent="0.2">
      <c r="A2052" s="40"/>
      <c r="B2052" s="40"/>
    </row>
    <row r="2053" spans="1:2" x14ac:dyDescent="0.2">
      <c r="A2053" s="40"/>
      <c r="B2053" s="40"/>
    </row>
    <row r="2054" spans="1:2" x14ac:dyDescent="0.2">
      <c r="A2054" s="40"/>
      <c r="B2054" s="40"/>
    </row>
    <row r="2055" spans="1:2" x14ac:dyDescent="0.2">
      <c r="A2055" s="40"/>
      <c r="B2055" s="40"/>
    </row>
    <row r="2056" spans="1:2" x14ac:dyDescent="0.2">
      <c r="A2056" s="40"/>
      <c r="B2056" s="40"/>
    </row>
    <row r="2057" spans="1:2" x14ac:dyDescent="0.2">
      <c r="A2057" s="40"/>
      <c r="B2057" s="40"/>
    </row>
    <row r="2058" spans="1:2" x14ac:dyDescent="0.2">
      <c r="A2058" s="40"/>
      <c r="B2058" s="40"/>
    </row>
    <row r="2059" spans="1:2" x14ac:dyDescent="0.2">
      <c r="A2059" s="40"/>
      <c r="B2059" s="40"/>
    </row>
    <row r="2060" spans="1:2" x14ac:dyDescent="0.2">
      <c r="A2060" s="40"/>
      <c r="B2060" s="40"/>
    </row>
    <row r="2061" spans="1:2" x14ac:dyDescent="0.2">
      <c r="A2061" s="40"/>
      <c r="B2061" s="40"/>
    </row>
    <row r="2062" spans="1:2" x14ac:dyDescent="0.2">
      <c r="A2062" s="40"/>
      <c r="B2062" s="40"/>
    </row>
    <row r="2063" spans="1:2" x14ac:dyDescent="0.2">
      <c r="A2063" s="40"/>
      <c r="B2063" s="40"/>
    </row>
    <row r="2064" spans="1:2" x14ac:dyDescent="0.2">
      <c r="A2064" s="40"/>
      <c r="B2064" s="40"/>
    </row>
    <row r="2065" spans="1:2" x14ac:dyDescent="0.2">
      <c r="A2065" s="40"/>
      <c r="B2065" s="40"/>
    </row>
    <row r="2066" spans="1:2" x14ac:dyDescent="0.2">
      <c r="A2066" s="40"/>
      <c r="B2066" s="40"/>
    </row>
    <row r="2067" spans="1:2" x14ac:dyDescent="0.2">
      <c r="A2067" s="40"/>
      <c r="B2067" s="40"/>
    </row>
    <row r="2068" spans="1:2" x14ac:dyDescent="0.2">
      <c r="A2068" s="40"/>
      <c r="B2068" s="40"/>
    </row>
    <row r="2069" spans="1:2" x14ac:dyDescent="0.2">
      <c r="A2069" s="40"/>
      <c r="B2069" s="40"/>
    </row>
    <row r="2070" spans="1:2" x14ac:dyDescent="0.2">
      <c r="A2070" s="40"/>
      <c r="B2070" s="40"/>
    </row>
    <row r="2071" spans="1:2" x14ac:dyDescent="0.2">
      <c r="A2071" s="40"/>
      <c r="B2071" s="40"/>
    </row>
    <row r="2072" spans="1:2" x14ac:dyDescent="0.2">
      <c r="A2072" s="40"/>
      <c r="B2072" s="40"/>
    </row>
    <row r="2073" spans="1:2" x14ac:dyDescent="0.2">
      <c r="A2073" s="40"/>
      <c r="B2073" s="40"/>
    </row>
    <row r="2074" spans="1:2" x14ac:dyDescent="0.2">
      <c r="A2074" s="40"/>
      <c r="B2074" s="40"/>
    </row>
    <row r="2075" spans="1:2" x14ac:dyDescent="0.2">
      <c r="A2075" s="40"/>
      <c r="B2075" s="40"/>
    </row>
    <row r="2076" spans="1:2" x14ac:dyDescent="0.2">
      <c r="A2076" s="40"/>
      <c r="B2076" s="40"/>
    </row>
    <row r="2077" spans="1:2" x14ac:dyDescent="0.2">
      <c r="A2077" s="40"/>
      <c r="B2077" s="40"/>
    </row>
    <row r="2078" spans="1:2" x14ac:dyDescent="0.2">
      <c r="A2078" s="40"/>
      <c r="B2078" s="40"/>
    </row>
    <row r="2079" spans="1:2" x14ac:dyDescent="0.2">
      <c r="A2079" s="40"/>
      <c r="B2079" s="40"/>
    </row>
    <row r="2080" spans="1:2" x14ac:dyDescent="0.2">
      <c r="A2080" s="40"/>
      <c r="B2080" s="40"/>
    </row>
    <row r="2081" spans="1:2" x14ac:dyDescent="0.2">
      <c r="A2081" s="40"/>
      <c r="B2081" s="40"/>
    </row>
    <row r="2082" spans="1:2" x14ac:dyDescent="0.2">
      <c r="A2082" s="40"/>
      <c r="B2082" s="40"/>
    </row>
    <row r="2083" spans="1:2" x14ac:dyDescent="0.2">
      <c r="A2083" s="40"/>
      <c r="B2083" s="40"/>
    </row>
    <row r="2084" spans="1:2" x14ac:dyDescent="0.2">
      <c r="A2084" s="40"/>
      <c r="B2084" s="40"/>
    </row>
    <row r="2085" spans="1:2" x14ac:dyDescent="0.2">
      <c r="A2085" s="40"/>
      <c r="B2085" s="40"/>
    </row>
    <row r="2086" spans="1:2" x14ac:dyDescent="0.2">
      <c r="A2086" s="40"/>
      <c r="B2086" s="40"/>
    </row>
    <row r="2087" spans="1:2" x14ac:dyDescent="0.2">
      <c r="A2087" s="40"/>
      <c r="B2087" s="40"/>
    </row>
    <row r="2088" spans="1:2" x14ac:dyDescent="0.2">
      <c r="A2088" s="40"/>
      <c r="B2088" s="40"/>
    </row>
    <row r="2089" spans="1:2" x14ac:dyDescent="0.2">
      <c r="A2089" s="40"/>
      <c r="B2089" s="40"/>
    </row>
    <row r="2090" spans="1:2" x14ac:dyDescent="0.2">
      <c r="A2090" s="40"/>
      <c r="B2090" s="40"/>
    </row>
    <row r="2091" spans="1:2" x14ac:dyDescent="0.2">
      <c r="A2091" s="40"/>
      <c r="B2091" s="40"/>
    </row>
    <row r="2092" spans="1:2" x14ac:dyDescent="0.2">
      <c r="A2092" s="40"/>
      <c r="B2092" s="40"/>
    </row>
    <row r="2093" spans="1:2" x14ac:dyDescent="0.2">
      <c r="A2093" s="40"/>
      <c r="B2093" s="40"/>
    </row>
    <row r="2094" spans="1:2" x14ac:dyDescent="0.2">
      <c r="A2094" s="40"/>
      <c r="B2094" s="40"/>
    </row>
    <row r="2095" spans="1:2" x14ac:dyDescent="0.2">
      <c r="A2095" s="40"/>
      <c r="B2095" s="40"/>
    </row>
    <row r="2096" spans="1:2" x14ac:dyDescent="0.2">
      <c r="A2096" s="40"/>
      <c r="B2096" s="40"/>
    </row>
    <row r="2097" spans="1:2" x14ac:dyDescent="0.2">
      <c r="A2097" s="40"/>
      <c r="B2097" s="40"/>
    </row>
    <row r="2098" spans="1:2" x14ac:dyDescent="0.2">
      <c r="A2098" s="40"/>
      <c r="B2098" s="40"/>
    </row>
    <row r="2099" spans="1:2" x14ac:dyDescent="0.2">
      <c r="A2099" s="40"/>
      <c r="B2099" s="40"/>
    </row>
    <row r="2100" spans="1:2" x14ac:dyDescent="0.2">
      <c r="A2100" s="40"/>
      <c r="B2100" s="40"/>
    </row>
    <row r="2101" spans="1:2" x14ac:dyDescent="0.2">
      <c r="A2101" s="40"/>
      <c r="B2101" s="40"/>
    </row>
    <row r="2102" spans="1:2" x14ac:dyDescent="0.2">
      <c r="A2102" s="40"/>
      <c r="B2102" s="40"/>
    </row>
    <row r="2103" spans="1:2" x14ac:dyDescent="0.2">
      <c r="A2103" s="40"/>
      <c r="B2103" s="40"/>
    </row>
    <row r="2104" spans="1:2" x14ac:dyDescent="0.2">
      <c r="A2104" s="40"/>
      <c r="B2104" s="40"/>
    </row>
    <row r="2105" spans="1:2" x14ac:dyDescent="0.2">
      <c r="A2105" s="40"/>
      <c r="B2105" s="40"/>
    </row>
    <row r="2106" spans="1:2" x14ac:dyDescent="0.2">
      <c r="A2106" s="40"/>
      <c r="B2106" s="40"/>
    </row>
    <row r="2107" spans="1:2" x14ac:dyDescent="0.2">
      <c r="A2107" s="40"/>
      <c r="B2107" s="40"/>
    </row>
    <row r="2108" spans="1:2" x14ac:dyDescent="0.2">
      <c r="A2108" s="40"/>
      <c r="B2108" s="40"/>
    </row>
    <row r="2109" spans="1:2" x14ac:dyDescent="0.2">
      <c r="A2109" s="40"/>
      <c r="B2109" s="40"/>
    </row>
    <row r="2110" spans="1:2" x14ac:dyDescent="0.2">
      <c r="A2110" s="40"/>
      <c r="B2110" s="40"/>
    </row>
    <row r="2111" spans="1:2" x14ac:dyDescent="0.2">
      <c r="A2111" s="40"/>
      <c r="B2111" s="40"/>
    </row>
    <row r="2112" spans="1:2" x14ac:dyDescent="0.2">
      <c r="A2112" s="40"/>
      <c r="B2112" s="40"/>
    </row>
    <row r="2113" spans="1:2" x14ac:dyDescent="0.2">
      <c r="A2113" s="40"/>
      <c r="B2113" s="40"/>
    </row>
    <row r="2114" spans="1:2" x14ac:dyDescent="0.2">
      <c r="A2114" s="40"/>
      <c r="B2114" s="40"/>
    </row>
    <row r="2115" spans="1:2" x14ac:dyDescent="0.2">
      <c r="A2115" s="40"/>
      <c r="B2115" s="40"/>
    </row>
    <row r="2116" spans="1:2" x14ac:dyDescent="0.2">
      <c r="A2116" s="40"/>
      <c r="B2116" s="40"/>
    </row>
    <row r="2117" spans="1:2" x14ac:dyDescent="0.2">
      <c r="A2117" s="40"/>
      <c r="B2117" s="40"/>
    </row>
    <row r="2118" spans="1:2" x14ac:dyDescent="0.2">
      <c r="A2118" s="40"/>
      <c r="B2118" s="40"/>
    </row>
    <row r="2119" spans="1:2" x14ac:dyDescent="0.2">
      <c r="A2119" s="40"/>
      <c r="B2119" s="40"/>
    </row>
    <row r="2120" spans="1:2" x14ac:dyDescent="0.2">
      <c r="A2120" s="40"/>
      <c r="B2120" s="40"/>
    </row>
    <row r="2121" spans="1:2" x14ac:dyDescent="0.2">
      <c r="A2121" s="40"/>
      <c r="B2121" s="40"/>
    </row>
    <row r="2122" spans="1:2" x14ac:dyDescent="0.2">
      <c r="A2122" s="40"/>
      <c r="B2122" s="40"/>
    </row>
    <row r="2123" spans="1:2" x14ac:dyDescent="0.2">
      <c r="A2123" s="40"/>
      <c r="B2123" s="40"/>
    </row>
    <row r="2124" spans="1:2" x14ac:dyDescent="0.2">
      <c r="A2124" s="40"/>
      <c r="B2124" s="40"/>
    </row>
    <row r="2125" spans="1:2" x14ac:dyDescent="0.2">
      <c r="A2125" s="40"/>
      <c r="B2125" s="40"/>
    </row>
    <row r="2126" spans="1:2" x14ac:dyDescent="0.2">
      <c r="A2126" s="40"/>
      <c r="B2126" s="40"/>
    </row>
    <row r="2127" spans="1:2" x14ac:dyDescent="0.2">
      <c r="A2127" s="40"/>
      <c r="B2127" s="40"/>
    </row>
    <row r="2128" spans="1:2" x14ac:dyDescent="0.2">
      <c r="A2128" s="40"/>
      <c r="B2128" s="40"/>
    </row>
    <row r="2129" spans="1:2" x14ac:dyDescent="0.2">
      <c r="A2129" s="40"/>
      <c r="B2129" s="40"/>
    </row>
    <row r="2130" spans="1:2" x14ac:dyDescent="0.2">
      <c r="A2130" s="40"/>
      <c r="B2130" s="40"/>
    </row>
    <row r="2131" spans="1:2" x14ac:dyDescent="0.2">
      <c r="A2131" s="40"/>
      <c r="B2131" s="40"/>
    </row>
    <row r="2132" spans="1:2" x14ac:dyDescent="0.2">
      <c r="A2132" s="40"/>
      <c r="B2132" s="40"/>
    </row>
    <row r="2133" spans="1:2" x14ac:dyDescent="0.2">
      <c r="A2133" s="40"/>
      <c r="B2133" s="40"/>
    </row>
    <row r="2134" spans="1:2" x14ac:dyDescent="0.2">
      <c r="A2134" s="40"/>
      <c r="B2134" s="40"/>
    </row>
    <row r="2135" spans="1:2" x14ac:dyDescent="0.2">
      <c r="A2135" s="40"/>
      <c r="B2135" s="40"/>
    </row>
    <row r="2136" spans="1:2" x14ac:dyDescent="0.2">
      <c r="A2136" s="40"/>
      <c r="B2136" s="40"/>
    </row>
    <row r="2137" spans="1:2" x14ac:dyDescent="0.2">
      <c r="A2137" s="40"/>
      <c r="B2137" s="40"/>
    </row>
    <row r="2138" spans="1:2" x14ac:dyDescent="0.2">
      <c r="A2138" s="40"/>
      <c r="B2138" s="40"/>
    </row>
    <row r="2139" spans="1:2" x14ac:dyDescent="0.2">
      <c r="A2139" s="40"/>
      <c r="B2139" s="40"/>
    </row>
    <row r="2140" spans="1:2" x14ac:dyDescent="0.2">
      <c r="A2140" s="40"/>
      <c r="B2140" s="40"/>
    </row>
    <row r="2141" spans="1:2" x14ac:dyDescent="0.2">
      <c r="A2141" s="40"/>
      <c r="B2141" s="40"/>
    </row>
    <row r="2142" spans="1:2" x14ac:dyDescent="0.2">
      <c r="A2142" s="40"/>
      <c r="B2142" s="40"/>
    </row>
    <row r="2143" spans="1:2" x14ac:dyDescent="0.2">
      <c r="A2143" s="40"/>
      <c r="B2143" s="40"/>
    </row>
    <row r="2144" spans="1:2" x14ac:dyDescent="0.2">
      <c r="A2144" s="40"/>
      <c r="B2144" s="40"/>
    </row>
    <row r="2145" spans="1:2" x14ac:dyDescent="0.2">
      <c r="A2145" s="40"/>
      <c r="B2145" s="40"/>
    </row>
    <row r="2146" spans="1:2" x14ac:dyDescent="0.2">
      <c r="A2146" s="40"/>
      <c r="B2146" s="40"/>
    </row>
    <row r="2147" spans="1:2" x14ac:dyDescent="0.2">
      <c r="A2147" s="40"/>
      <c r="B2147" s="40"/>
    </row>
    <row r="2148" spans="1:2" x14ac:dyDescent="0.2">
      <c r="A2148" s="40"/>
      <c r="B2148" s="40"/>
    </row>
    <row r="2149" spans="1:2" x14ac:dyDescent="0.2">
      <c r="A2149" s="40"/>
      <c r="B2149" s="40"/>
    </row>
    <row r="2150" spans="1:2" x14ac:dyDescent="0.2">
      <c r="A2150" s="40"/>
      <c r="B2150" s="40"/>
    </row>
    <row r="2151" spans="1:2" x14ac:dyDescent="0.2">
      <c r="A2151" s="40"/>
      <c r="B2151" s="40"/>
    </row>
    <row r="2152" spans="1:2" x14ac:dyDescent="0.2">
      <c r="A2152" s="40"/>
      <c r="B2152" s="40"/>
    </row>
    <row r="2153" spans="1:2" x14ac:dyDescent="0.2">
      <c r="A2153" s="40"/>
      <c r="B2153" s="40"/>
    </row>
    <row r="2154" spans="1:2" x14ac:dyDescent="0.2">
      <c r="A2154" s="40"/>
      <c r="B2154" s="40"/>
    </row>
    <row r="2155" spans="1:2" x14ac:dyDescent="0.2">
      <c r="A2155" s="40"/>
      <c r="B2155" s="40"/>
    </row>
    <row r="2156" spans="1:2" x14ac:dyDescent="0.2">
      <c r="A2156" s="40"/>
      <c r="B2156" s="40"/>
    </row>
    <row r="2157" spans="1:2" x14ac:dyDescent="0.2">
      <c r="A2157" s="40"/>
      <c r="B2157" s="40"/>
    </row>
    <row r="2158" spans="1:2" x14ac:dyDescent="0.2">
      <c r="A2158" s="40"/>
      <c r="B2158" s="40"/>
    </row>
    <row r="2159" spans="1:2" x14ac:dyDescent="0.2">
      <c r="A2159" s="40"/>
      <c r="B2159" s="40"/>
    </row>
    <row r="2160" spans="1:2" x14ac:dyDescent="0.2">
      <c r="A2160" s="40"/>
      <c r="B2160" s="40"/>
    </row>
    <row r="2161" spans="1:2" x14ac:dyDescent="0.2">
      <c r="A2161" s="40"/>
      <c r="B2161" s="40"/>
    </row>
    <row r="2162" spans="1:2" x14ac:dyDescent="0.2">
      <c r="A2162" s="40"/>
      <c r="B2162" s="40"/>
    </row>
    <row r="2163" spans="1:2" x14ac:dyDescent="0.2">
      <c r="A2163" s="40"/>
      <c r="B2163" s="40"/>
    </row>
    <row r="2164" spans="1:2" x14ac:dyDescent="0.2">
      <c r="A2164" s="40"/>
      <c r="B2164" s="40"/>
    </row>
    <row r="2165" spans="1:2" x14ac:dyDescent="0.2">
      <c r="A2165" s="40"/>
      <c r="B2165" s="40"/>
    </row>
    <row r="2166" spans="1:2" x14ac:dyDescent="0.2">
      <c r="A2166" s="40"/>
      <c r="B2166" s="40"/>
    </row>
    <row r="2167" spans="1:2" x14ac:dyDescent="0.2">
      <c r="A2167" s="40"/>
      <c r="B2167" s="40"/>
    </row>
    <row r="2168" spans="1:2" x14ac:dyDescent="0.2">
      <c r="A2168" s="40"/>
      <c r="B2168" s="40"/>
    </row>
    <row r="2169" spans="1:2" x14ac:dyDescent="0.2">
      <c r="A2169" s="40"/>
      <c r="B2169" s="40"/>
    </row>
    <row r="2170" spans="1:2" x14ac:dyDescent="0.2">
      <c r="A2170" s="40"/>
      <c r="B2170" s="40"/>
    </row>
    <row r="2171" spans="1:2" x14ac:dyDescent="0.2">
      <c r="A2171" s="40"/>
      <c r="B2171" s="40"/>
    </row>
    <row r="2172" spans="1:2" x14ac:dyDescent="0.2">
      <c r="A2172" s="40"/>
      <c r="B2172" s="40"/>
    </row>
    <row r="2173" spans="1:2" x14ac:dyDescent="0.2">
      <c r="A2173" s="40"/>
      <c r="B2173" s="40"/>
    </row>
    <row r="2174" spans="1:2" x14ac:dyDescent="0.2">
      <c r="A2174" s="40"/>
      <c r="B2174" s="40"/>
    </row>
    <row r="2175" spans="1:2" x14ac:dyDescent="0.2">
      <c r="A2175" s="40"/>
      <c r="B2175" s="40"/>
    </row>
    <row r="2176" spans="1:2" x14ac:dyDescent="0.2">
      <c r="A2176" s="40"/>
      <c r="B2176" s="40"/>
    </row>
    <row r="2177" spans="1:2" x14ac:dyDescent="0.2">
      <c r="A2177" s="40"/>
      <c r="B2177" s="40"/>
    </row>
    <row r="2178" spans="1:2" x14ac:dyDescent="0.2">
      <c r="A2178" s="40"/>
      <c r="B2178" s="40"/>
    </row>
    <row r="2179" spans="1:2" x14ac:dyDescent="0.2">
      <c r="A2179" s="40"/>
      <c r="B2179" s="40"/>
    </row>
    <row r="2180" spans="1:2" x14ac:dyDescent="0.2">
      <c r="A2180" s="40"/>
      <c r="B2180" s="40"/>
    </row>
    <row r="2181" spans="1:2" x14ac:dyDescent="0.2">
      <c r="A2181" s="40"/>
      <c r="B2181" s="40"/>
    </row>
    <row r="2182" spans="1:2" x14ac:dyDescent="0.2">
      <c r="A2182" s="40"/>
      <c r="B2182" s="40"/>
    </row>
    <row r="2183" spans="1:2" x14ac:dyDescent="0.2">
      <c r="A2183" s="40"/>
      <c r="B2183" s="40"/>
    </row>
    <row r="2184" spans="1:2" x14ac:dyDescent="0.2">
      <c r="A2184" s="40"/>
      <c r="B2184" s="40"/>
    </row>
    <row r="2185" spans="1:2" x14ac:dyDescent="0.2">
      <c r="A2185" s="40"/>
      <c r="B2185" s="40"/>
    </row>
    <row r="2186" spans="1:2" x14ac:dyDescent="0.2">
      <c r="A2186" s="40"/>
      <c r="B2186" s="40"/>
    </row>
    <row r="2187" spans="1:2" x14ac:dyDescent="0.2">
      <c r="A2187" s="40"/>
      <c r="B2187" s="40"/>
    </row>
    <row r="2188" spans="1:2" x14ac:dyDescent="0.2">
      <c r="A2188" s="40"/>
      <c r="B2188" s="40"/>
    </row>
    <row r="2189" spans="1:2" x14ac:dyDescent="0.2">
      <c r="A2189" s="40"/>
      <c r="B2189" s="40"/>
    </row>
    <row r="2190" spans="1:2" x14ac:dyDescent="0.2">
      <c r="A2190" s="40"/>
      <c r="B2190" s="40"/>
    </row>
    <row r="2191" spans="1:2" x14ac:dyDescent="0.2">
      <c r="A2191" s="40"/>
      <c r="B2191" s="40"/>
    </row>
    <row r="2192" spans="1:2" x14ac:dyDescent="0.2">
      <c r="A2192" s="40"/>
      <c r="B2192" s="40"/>
    </row>
    <row r="2193" spans="1:2" x14ac:dyDescent="0.2">
      <c r="A2193" s="40"/>
      <c r="B2193" s="40"/>
    </row>
    <row r="2194" spans="1:2" x14ac:dyDescent="0.2">
      <c r="A2194" s="40"/>
      <c r="B2194" s="40"/>
    </row>
    <row r="2195" spans="1:2" x14ac:dyDescent="0.2">
      <c r="A2195" s="40"/>
      <c r="B2195" s="40"/>
    </row>
    <row r="2196" spans="1:2" x14ac:dyDescent="0.2">
      <c r="A2196" s="40"/>
      <c r="B2196" s="40"/>
    </row>
    <row r="2197" spans="1:2" x14ac:dyDescent="0.2">
      <c r="A2197" s="40"/>
      <c r="B2197" s="40"/>
    </row>
    <row r="2198" spans="1:2" x14ac:dyDescent="0.2">
      <c r="A2198" s="40"/>
      <c r="B2198" s="40"/>
    </row>
    <row r="2199" spans="1:2" x14ac:dyDescent="0.2">
      <c r="A2199" s="40"/>
      <c r="B2199" s="40"/>
    </row>
    <row r="2200" spans="1:2" x14ac:dyDescent="0.2">
      <c r="A2200" s="40"/>
      <c r="B2200" s="40"/>
    </row>
    <row r="2201" spans="1:2" x14ac:dyDescent="0.2">
      <c r="A2201" s="40"/>
      <c r="B2201" s="40"/>
    </row>
    <row r="2202" spans="1:2" x14ac:dyDescent="0.2">
      <c r="A2202" s="40"/>
      <c r="B2202" s="40"/>
    </row>
    <row r="2203" spans="1:2" x14ac:dyDescent="0.2">
      <c r="A2203" s="40"/>
      <c r="B2203" s="40"/>
    </row>
    <row r="2204" spans="1:2" x14ac:dyDescent="0.2">
      <c r="A2204" s="40"/>
      <c r="B2204" s="40"/>
    </row>
    <row r="2205" spans="1:2" x14ac:dyDescent="0.2">
      <c r="A2205" s="40"/>
      <c r="B2205" s="40"/>
    </row>
    <row r="2206" spans="1:2" x14ac:dyDescent="0.2">
      <c r="A2206" s="40"/>
      <c r="B2206" s="40"/>
    </row>
    <row r="2207" spans="1:2" x14ac:dyDescent="0.2">
      <c r="A2207" s="40"/>
      <c r="B2207" s="40"/>
    </row>
    <row r="2208" spans="1:2" x14ac:dyDescent="0.2">
      <c r="A2208" s="40"/>
      <c r="B2208" s="40"/>
    </row>
    <row r="2209" spans="1:2" x14ac:dyDescent="0.2">
      <c r="A2209" s="40"/>
      <c r="B2209" s="40"/>
    </row>
    <row r="2210" spans="1:2" x14ac:dyDescent="0.2">
      <c r="A2210" s="40"/>
      <c r="B2210" s="40"/>
    </row>
    <row r="2211" spans="1:2" x14ac:dyDescent="0.2">
      <c r="A2211" s="40"/>
      <c r="B2211" s="40"/>
    </row>
    <row r="2212" spans="1:2" x14ac:dyDescent="0.2">
      <c r="A2212" s="40"/>
      <c r="B2212" s="40"/>
    </row>
    <row r="2213" spans="1:2" x14ac:dyDescent="0.2">
      <c r="A2213" s="40"/>
      <c r="B2213" s="40"/>
    </row>
    <row r="2214" spans="1:2" x14ac:dyDescent="0.2">
      <c r="A2214" s="40"/>
      <c r="B2214" s="40"/>
    </row>
    <row r="2215" spans="1:2" x14ac:dyDescent="0.2">
      <c r="A2215" s="40"/>
      <c r="B2215" s="40"/>
    </row>
    <row r="2216" spans="1:2" x14ac:dyDescent="0.2">
      <c r="A2216" s="40"/>
      <c r="B2216" s="40"/>
    </row>
    <row r="2217" spans="1:2" x14ac:dyDescent="0.2">
      <c r="A2217" s="40"/>
      <c r="B2217" s="40"/>
    </row>
    <row r="2218" spans="1:2" x14ac:dyDescent="0.2">
      <c r="A2218" s="40"/>
      <c r="B2218" s="40"/>
    </row>
    <row r="2219" spans="1:2" x14ac:dyDescent="0.2">
      <c r="A2219" s="40"/>
      <c r="B2219" s="40"/>
    </row>
    <row r="2220" spans="1:2" x14ac:dyDescent="0.2">
      <c r="A2220" s="40"/>
      <c r="B2220" s="40"/>
    </row>
    <row r="2221" spans="1:2" x14ac:dyDescent="0.2">
      <c r="A2221" s="40"/>
      <c r="B2221" s="40"/>
    </row>
    <row r="2222" spans="1:2" x14ac:dyDescent="0.2">
      <c r="A2222" s="40"/>
      <c r="B2222" s="40"/>
    </row>
    <row r="2223" spans="1:2" x14ac:dyDescent="0.2">
      <c r="A2223" s="40"/>
      <c r="B2223" s="40"/>
    </row>
    <row r="2224" spans="1:2" x14ac:dyDescent="0.2">
      <c r="A2224" s="40"/>
      <c r="B2224" s="40"/>
    </row>
    <row r="2225" spans="1:2" x14ac:dyDescent="0.2">
      <c r="A2225" s="40"/>
      <c r="B2225" s="40"/>
    </row>
    <row r="2226" spans="1:2" x14ac:dyDescent="0.2">
      <c r="A2226" s="40"/>
      <c r="B2226" s="40"/>
    </row>
    <row r="2227" spans="1:2" x14ac:dyDescent="0.2">
      <c r="A2227" s="40"/>
      <c r="B2227" s="40"/>
    </row>
    <row r="2228" spans="1:2" x14ac:dyDescent="0.2">
      <c r="A2228" s="40"/>
      <c r="B2228" s="40"/>
    </row>
    <row r="2229" spans="1:2" x14ac:dyDescent="0.2">
      <c r="A2229" s="40"/>
      <c r="B2229" s="40"/>
    </row>
    <row r="2230" spans="1:2" x14ac:dyDescent="0.2">
      <c r="A2230" s="40"/>
      <c r="B2230" s="40"/>
    </row>
    <row r="2231" spans="1:2" x14ac:dyDescent="0.2">
      <c r="A2231" s="40"/>
      <c r="B2231" s="40"/>
    </row>
    <row r="2232" spans="1:2" x14ac:dyDescent="0.2">
      <c r="A2232" s="40"/>
      <c r="B2232" s="40"/>
    </row>
    <row r="2233" spans="1:2" x14ac:dyDescent="0.2">
      <c r="A2233" s="40"/>
      <c r="B2233" s="40"/>
    </row>
    <row r="2234" spans="1:2" x14ac:dyDescent="0.2">
      <c r="A2234" s="40"/>
      <c r="B2234" s="40"/>
    </row>
    <row r="2235" spans="1:2" x14ac:dyDescent="0.2">
      <c r="A2235" s="40"/>
      <c r="B2235" s="40"/>
    </row>
    <row r="2236" spans="1:2" x14ac:dyDescent="0.2">
      <c r="A2236" s="40"/>
      <c r="B2236" s="40"/>
    </row>
    <row r="2237" spans="1:2" x14ac:dyDescent="0.2">
      <c r="A2237" s="40"/>
      <c r="B2237" s="40"/>
    </row>
    <row r="2238" spans="1:2" x14ac:dyDescent="0.2">
      <c r="A2238" s="40"/>
      <c r="B2238" s="40"/>
    </row>
    <row r="2239" spans="1:2" x14ac:dyDescent="0.2">
      <c r="A2239" s="40"/>
      <c r="B2239" s="40"/>
    </row>
    <row r="2240" spans="1:2" x14ac:dyDescent="0.2">
      <c r="A2240" s="40"/>
      <c r="B2240" s="40"/>
    </row>
    <row r="2241" spans="1:2" x14ac:dyDescent="0.2">
      <c r="A2241" s="40"/>
      <c r="B2241" s="40"/>
    </row>
    <row r="2242" spans="1:2" x14ac:dyDescent="0.2">
      <c r="A2242" s="40"/>
      <c r="B2242" s="40"/>
    </row>
    <row r="2243" spans="1:2" x14ac:dyDescent="0.2">
      <c r="A2243" s="40"/>
      <c r="B2243" s="40"/>
    </row>
    <row r="2244" spans="1:2" x14ac:dyDescent="0.2">
      <c r="A2244" s="40"/>
      <c r="B2244" s="40"/>
    </row>
    <row r="2245" spans="1:2" x14ac:dyDescent="0.2">
      <c r="A2245" s="40"/>
      <c r="B2245" s="40"/>
    </row>
    <row r="2246" spans="1:2" x14ac:dyDescent="0.2">
      <c r="A2246" s="40"/>
      <c r="B2246" s="40"/>
    </row>
    <row r="2247" spans="1:2" x14ac:dyDescent="0.2">
      <c r="A2247" s="40"/>
      <c r="B2247" s="40"/>
    </row>
    <row r="2248" spans="1:2" x14ac:dyDescent="0.2">
      <c r="A2248" s="40"/>
      <c r="B2248" s="40"/>
    </row>
    <row r="2249" spans="1:2" x14ac:dyDescent="0.2">
      <c r="A2249" s="40"/>
      <c r="B2249" s="40"/>
    </row>
    <row r="2250" spans="1:2" x14ac:dyDescent="0.2">
      <c r="A2250" s="40"/>
      <c r="B2250" s="40"/>
    </row>
    <row r="2251" spans="1:2" x14ac:dyDescent="0.2">
      <c r="A2251" s="40"/>
      <c r="B2251" s="40"/>
    </row>
    <row r="2252" spans="1:2" x14ac:dyDescent="0.2">
      <c r="A2252" s="40"/>
      <c r="B2252" s="40"/>
    </row>
    <row r="2253" spans="1:2" x14ac:dyDescent="0.2">
      <c r="A2253" s="40"/>
      <c r="B2253" s="40"/>
    </row>
    <row r="2254" spans="1:2" x14ac:dyDescent="0.2">
      <c r="A2254" s="40"/>
      <c r="B2254" s="40"/>
    </row>
    <row r="2255" spans="1:2" x14ac:dyDescent="0.2">
      <c r="A2255" s="40"/>
      <c r="B2255" s="40"/>
    </row>
    <row r="2256" spans="1:2" x14ac:dyDescent="0.2">
      <c r="A2256" s="40"/>
      <c r="B2256" s="40"/>
    </row>
    <row r="2257" spans="1:2" x14ac:dyDescent="0.2">
      <c r="A2257" s="40"/>
      <c r="B2257" s="40"/>
    </row>
    <row r="2258" spans="1:2" x14ac:dyDescent="0.2">
      <c r="A2258" s="40"/>
      <c r="B2258" s="40"/>
    </row>
    <row r="2259" spans="1:2" x14ac:dyDescent="0.2">
      <c r="A2259" s="40"/>
      <c r="B2259" s="40"/>
    </row>
    <row r="2260" spans="1:2" x14ac:dyDescent="0.2">
      <c r="A2260" s="40"/>
      <c r="B2260" s="40"/>
    </row>
    <row r="2261" spans="1:2" x14ac:dyDescent="0.2">
      <c r="A2261" s="40"/>
      <c r="B2261" s="40"/>
    </row>
    <row r="2262" spans="1:2" x14ac:dyDescent="0.2">
      <c r="A2262" s="40"/>
      <c r="B2262" s="40"/>
    </row>
    <row r="2263" spans="1:2" x14ac:dyDescent="0.2">
      <c r="A2263" s="40"/>
      <c r="B2263" s="40"/>
    </row>
    <row r="2264" spans="1:2" x14ac:dyDescent="0.2">
      <c r="A2264" s="40"/>
      <c r="B2264" s="40"/>
    </row>
    <row r="2265" spans="1:2" x14ac:dyDescent="0.2">
      <c r="A2265" s="40"/>
      <c r="B2265" s="40"/>
    </row>
    <row r="2266" spans="1:2" x14ac:dyDescent="0.2">
      <c r="A2266" s="40"/>
      <c r="B2266" s="40"/>
    </row>
    <row r="2267" spans="1:2" x14ac:dyDescent="0.2">
      <c r="A2267" s="40"/>
      <c r="B2267" s="40"/>
    </row>
    <row r="2268" spans="1:2" x14ac:dyDescent="0.2">
      <c r="A2268" s="40"/>
      <c r="B2268" s="40"/>
    </row>
    <row r="2269" spans="1:2" x14ac:dyDescent="0.2">
      <c r="A2269" s="40"/>
      <c r="B2269" s="40"/>
    </row>
    <row r="2270" spans="1:2" x14ac:dyDescent="0.2">
      <c r="A2270" s="40"/>
      <c r="B2270" s="40"/>
    </row>
    <row r="2271" spans="1:2" x14ac:dyDescent="0.2">
      <c r="A2271" s="40"/>
      <c r="B2271" s="40"/>
    </row>
    <row r="2272" spans="1:2" x14ac:dyDescent="0.2">
      <c r="A2272" s="40"/>
      <c r="B2272" s="40"/>
    </row>
    <row r="2273" spans="1:2" x14ac:dyDescent="0.2">
      <c r="A2273" s="40"/>
      <c r="B2273" s="40"/>
    </row>
    <row r="2274" spans="1:2" x14ac:dyDescent="0.2">
      <c r="A2274" s="40"/>
      <c r="B2274" s="40"/>
    </row>
    <row r="2275" spans="1:2" x14ac:dyDescent="0.2">
      <c r="A2275" s="40"/>
      <c r="B2275" s="40"/>
    </row>
    <row r="2276" spans="1:2" x14ac:dyDescent="0.2">
      <c r="A2276" s="40"/>
      <c r="B2276" s="40"/>
    </row>
    <row r="2277" spans="1:2" x14ac:dyDescent="0.2">
      <c r="A2277" s="40"/>
      <c r="B2277" s="40"/>
    </row>
    <row r="2278" spans="1:2" x14ac:dyDescent="0.2">
      <c r="A2278" s="40"/>
      <c r="B2278" s="40"/>
    </row>
    <row r="2279" spans="1:2" x14ac:dyDescent="0.2">
      <c r="A2279" s="40"/>
      <c r="B2279" s="40"/>
    </row>
    <row r="2280" spans="1:2" x14ac:dyDescent="0.2">
      <c r="A2280" s="40"/>
      <c r="B2280" s="40"/>
    </row>
    <row r="2281" spans="1:2" x14ac:dyDescent="0.2">
      <c r="A2281" s="40"/>
      <c r="B2281" s="40"/>
    </row>
    <row r="2282" spans="1:2" x14ac:dyDescent="0.2">
      <c r="A2282" s="40"/>
      <c r="B2282" s="40"/>
    </row>
    <row r="2283" spans="1:2" x14ac:dyDescent="0.2">
      <c r="A2283" s="40"/>
      <c r="B2283" s="40"/>
    </row>
    <row r="2284" spans="1:2" x14ac:dyDescent="0.2">
      <c r="A2284" s="40"/>
      <c r="B2284" s="40"/>
    </row>
    <row r="2285" spans="1:2" x14ac:dyDescent="0.2">
      <c r="A2285" s="40"/>
      <c r="B2285" s="40"/>
    </row>
    <row r="2286" spans="1:2" x14ac:dyDescent="0.2">
      <c r="A2286" s="40"/>
      <c r="B2286" s="40"/>
    </row>
    <row r="2287" spans="1:2" x14ac:dyDescent="0.2">
      <c r="A2287" s="40"/>
      <c r="B2287" s="40"/>
    </row>
    <row r="2288" spans="1:2" x14ac:dyDescent="0.2">
      <c r="A2288" s="40"/>
      <c r="B2288" s="40"/>
    </row>
    <row r="2289" spans="1:2" x14ac:dyDescent="0.2">
      <c r="A2289" s="40"/>
      <c r="B2289" s="40"/>
    </row>
    <row r="2290" spans="1:2" x14ac:dyDescent="0.2">
      <c r="A2290" s="40"/>
      <c r="B2290" s="40"/>
    </row>
    <row r="2291" spans="1:2" x14ac:dyDescent="0.2">
      <c r="A2291" s="40"/>
      <c r="B2291" s="40"/>
    </row>
    <row r="2292" spans="1:2" x14ac:dyDescent="0.2">
      <c r="A2292" s="40"/>
      <c r="B2292" s="40"/>
    </row>
    <row r="2293" spans="1:2" x14ac:dyDescent="0.2">
      <c r="A2293" s="40"/>
      <c r="B2293" s="40"/>
    </row>
    <row r="2294" spans="1:2" x14ac:dyDescent="0.2">
      <c r="A2294" s="40"/>
      <c r="B2294" s="40"/>
    </row>
    <row r="2295" spans="1:2" x14ac:dyDescent="0.2">
      <c r="A2295" s="40"/>
      <c r="B2295" s="40"/>
    </row>
    <row r="2296" spans="1:2" x14ac:dyDescent="0.2">
      <c r="A2296" s="40"/>
      <c r="B2296" s="40"/>
    </row>
    <row r="2297" spans="1:2" x14ac:dyDescent="0.2">
      <c r="A2297" s="40"/>
      <c r="B2297" s="40"/>
    </row>
    <row r="2298" spans="1:2" x14ac:dyDescent="0.2">
      <c r="A2298" s="40"/>
      <c r="B2298" s="40"/>
    </row>
    <row r="2299" spans="1:2" x14ac:dyDescent="0.2">
      <c r="A2299" s="40"/>
      <c r="B2299" s="40"/>
    </row>
    <row r="2300" spans="1:2" x14ac:dyDescent="0.2">
      <c r="A2300" s="40"/>
      <c r="B2300" s="40"/>
    </row>
    <row r="2301" spans="1:2" x14ac:dyDescent="0.2">
      <c r="A2301" s="40"/>
      <c r="B2301" s="40"/>
    </row>
    <row r="2302" spans="1:2" x14ac:dyDescent="0.2">
      <c r="A2302" s="40"/>
      <c r="B2302" s="40"/>
    </row>
    <row r="2303" spans="1:2" x14ac:dyDescent="0.2">
      <c r="A2303" s="40"/>
      <c r="B2303" s="40"/>
    </row>
    <row r="2304" spans="1:2" x14ac:dyDescent="0.2">
      <c r="A2304" s="40"/>
      <c r="B2304" s="40"/>
    </row>
    <row r="2305" spans="1:2" x14ac:dyDescent="0.2">
      <c r="A2305" s="40"/>
      <c r="B2305" s="40"/>
    </row>
    <row r="2306" spans="1:2" x14ac:dyDescent="0.2">
      <c r="A2306" s="40"/>
      <c r="B2306" s="40"/>
    </row>
    <row r="2307" spans="1:2" x14ac:dyDescent="0.2">
      <c r="A2307" s="40"/>
      <c r="B2307" s="40"/>
    </row>
    <row r="2308" spans="1:2" x14ac:dyDescent="0.2">
      <c r="A2308" s="40"/>
      <c r="B2308" s="40"/>
    </row>
    <row r="2309" spans="1:2" x14ac:dyDescent="0.2">
      <c r="A2309" s="40"/>
      <c r="B2309" s="40"/>
    </row>
    <row r="2310" spans="1:2" x14ac:dyDescent="0.2">
      <c r="A2310" s="40"/>
      <c r="B2310" s="40"/>
    </row>
    <row r="2311" spans="1:2" x14ac:dyDescent="0.2">
      <c r="A2311" s="40"/>
      <c r="B2311" s="40"/>
    </row>
    <row r="2312" spans="1:2" x14ac:dyDescent="0.2">
      <c r="A2312" s="40"/>
      <c r="B2312" s="40"/>
    </row>
    <row r="2313" spans="1:2" x14ac:dyDescent="0.2">
      <c r="A2313" s="40"/>
      <c r="B2313" s="40"/>
    </row>
    <row r="2314" spans="1:2" x14ac:dyDescent="0.2">
      <c r="A2314" s="40"/>
      <c r="B2314" s="40"/>
    </row>
    <row r="2315" spans="1:2" x14ac:dyDescent="0.2">
      <c r="A2315" s="40"/>
      <c r="B2315" s="40"/>
    </row>
    <row r="2316" spans="1:2" x14ac:dyDescent="0.2">
      <c r="A2316" s="40"/>
      <c r="B2316" s="40"/>
    </row>
    <row r="2317" spans="1:2" x14ac:dyDescent="0.2">
      <c r="A2317" s="40"/>
      <c r="B2317" s="40"/>
    </row>
    <row r="2318" spans="1:2" x14ac:dyDescent="0.2">
      <c r="A2318" s="40"/>
      <c r="B2318" s="40"/>
    </row>
    <row r="2319" spans="1:2" x14ac:dyDescent="0.2">
      <c r="A2319" s="40"/>
      <c r="B2319" s="40"/>
    </row>
    <row r="2320" spans="1:2" x14ac:dyDescent="0.2">
      <c r="A2320" s="40"/>
      <c r="B2320" s="40"/>
    </row>
    <row r="2321" spans="1:2" x14ac:dyDescent="0.2">
      <c r="A2321" s="40"/>
      <c r="B2321" s="40"/>
    </row>
    <row r="2322" spans="1:2" x14ac:dyDescent="0.2">
      <c r="A2322" s="40"/>
      <c r="B2322" s="40"/>
    </row>
    <row r="2323" spans="1:2" x14ac:dyDescent="0.2">
      <c r="A2323" s="40"/>
      <c r="B2323" s="40"/>
    </row>
    <row r="2324" spans="1:2" x14ac:dyDescent="0.2">
      <c r="A2324" s="40"/>
      <c r="B2324" s="40"/>
    </row>
    <row r="2325" spans="1:2" x14ac:dyDescent="0.2">
      <c r="A2325" s="40"/>
      <c r="B2325" s="40"/>
    </row>
    <row r="2326" spans="1:2" x14ac:dyDescent="0.2">
      <c r="A2326" s="40"/>
      <c r="B2326" s="40"/>
    </row>
    <row r="2327" spans="1:2" x14ac:dyDescent="0.2">
      <c r="A2327" s="40"/>
      <c r="B2327" s="40"/>
    </row>
    <row r="2328" spans="1:2" x14ac:dyDescent="0.2">
      <c r="A2328" s="40"/>
      <c r="B2328" s="40"/>
    </row>
    <row r="2329" spans="1:2" x14ac:dyDescent="0.2">
      <c r="A2329" s="40"/>
      <c r="B2329" s="40"/>
    </row>
    <row r="2330" spans="1:2" x14ac:dyDescent="0.2">
      <c r="A2330" s="40"/>
      <c r="B2330" s="40"/>
    </row>
    <row r="2331" spans="1:2" x14ac:dyDescent="0.2">
      <c r="A2331" s="40"/>
      <c r="B2331" s="40"/>
    </row>
    <row r="2332" spans="1:2" x14ac:dyDescent="0.2">
      <c r="A2332" s="40"/>
      <c r="B2332" s="40"/>
    </row>
    <row r="2333" spans="1:2" x14ac:dyDescent="0.2">
      <c r="A2333" s="40"/>
      <c r="B2333" s="40"/>
    </row>
    <row r="2334" spans="1:2" x14ac:dyDescent="0.2">
      <c r="A2334" s="40"/>
      <c r="B2334" s="40"/>
    </row>
    <row r="2335" spans="1:2" x14ac:dyDescent="0.2">
      <c r="A2335" s="40"/>
      <c r="B2335" s="40"/>
    </row>
    <row r="2336" spans="1:2" x14ac:dyDescent="0.2">
      <c r="A2336" s="40"/>
      <c r="B2336" s="40"/>
    </row>
    <row r="2337" spans="1:2" x14ac:dyDescent="0.2">
      <c r="A2337" s="40"/>
      <c r="B2337" s="40"/>
    </row>
    <row r="2338" spans="1:2" x14ac:dyDescent="0.2">
      <c r="A2338" s="40"/>
      <c r="B2338" s="40"/>
    </row>
    <row r="2339" spans="1:2" x14ac:dyDescent="0.2">
      <c r="A2339" s="40"/>
      <c r="B2339" s="40"/>
    </row>
    <row r="2340" spans="1:2" x14ac:dyDescent="0.2">
      <c r="A2340" s="40"/>
      <c r="B2340" s="40"/>
    </row>
    <row r="2341" spans="1:2" x14ac:dyDescent="0.2">
      <c r="A2341" s="40"/>
      <c r="B2341" s="40"/>
    </row>
    <row r="2342" spans="1:2" x14ac:dyDescent="0.2">
      <c r="A2342" s="40"/>
      <c r="B2342" s="40"/>
    </row>
    <row r="2343" spans="1:2" x14ac:dyDescent="0.2">
      <c r="A2343" s="40"/>
      <c r="B2343" s="40"/>
    </row>
    <row r="2344" spans="1:2" x14ac:dyDescent="0.2">
      <c r="A2344" s="40"/>
      <c r="B2344" s="40"/>
    </row>
    <row r="2345" spans="1:2" x14ac:dyDescent="0.2">
      <c r="A2345" s="40"/>
      <c r="B2345" s="40"/>
    </row>
    <row r="2346" spans="1:2" x14ac:dyDescent="0.2">
      <c r="A2346" s="40"/>
      <c r="B2346" s="40"/>
    </row>
    <row r="2347" spans="1:2" x14ac:dyDescent="0.2">
      <c r="A2347" s="40"/>
      <c r="B2347" s="40"/>
    </row>
    <row r="2348" spans="1:2" x14ac:dyDescent="0.2">
      <c r="A2348" s="40"/>
      <c r="B2348" s="40"/>
    </row>
    <row r="2349" spans="1:2" x14ac:dyDescent="0.2">
      <c r="A2349" s="40"/>
      <c r="B2349" s="40"/>
    </row>
    <row r="2350" spans="1:2" x14ac:dyDescent="0.2">
      <c r="A2350" s="40"/>
      <c r="B2350" s="40"/>
    </row>
    <row r="2351" spans="1:2" x14ac:dyDescent="0.2">
      <c r="A2351" s="40"/>
      <c r="B2351" s="40"/>
    </row>
    <row r="2352" spans="1:2" x14ac:dyDescent="0.2">
      <c r="A2352" s="40"/>
      <c r="B2352" s="40"/>
    </row>
    <row r="2353" spans="1:2" x14ac:dyDescent="0.2">
      <c r="A2353" s="40"/>
      <c r="B2353" s="40"/>
    </row>
    <row r="2354" spans="1:2" x14ac:dyDescent="0.2">
      <c r="A2354" s="40"/>
      <c r="B2354" s="40"/>
    </row>
    <row r="2355" spans="1:2" x14ac:dyDescent="0.2">
      <c r="A2355" s="40"/>
      <c r="B2355" s="40"/>
    </row>
    <row r="2356" spans="1:2" x14ac:dyDescent="0.2">
      <c r="A2356" s="40"/>
      <c r="B2356" s="40"/>
    </row>
    <row r="2357" spans="1:2" x14ac:dyDescent="0.2">
      <c r="A2357" s="40"/>
      <c r="B2357" s="40"/>
    </row>
    <row r="2358" spans="1:2" x14ac:dyDescent="0.2">
      <c r="A2358" s="40"/>
      <c r="B2358" s="40"/>
    </row>
    <row r="2359" spans="1:2" x14ac:dyDescent="0.2">
      <c r="A2359" s="40"/>
      <c r="B2359" s="40"/>
    </row>
    <row r="2360" spans="1:2" x14ac:dyDescent="0.2">
      <c r="A2360" s="40"/>
      <c r="B2360" s="40"/>
    </row>
    <row r="2361" spans="1:2" x14ac:dyDescent="0.2">
      <c r="A2361" s="40"/>
      <c r="B2361" s="40"/>
    </row>
    <row r="2362" spans="1:2" x14ac:dyDescent="0.2">
      <c r="A2362" s="40"/>
      <c r="B2362" s="40"/>
    </row>
    <row r="2363" spans="1:2" x14ac:dyDescent="0.2">
      <c r="A2363" s="40"/>
      <c r="B2363" s="40"/>
    </row>
    <row r="2364" spans="1:2" x14ac:dyDescent="0.2">
      <c r="A2364" s="40"/>
      <c r="B2364" s="40"/>
    </row>
    <row r="2365" spans="1:2" x14ac:dyDescent="0.2">
      <c r="A2365" s="40"/>
      <c r="B2365" s="40"/>
    </row>
    <row r="2366" spans="1:2" x14ac:dyDescent="0.2">
      <c r="A2366" s="40"/>
      <c r="B2366" s="40"/>
    </row>
    <row r="2367" spans="1:2" x14ac:dyDescent="0.2">
      <c r="A2367" s="40"/>
      <c r="B2367" s="40"/>
    </row>
    <row r="2368" spans="1:2" x14ac:dyDescent="0.2">
      <c r="A2368" s="40"/>
      <c r="B2368" s="40"/>
    </row>
    <row r="2369" spans="1:2" x14ac:dyDescent="0.2">
      <c r="A2369" s="40"/>
      <c r="B2369" s="40"/>
    </row>
    <row r="2370" spans="1:2" x14ac:dyDescent="0.2">
      <c r="A2370" s="40"/>
      <c r="B2370" s="40"/>
    </row>
    <row r="2371" spans="1:2" x14ac:dyDescent="0.2">
      <c r="A2371" s="40"/>
      <c r="B2371" s="40"/>
    </row>
    <row r="2372" spans="1:2" x14ac:dyDescent="0.2">
      <c r="A2372" s="40"/>
      <c r="B2372" s="40"/>
    </row>
    <row r="2373" spans="1:2" x14ac:dyDescent="0.2">
      <c r="A2373" s="40"/>
      <c r="B2373" s="40"/>
    </row>
    <row r="2374" spans="1:2" x14ac:dyDescent="0.2">
      <c r="A2374" s="40"/>
      <c r="B2374" s="40"/>
    </row>
    <row r="2375" spans="1:2" x14ac:dyDescent="0.2">
      <c r="A2375" s="40"/>
      <c r="B2375" s="40"/>
    </row>
    <row r="2376" spans="1:2" x14ac:dyDescent="0.2">
      <c r="A2376" s="40"/>
      <c r="B2376" s="40"/>
    </row>
    <row r="2377" spans="1:2" x14ac:dyDescent="0.2">
      <c r="A2377" s="40"/>
      <c r="B2377" s="40"/>
    </row>
    <row r="2378" spans="1:2" x14ac:dyDescent="0.2">
      <c r="A2378" s="40"/>
      <c r="B2378" s="40"/>
    </row>
    <row r="2379" spans="1:2" x14ac:dyDescent="0.2">
      <c r="A2379" s="40"/>
      <c r="B2379" s="40"/>
    </row>
    <row r="2380" spans="1:2" x14ac:dyDescent="0.2">
      <c r="A2380" s="40"/>
      <c r="B2380" s="40"/>
    </row>
    <row r="2381" spans="1:2" x14ac:dyDescent="0.2">
      <c r="A2381" s="40"/>
      <c r="B2381" s="40"/>
    </row>
    <row r="2382" spans="1:2" x14ac:dyDescent="0.2">
      <c r="A2382" s="40"/>
      <c r="B2382" s="40"/>
    </row>
    <row r="2383" spans="1:2" x14ac:dyDescent="0.2">
      <c r="A2383" s="40"/>
      <c r="B2383" s="40"/>
    </row>
    <row r="2384" spans="1:2" x14ac:dyDescent="0.2">
      <c r="A2384" s="40"/>
      <c r="B2384" s="40"/>
    </row>
    <row r="2385" spans="1:2" x14ac:dyDescent="0.2">
      <c r="A2385" s="40"/>
      <c r="B2385" s="40"/>
    </row>
    <row r="2386" spans="1:2" x14ac:dyDescent="0.2">
      <c r="A2386" s="40"/>
      <c r="B2386" s="40"/>
    </row>
    <row r="2387" spans="1:2" x14ac:dyDescent="0.2">
      <c r="A2387" s="40"/>
      <c r="B2387" s="40"/>
    </row>
    <row r="2388" spans="1:2" x14ac:dyDescent="0.2">
      <c r="A2388" s="40"/>
      <c r="B2388" s="40"/>
    </row>
    <row r="2389" spans="1:2" x14ac:dyDescent="0.2">
      <c r="A2389" s="40"/>
      <c r="B2389" s="40"/>
    </row>
    <row r="2390" spans="1:2" x14ac:dyDescent="0.2">
      <c r="A2390" s="40"/>
      <c r="B2390" s="40"/>
    </row>
    <row r="2391" spans="1:2" x14ac:dyDescent="0.2">
      <c r="A2391" s="40"/>
      <c r="B2391" s="40"/>
    </row>
    <row r="2392" spans="1:2" x14ac:dyDescent="0.2">
      <c r="A2392" s="40"/>
      <c r="B2392" s="40"/>
    </row>
    <row r="2393" spans="1:2" x14ac:dyDescent="0.2">
      <c r="A2393" s="40"/>
      <c r="B2393" s="40"/>
    </row>
    <row r="2394" spans="1:2" x14ac:dyDescent="0.2">
      <c r="A2394" s="40"/>
      <c r="B2394" s="40"/>
    </row>
    <row r="2395" spans="1:2" x14ac:dyDescent="0.2">
      <c r="A2395" s="40"/>
      <c r="B2395" s="40"/>
    </row>
    <row r="2396" spans="1:2" x14ac:dyDescent="0.2">
      <c r="A2396" s="40"/>
      <c r="B2396" s="40"/>
    </row>
    <row r="2397" spans="1:2" x14ac:dyDescent="0.2">
      <c r="A2397" s="40"/>
      <c r="B2397" s="40"/>
    </row>
    <row r="2398" spans="1:2" x14ac:dyDescent="0.2">
      <c r="A2398" s="40"/>
      <c r="B2398" s="40"/>
    </row>
    <row r="2399" spans="1:2" x14ac:dyDescent="0.2">
      <c r="A2399" s="40"/>
      <c r="B2399" s="40"/>
    </row>
    <row r="2400" spans="1:2" x14ac:dyDescent="0.2">
      <c r="A2400" s="40"/>
      <c r="B2400" s="40"/>
    </row>
    <row r="2401" spans="1:2" x14ac:dyDescent="0.2">
      <c r="A2401" s="40"/>
      <c r="B2401" s="40"/>
    </row>
    <row r="2402" spans="1:2" x14ac:dyDescent="0.2">
      <c r="A2402" s="40"/>
      <c r="B2402" s="40"/>
    </row>
    <row r="2403" spans="1:2" x14ac:dyDescent="0.2">
      <c r="A2403" s="40"/>
      <c r="B2403" s="40"/>
    </row>
    <row r="2404" spans="1:2" x14ac:dyDescent="0.2">
      <c r="A2404" s="40"/>
      <c r="B2404" s="40"/>
    </row>
    <row r="2405" spans="1:2" x14ac:dyDescent="0.2">
      <c r="A2405" s="40"/>
      <c r="B2405" s="40"/>
    </row>
    <row r="2406" spans="1:2" x14ac:dyDescent="0.2">
      <c r="A2406" s="40"/>
      <c r="B2406" s="40"/>
    </row>
    <row r="2407" spans="1:2" x14ac:dyDescent="0.2">
      <c r="A2407" s="40"/>
      <c r="B2407" s="40"/>
    </row>
    <row r="2408" spans="1:2" x14ac:dyDescent="0.2">
      <c r="A2408" s="40"/>
      <c r="B2408" s="40"/>
    </row>
    <row r="2409" spans="1:2" x14ac:dyDescent="0.2">
      <c r="A2409" s="40"/>
      <c r="B2409" s="40"/>
    </row>
    <row r="2410" spans="1:2" x14ac:dyDescent="0.2">
      <c r="A2410" s="40"/>
      <c r="B2410" s="40"/>
    </row>
    <row r="2411" spans="1:2" x14ac:dyDescent="0.2">
      <c r="A2411" s="40"/>
      <c r="B2411" s="40"/>
    </row>
    <row r="2412" spans="1:2" x14ac:dyDescent="0.2">
      <c r="A2412" s="40"/>
      <c r="B2412" s="40"/>
    </row>
    <row r="2413" spans="1:2" x14ac:dyDescent="0.2">
      <c r="A2413" s="40"/>
      <c r="B2413" s="40"/>
    </row>
    <row r="2414" spans="1:2" x14ac:dyDescent="0.2">
      <c r="A2414" s="40"/>
      <c r="B2414" s="40"/>
    </row>
    <row r="2415" spans="1:2" x14ac:dyDescent="0.2">
      <c r="A2415" s="40"/>
      <c r="B2415" s="40"/>
    </row>
    <row r="2416" spans="1:2" x14ac:dyDescent="0.2">
      <c r="A2416" s="40"/>
      <c r="B2416" s="40"/>
    </row>
    <row r="2417" spans="1:2" x14ac:dyDescent="0.2">
      <c r="A2417" s="40"/>
      <c r="B2417" s="40"/>
    </row>
    <row r="2418" spans="1:2" x14ac:dyDescent="0.2">
      <c r="A2418" s="40"/>
      <c r="B2418" s="40"/>
    </row>
    <row r="2419" spans="1:2" x14ac:dyDescent="0.2">
      <c r="A2419" s="40"/>
      <c r="B2419" s="40"/>
    </row>
    <row r="2420" spans="1:2" x14ac:dyDescent="0.2">
      <c r="A2420" s="40"/>
      <c r="B2420" s="40"/>
    </row>
    <row r="2421" spans="1:2" x14ac:dyDescent="0.2">
      <c r="A2421" s="40"/>
      <c r="B2421" s="40"/>
    </row>
    <row r="2422" spans="1:2" x14ac:dyDescent="0.2">
      <c r="A2422" s="40"/>
      <c r="B2422" s="40"/>
    </row>
    <row r="2423" spans="1:2" x14ac:dyDescent="0.2">
      <c r="A2423" s="40"/>
      <c r="B2423" s="40"/>
    </row>
    <row r="2424" spans="1:2" x14ac:dyDescent="0.2">
      <c r="A2424" s="40"/>
      <c r="B2424" s="40"/>
    </row>
    <row r="2425" spans="1:2" x14ac:dyDescent="0.2">
      <c r="A2425" s="40"/>
      <c r="B2425" s="40"/>
    </row>
    <row r="2426" spans="1:2" x14ac:dyDescent="0.2">
      <c r="A2426" s="40"/>
      <c r="B2426" s="40"/>
    </row>
    <row r="2427" spans="1:2" x14ac:dyDescent="0.2">
      <c r="A2427" s="40"/>
      <c r="B2427" s="40"/>
    </row>
    <row r="2428" spans="1:2" x14ac:dyDescent="0.2">
      <c r="A2428" s="40"/>
      <c r="B2428" s="40"/>
    </row>
    <row r="2429" spans="1:2" x14ac:dyDescent="0.2">
      <c r="A2429" s="40"/>
      <c r="B2429" s="40"/>
    </row>
    <row r="2430" spans="1:2" x14ac:dyDescent="0.2">
      <c r="A2430" s="40"/>
      <c r="B2430" s="40"/>
    </row>
    <row r="2431" spans="1:2" x14ac:dyDescent="0.2">
      <c r="A2431" s="40"/>
      <c r="B2431" s="40"/>
    </row>
    <row r="2432" spans="1:2" x14ac:dyDescent="0.2">
      <c r="A2432" s="40"/>
      <c r="B2432" s="40"/>
    </row>
    <row r="2433" spans="1:2" x14ac:dyDescent="0.2">
      <c r="A2433" s="40"/>
      <c r="B2433" s="40"/>
    </row>
    <row r="2434" spans="1:2" x14ac:dyDescent="0.2">
      <c r="A2434" s="40"/>
      <c r="B2434" s="40"/>
    </row>
    <row r="2435" spans="1:2" x14ac:dyDescent="0.2">
      <c r="A2435" s="40"/>
      <c r="B2435" s="40"/>
    </row>
    <row r="2436" spans="1:2" x14ac:dyDescent="0.2">
      <c r="A2436" s="40"/>
      <c r="B2436" s="40"/>
    </row>
    <row r="2437" spans="1:2" x14ac:dyDescent="0.2">
      <c r="A2437" s="40"/>
      <c r="B2437" s="40"/>
    </row>
    <row r="2438" spans="1:2" x14ac:dyDescent="0.2">
      <c r="A2438" s="40"/>
      <c r="B2438" s="40"/>
    </row>
    <row r="2439" spans="1:2" x14ac:dyDescent="0.2">
      <c r="A2439" s="40"/>
      <c r="B2439" s="40"/>
    </row>
    <row r="2440" spans="1:2" x14ac:dyDescent="0.2">
      <c r="A2440" s="40"/>
      <c r="B2440" s="40"/>
    </row>
    <row r="2441" spans="1:2" x14ac:dyDescent="0.2">
      <c r="A2441" s="40"/>
      <c r="B2441" s="40"/>
    </row>
    <row r="2442" spans="1:2" x14ac:dyDescent="0.2">
      <c r="A2442" s="40"/>
      <c r="B2442" s="40"/>
    </row>
    <row r="2443" spans="1:2" x14ac:dyDescent="0.2">
      <c r="A2443" s="40"/>
      <c r="B2443" s="40"/>
    </row>
    <row r="2444" spans="1:2" x14ac:dyDescent="0.2">
      <c r="A2444" s="40"/>
      <c r="B2444" s="40"/>
    </row>
    <row r="2445" spans="1:2" x14ac:dyDescent="0.2">
      <c r="A2445" s="40"/>
      <c r="B2445" s="40"/>
    </row>
    <row r="2446" spans="1:2" x14ac:dyDescent="0.2">
      <c r="A2446" s="40"/>
      <c r="B2446" s="40"/>
    </row>
    <row r="2447" spans="1:2" x14ac:dyDescent="0.2">
      <c r="A2447" s="40"/>
      <c r="B2447" s="40"/>
    </row>
    <row r="2448" spans="1:2" x14ac:dyDescent="0.2">
      <c r="A2448" s="40"/>
      <c r="B2448" s="40"/>
    </row>
    <row r="2449" spans="1:2" x14ac:dyDescent="0.2">
      <c r="A2449" s="40"/>
      <c r="B2449" s="40"/>
    </row>
    <row r="2450" spans="1:2" x14ac:dyDescent="0.2">
      <c r="A2450" s="40"/>
      <c r="B2450" s="40"/>
    </row>
    <row r="2451" spans="1:2" x14ac:dyDescent="0.2">
      <c r="A2451" s="40"/>
      <c r="B2451" s="40"/>
    </row>
    <row r="2452" spans="1:2" x14ac:dyDescent="0.2">
      <c r="A2452" s="40"/>
      <c r="B2452" s="40"/>
    </row>
    <row r="2453" spans="1:2" x14ac:dyDescent="0.2">
      <c r="A2453" s="40"/>
      <c r="B2453" s="40"/>
    </row>
    <row r="2454" spans="1:2" x14ac:dyDescent="0.2">
      <c r="A2454" s="40"/>
      <c r="B2454" s="40"/>
    </row>
    <row r="2455" spans="1:2" x14ac:dyDescent="0.2">
      <c r="A2455" s="40"/>
      <c r="B2455" s="40"/>
    </row>
    <row r="2456" spans="1:2" x14ac:dyDescent="0.2">
      <c r="A2456" s="40"/>
      <c r="B2456" s="40"/>
    </row>
    <row r="2457" spans="1:2" x14ac:dyDescent="0.2">
      <c r="A2457" s="40"/>
      <c r="B2457" s="40"/>
    </row>
    <row r="2458" spans="1:2" x14ac:dyDescent="0.2">
      <c r="A2458" s="40"/>
      <c r="B2458" s="40"/>
    </row>
    <row r="2459" spans="1:2" x14ac:dyDescent="0.2">
      <c r="A2459" s="40"/>
      <c r="B2459" s="40"/>
    </row>
    <row r="2460" spans="1:2" x14ac:dyDescent="0.2">
      <c r="A2460" s="40"/>
      <c r="B2460" s="40"/>
    </row>
    <row r="2461" spans="1:2" x14ac:dyDescent="0.2">
      <c r="A2461" s="40"/>
      <c r="B2461" s="40"/>
    </row>
    <row r="2462" spans="1:2" x14ac:dyDescent="0.2">
      <c r="A2462" s="40"/>
      <c r="B2462" s="40"/>
    </row>
    <row r="2463" spans="1:2" x14ac:dyDescent="0.2">
      <c r="A2463" s="40"/>
      <c r="B2463" s="40"/>
    </row>
    <row r="2464" spans="1:2" x14ac:dyDescent="0.2">
      <c r="A2464" s="40"/>
      <c r="B2464" s="40"/>
    </row>
    <row r="2465" spans="1:2" x14ac:dyDescent="0.2">
      <c r="A2465" s="40"/>
      <c r="B2465" s="40"/>
    </row>
    <row r="2466" spans="1:2" x14ac:dyDescent="0.2">
      <c r="A2466" s="40"/>
      <c r="B2466" s="40"/>
    </row>
    <row r="2467" spans="1:2" x14ac:dyDescent="0.2">
      <c r="A2467" s="40"/>
      <c r="B2467" s="40"/>
    </row>
    <row r="2468" spans="1:2" x14ac:dyDescent="0.2">
      <c r="A2468" s="40"/>
      <c r="B2468" s="40"/>
    </row>
    <row r="2469" spans="1:2" x14ac:dyDescent="0.2">
      <c r="A2469" s="40"/>
      <c r="B2469" s="40"/>
    </row>
    <row r="2470" spans="1:2" x14ac:dyDescent="0.2">
      <c r="A2470" s="40"/>
      <c r="B2470" s="40"/>
    </row>
    <row r="2471" spans="1:2" x14ac:dyDescent="0.2">
      <c r="A2471" s="40"/>
      <c r="B2471" s="40"/>
    </row>
    <row r="2472" spans="1:2" x14ac:dyDescent="0.2">
      <c r="A2472" s="40"/>
      <c r="B2472" s="40"/>
    </row>
    <row r="2473" spans="1:2" x14ac:dyDescent="0.2">
      <c r="A2473" s="40"/>
      <c r="B2473" s="40"/>
    </row>
    <row r="2474" spans="1:2" x14ac:dyDescent="0.2">
      <c r="A2474" s="40"/>
      <c r="B2474" s="40"/>
    </row>
    <row r="2475" spans="1:2" x14ac:dyDescent="0.2">
      <c r="A2475" s="40"/>
      <c r="B2475" s="40"/>
    </row>
    <row r="2476" spans="1:2" x14ac:dyDescent="0.2">
      <c r="A2476" s="40"/>
      <c r="B2476" s="40"/>
    </row>
    <row r="2477" spans="1:2" x14ac:dyDescent="0.2">
      <c r="A2477" s="40"/>
      <c r="B2477" s="40"/>
    </row>
    <row r="2478" spans="1:2" x14ac:dyDescent="0.2">
      <c r="A2478" s="40"/>
      <c r="B2478" s="40"/>
    </row>
    <row r="2479" spans="1:2" x14ac:dyDescent="0.2">
      <c r="A2479" s="40"/>
      <c r="B2479" s="40"/>
    </row>
    <row r="2480" spans="1:2" x14ac:dyDescent="0.2">
      <c r="A2480" s="40"/>
      <c r="B2480" s="40"/>
    </row>
    <row r="2481" spans="1:2" x14ac:dyDescent="0.2">
      <c r="A2481" s="40"/>
      <c r="B2481" s="40"/>
    </row>
    <row r="2482" spans="1:2" x14ac:dyDescent="0.2">
      <c r="A2482" s="40"/>
      <c r="B2482" s="40"/>
    </row>
    <row r="2483" spans="1:2" x14ac:dyDescent="0.2">
      <c r="A2483" s="40"/>
      <c r="B2483" s="40"/>
    </row>
    <row r="2484" spans="1:2" x14ac:dyDescent="0.2">
      <c r="A2484" s="40"/>
      <c r="B2484" s="40"/>
    </row>
    <row r="2485" spans="1:2" x14ac:dyDescent="0.2">
      <c r="A2485" s="40"/>
      <c r="B2485" s="40"/>
    </row>
    <row r="2486" spans="1:2" x14ac:dyDescent="0.2">
      <c r="A2486" s="40"/>
      <c r="B2486" s="40"/>
    </row>
    <row r="2487" spans="1:2" x14ac:dyDescent="0.2">
      <c r="A2487" s="40"/>
      <c r="B2487" s="40"/>
    </row>
    <row r="2488" spans="1:2" x14ac:dyDescent="0.2">
      <c r="A2488" s="40"/>
      <c r="B2488" s="40"/>
    </row>
    <row r="2489" spans="1:2" x14ac:dyDescent="0.2">
      <c r="A2489" s="40"/>
      <c r="B2489" s="40"/>
    </row>
    <row r="2490" spans="1:2" x14ac:dyDescent="0.2">
      <c r="A2490" s="40"/>
      <c r="B2490" s="40"/>
    </row>
    <row r="2491" spans="1:2" x14ac:dyDescent="0.2">
      <c r="A2491" s="40"/>
      <c r="B2491" s="40"/>
    </row>
    <row r="2492" spans="1:2" x14ac:dyDescent="0.2">
      <c r="A2492" s="40"/>
      <c r="B2492" s="40"/>
    </row>
    <row r="2493" spans="1:2" x14ac:dyDescent="0.2">
      <c r="A2493" s="40"/>
      <c r="B2493" s="40"/>
    </row>
    <row r="2494" spans="1:2" x14ac:dyDescent="0.2">
      <c r="A2494" s="40"/>
      <c r="B2494" s="40"/>
    </row>
    <row r="2495" spans="1:2" x14ac:dyDescent="0.2">
      <c r="A2495" s="40"/>
      <c r="B2495" s="40"/>
    </row>
    <row r="2496" spans="1:2" x14ac:dyDescent="0.2">
      <c r="A2496" s="40"/>
      <c r="B2496" s="40"/>
    </row>
    <row r="2497" spans="1:2" x14ac:dyDescent="0.2">
      <c r="A2497" s="40"/>
      <c r="B2497" s="40"/>
    </row>
    <row r="2498" spans="1:2" x14ac:dyDescent="0.2">
      <c r="A2498" s="40"/>
      <c r="B2498" s="40"/>
    </row>
    <row r="2499" spans="1:2" x14ac:dyDescent="0.2">
      <c r="A2499" s="40"/>
      <c r="B2499" s="40"/>
    </row>
    <row r="2500" spans="1:2" x14ac:dyDescent="0.2">
      <c r="A2500" s="40"/>
      <c r="B2500" s="40"/>
    </row>
    <row r="2501" spans="1:2" x14ac:dyDescent="0.2">
      <c r="A2501" s="40"/>
      <c r="B2501" s="40"/>
    </row>
    <row r="2502" spans="1:2" x14ac:dyDescent="0.2">
      <c r="A2502" s="40"/>
      <c r="B2502" s="40"/>
    </row>
    <row r="2503" spans="1:2" x14ac:dyDescent="0.2">
      <c r="A2503" s="40"/>
      <c r="B2503" s="40"/>
    </row>
    <row r="2504" spans="1:2" x14ac:dyDescent="0.2">
      <c r="A2504" s="40"/>
      <c r="B2504" s="40"/>
    </row>
    <row r="2505" spans="1:2" x14ac:dyDescent="0.2">
      <c r="A2505" s="40"/>
      <c r="B2505" s="40"/>
    </row>
    <row r="2506" spans="1:2" x14ac:dyDescent="0.2">
      <c r="A2506" s="40"/>
      <c r="B2506" s="40"/>
    </row>
    <row r="2507" spans="1:2" x14ac:dyDescent="0.2">
      <c r="A2507" s="40"/>
      <c r="B2507" s="40"/>
    </row>
    <row r="2508" spans="1:2" x14ac:dyDescent="0.2">
      <c r="A2508" s="40"/>
      <c r="B2508" s="40"/>
    </row>
    <row r="2509" spans="1:2" x14ac:dyDescent="0.2">
      <c r="A2509" s="40"/>
      <c r="B2509" s="40"/>
    </row>
    <row r="2510" spans="1:2" x14ac:dyDescent="0.2">
      <c r="A2510" s="40"/>
      <c r="B2510" s="40"/>
    </row>
    <row r="2511" spans="1:2" x14ac:dyDescent="0.2">
      <c r="A2511" s="40"/>
      <c r="B2511" s="40"/>
    </row>
    <row r="2512" spans="1:2" x14ac:dyDescent="0.2">
      <c r="A2512" s="40"/>
      <c r="B2512" s="40"/>
    </row>
    <row r="2513" spans="1:2" x14ac:dyDescent="0.2">
      <c r="A2513" s="40"/>
      <c r="B2513" s="40"/>
    </row>
    <row r="2514" spans="1:2" x14ac:dyDescent="0.2">
      <c r="A2514" s="40"/>
      <c r="B2514" s="40"/>
    </row>
    <row r="2515" spans="1:2" x14ac:dyDescent="0.2">
      <c r="A2515" s="40"/>
      <c r="B2515" s="40"/>
    </row>
    <row r="2516" spans="1:2" x14ac:dyDescent="0.2">
      <c r="A2516" s="40"/>
      <c r="B2516" s="40"/>
    </row>
    <row r="2517" spans="1:2" x14ac:dyDescent="0.2">
      <c r="A2517" s="40"/>
      <c r="B2517" s="40"/>
    </row>
    <row r="2518" spans="1:2" x14ac:dyDescent="0.2">
      <c r="A2518" s="40"/>
      <c r="B2518" s="40"/>
    </row>
    <row r="2519" spans="1:2" x14ac:dyDescent="0.2">
      <c r="A2519" s="40"/>
      <c r="B2519" s="40"/>
    </row>
    <row r="2520" spans="1:2" x14ac:dyDescent="0.2">
      <c r="A2520" s="40"/>
      <c r="B2520" s="40"/>
    </row>
    <row r="2521" spans="1:2" x14ac:dyDescent="0.2">
      <c r="A2521" s="40"/>
      <c r="B2521" s="40"/>
    </row>
    <row r="2522" spans="1:2" x14ac:dyDescent="0.2">
      <c r="A2522" s="40"/>
      <c r="B2522" s="40"/>
    </row>
    <row r="2523" spans="1:2" x14ac:dyDescent="0.2">
      <c r="A2523" s="40"/>
      <c r="B2523" s="40"/>
    </row>
    <row r="2524" spans="1:2" x14ac:dyDescent="0.2">
      <c r="A2524" s="40"/>
      <c r="B2524" s="40"/>
    </row>
    <row r="2525" spans="1:2" x14ac:dyDescent="0.2">
      <c r="A2525" s="40"/>
      <c r="B2525" s="40"/>
    </row>
    <row r="2526" spans="1:2" x14ac:dyDescent="0.2">
      <c r="A2526" s="40"/>
      <c r="B2526" s="40"/>
    </row>
    <row r="2527" spans="1:2" x14ac:dyDescent="0.2">
      <c r="A2527" s="40"/>
      <c r="B2527" s="40"/>
    </row>
    <row r="2528" spans="1:2" x14ac:dyDescent="0.2">
      <c r="A2528" s="40"/>
      <c r="B2528" s="40"/>
    </row>
    <row r="2529" spans="1:2" x14ac:dyDescent="0.2">
      <c r="A2529" s="40"/>
      <c r="B2529" s="40"/>
    </row>
    <row r="2530" spans="1:2" x14ac:dyDescent="0.2">
      <c r="A2530" s="40"/>
      <c r="B2530" s="40"/>
    </row>
    <row r="2531" spans="1:2" x14ac:dyDescent="0.2">
      <c r="A2531" s="40"/>
      <c r="B2531" s="40"/>
    </row>
    <row r="2532" spans="1:2" x14ac:dyDescent="0.2">
      <c r="A2532" s="40"/>
      <c r="B2532" s="40"/>
    </row>
    <row r="2533" spans="1:2" x14ac:dyDescent="0.2">
      <c r="A2533" s="40"/>
      <c r="B2533" s="40"/>
    </row>
    <row r="2534" spans="1:2" x14ac:dyDescent="0.2">
      <c r="A2534" s="40"/>
      <c r="B2534" s="40"/>
    </row>
    <row r="2535" spans="1:2" x14ac:dyDescent="0.2">
      <c r="A2535" s="40"/>
      <c r="B2535" s="40"/>
    </row>
    <row r="2536" spans="1:2" x14ac:dyDescent="0.2">
      <c r="A2536" s="40"/>
      <c r="B2536" s="40"/>
    </row>
    <row r="2537" spans="1:2" x14ac:dyDescent="0.2">
      <c r="A2537" s="40"/>
      <c r="B2537" s="40"/>
    </row>
    <row r="2538" spans="1:2" x14ac:dyDescent="0.2">
      <c r="A2538" s="40"/>
      <c r="B2538" s="40"/>
    </row>
    <row r="2539" spans="1:2" x14ac:dyDescent="0.2">
      <c r="A2539" s="40"/>
      <c r="B2539" s="40"/>
    </row>
    <row r="2540" spans="1:2" x14ac:dyDescent="0.2">
      <c r="A2540" s="40"/>
      <c r="B2540" s="40"/>
    </row>
    <row r="2541" spans="1:2" x14ac:dyDescent="0.2">
      <c r="A2541" s="40"/>
      <c r="B2541" s="40"/>
    </row>
    <row r="2542" spans="1:2" x14ac:dyDescent="0.2">
      <c r="A2542" s="40"/>
      <c r="B2542" s="40"/>
    </row>
    <row r="2543" spans="1:2" x14ac:dyDescent="0.2">
      <c r="A2543" s="40"/>
      <c r="B2543" s="40"/>
    </row>
    <row r="2544" spans="1:2" x14ac:dyDescent="0.2">
      <c r="A2544" s="40"/>
      <c r="B2544" s="40"/>
    </row>
    <row r="2545" spans="1:2" x14ac:dyDescent="0.2">
      <c r="A2545" s="40"/>
      <c r="B2545" s="40"/>
    </row>
    <row r="2546" spans="1:2" x14ac:dyDescent="0.2">
      <c r="A2546" s="40"/>
      <c r="B2546" s="40"/>
    </row>
    <row r="2547" spans="1:2" x14ac:dyDescent="0.2">
      <c r="A2547" s="40"/>
      <c r="B2547" s="40"/>
    </row>
    <row r="2548" spans="1:2" x14ac:dyDescent="0.2">
      <c r="A2548" s="40"/>
      <c r="B2548" s="40"/>
    </row>
    <row r="2549" spans="1:2" x14ac:dyDescent="0.2">
      <c r="A2549" s="40"/>
      <c r="B2549" s="40"/>
    </row>
    <row r="2550" spans="1:2" x14ac:dyDescent="0.2">
      <c r="A2550" s="40"/>
      <c r="B2550" s="40"/>
    </row>
    <row r="2551" spans="1:2" x14ac:dyDescent="0.2">
      <c r="A2551" s="40"/>
      <c r="B2551" s="40"/>
    </row>
    <row r="2552" spans="1:2" x14ac:dyDescent="0.2">
      <c r="A2552" s="40"/>
      <c r="B2552" s="40"/>
    </row>
    <row r="2553" spans="1:2" x14ac:dyDescent="0.2">
      <c r="A2553" s="40"/>
      <c r="B2553" s="40"/>
    </row>
    <row r="2554" spans="1:2" x14ac:dyDescent="0.2">
      <c r="A2554" s="40"/>
      <c r="B2554" s="40"/>
    </row>
    <row r="2555" spans="1:2" x14ac:dyDescent="0.2">
      <c r="A2555" s="40"/>
      <c r="B2555" s="40"/>
    </row>
    <row r="2556" spans="1:2" x14ac:dyDescent="0.2">
      <c r="A2556" s="40"/>
      <c r="B2556" s="40"/>
    </row>
    <row r="2557" spans="1:2" x14ac:dyDescent="0.2">
      <c r="A2557" s="40"/>
      <c r="B2557" s="40"/>
    </row>
    <row r="2558" spans="1:2" x14ac:dyDescent="0.2">
      <c r="A2558" s="40"/>
      <c r="B2558" s="40"/>
    </row>
    <row r="2559" spans="1:2" x14ac:dyDescent="0.2">
      <c r="A2559" s="40"/>
      <c r="B2559" s="40"/>
    </row>
    <row r="2560" spans="1:2" x14ac:dyDescent="0.2">
      <c r="A2560" s="40"/>
      <c r="B2560" s="40"/>
    </row>
    <row r="2561" spans="1:2" x14ac:dyDescent="0.2">
      <c r="A2561" s="40"/>
      <c r="B2561" s="40"/>
    </row>
    <row r="2562" spans="1:2" x14ac:dyDescent="0.2">
      <c r="A2562" s="40"/>
      <c r="B2562" s="40"/>
    </row>
    <row r="2563" spans="1:2" x14ac:dyDescent="0.2">
      <c r="A2563" s="40"/>
      <c r="B2563" s="40"/>
    </row>
    <row r="2564" spans="1:2" x14ac:dyDescent="0.2">
      <c r="A2564" s="40"/>
      <c r="B2564" s="40"/>
    </row>
    <row r="2565" spans="1:2" x14ac:dyDescent="0.2">
      <c r="A2565" s="40"/>
      <c r="B2565" s="40"/>
    </row>
    <row r="2566" spans="1:2" x14ac:dyDescent="0.2">
      <c r="A2566" s="40"/>
      <c r="B2566" s="40"/>
    </row>
    <row r="2567" spans="1:2" x14ac:dyDescent="0.2">
      <c r="A2567" s="40"/>
      <c r="B2567" s="40"/>
    </row>
    <row r="2568" spans="1:2" x14ac:dyDescent="0.2">
      <c r="A2568" s="40"/>
      <c r="B2568" s="40"/>
    </row>
    <row r="2569" spans="1:2" x14ac:dyDescent="0.2">
      <c r="A2569" s="40"/>
      <c r="B2569" s="40"/>
    </row>
    <row r="2570" spans="1:2" x14ac:dyDescent="0.2">
      <c r="A2570" s="40"/>
      <c r="B2570" s="40"/>
    </row>
    <row r="2571" spans="1:2" x14ac:dyDescent="0.2">
      <c r="A2571" s="40"/>
      <c r="B2571" s="40"/>
    </row>
    <row r="2572" spans="1:2" x14ac:dyDescent="0.2">
      <c r="A2572" s="40"/>
      <c r="B2572" s="40"/>
    </row>
    <row r="2573" spans="1:2" x14ac:dyDescent="0.2">
      <c r="A2573" s="40"/>
      <c r="B2573" s="40"/>
    </row>
    <row r="2574" spans="1:2" x14ac:dyDescent="0.2">
      <c r="A2574" s="40"/>
      <c r="B2574" s="40"/>
    </row>
    <row r="2575" spans="1:2" x14ac:dyDescent="0.2">
      <c r="A2575" s="40"/>
      <c r="B2575" s="40"/>
    </row>
    <row r="2576" spans="1:2" x14ac:dyDescent="0.2">
      <c r="A2576" s="40"/>
      <c r="B2576" s="40"/>
    </row>
    <row r="2577" spans="1:2" x14ac:dyDescent="0.2">
      <c r="A2577" s="40"/>
      <c r="B2577" s="40"/>
    </row>
    <row r="2578" spans="1:2" x14ac:dyDescent="0.2">
      <c r="A2578" s="40"/>
      <c r="B2578" s="40"/>
    </row>
    <row r="2579" spans="1:2" x14ac:dyDescent="0.2">
      <c r="A2579" s="40"/>
      <c r="B2579" s="40"/>
    </row>
    <row r="2580" spans="1:2" x14ac:dyDescent="0.2">
      <c r="A2580" s="40"/>
      <c r="B2580" s="40"/>
    </row>
    <row r="2581" spans="1:2" x14ac:dyDescent="0.2">
      <c r="A2581" s="40"/>
      <c r="B2581" s="40"/>
    </row>
    <row r="2582" spans="1:2" x14ac:dyDescent="0.2">
      <c r="A2582" s="40"/>
      <c r="B2582" s="40"/>
    </row>
    <row r="2583" spans="1:2" x14ac:dyDescent="0.2">
      <c r="A2583" s="40"/>
      <c r="B2583" s="40"/>
    </row>
    <row r="2584" spans="1:2" x14ac:dyDescent="0.2">
      <c r="A2584" s="40"/>
      <c r="B2584" s="40"/>
    </row>
    <row r="2585" spans="1:2" x14ac:dyDescent="0.2">
      <c r="A2585" s="40"/>
      <c r="B2585" s="40"/>
    </row>
    <row r="2586" spans="1:2" x14ac:dyDescent="0.2">
      <c r="A2586" s="40"/>
      <c r="B2586" s="40"/>
    </row>
    <row r="2587" spans="1:2" x14ac:dyDescent="0.2">
      <c r="A2587" s="40"/>
      <c r="B2587" s="40"/>
    </row>
    <row r="2588" spans="1:2" x14ac:dyDescent="0.2">
      <c r="A2588" s="40"/>
      <c r="B2588" s="40"/>
    </row>
    <row r="2589" spans="1:2" x14ac:dyDescent="0.2">
      <c r="A2589" s="40"/>
      <c r="B2589" s="40"/>
    </row>
    <row r="2590" spans="1:2" x14ac:dyDescent="0.2">
      <c r="A2590" s="40"/>
      <c r="B2590" s="40"/>
    </row>
    <row r="2591" spans="1:2" x14ac:dyDescent="0.2">
      <c r="A2591" s="40"/>
      <c r="B2591" s="40"/>
    </row>
    <row r="2592" spans="1:2" x14ac:dyDescent="0.2">
      <c r="A2592" s="40"/>
      <c r="B2592" s="40"/>
    </row>
    <row r="2593" spans="1:2" x14ac:dyDescent="0.2">
      <c r="A2593" s="40"/>
      <c r="B2593" s="40"/>
    </row>
    <row r="2594" spans="1:2" x14ac:dyDescent="0.2">
      <c r="A2594" s="40"/>
      <c r="B2594" s="40"/>
    </row>
    <row r="2595" spans="1:2" x14ac:dyDescent="0.2">
      <c r="A2595" s="40"/>
      <c r="B2595" s="40"/>
    </row>
    <row r="2596" spans="1:2" x14ac:dyDescent="0.2">
      <c r="A2596" s="40"/>
      <c r="B2596" s="40"/>
    </row>
    <row r="2597" spans="1:2" x14ac:dyDescent="0.2">
      <c r="A2597" s="40"/>
      <c r="B2597" s="40"/>
    </row>
    <row r="2598" spans="1:2" x14ac:dyDescent="0.2">
      <c r="A2598" s="40"/>
      <c r="B2598" s="40"/>
    </row>
    <row r="2599" spans="1:2" x14ac:dyDescent="0.2">
      <c r="A2599" s="40"/>
      <c r="B2599" s="40"/>
    </row>
    <row r="2600" spans="1:2" x14ac:dyDescent="0.2">
      <c r="A2600" s="40"/>
      <c r="B2600" s="40"/>
    </row>
    <row r="2601" spans="1:2" x14ac:dyDescent="0.2">
      <c r="A2601" s="40"/>
      <c r="B2601" s="40"/>
    </row>
    <row r="2602" spans="1:2" x14ac:dyDescent="0.2">
      <c r="A2602" s="40"/>
      <c r="B2602" s="40"/>
    </row>
    <row r="2603" spans="1:2" x14ac:dyDescent="0.2">
      <c r="A2603" s="40"/>
      <c r="B2603" s="40"/>
    </row>
    <row r="2604" spans="1:2" x14ac:dyDescent="0.2">
      <c r="A2604" s="40"/>
      <c r="B2604" s="40"/>
    </row>
    <row r="2605" spans="1:2" x14ac:dyDescent="0.2">
      <c r="A2605" s="40"/>
      <c r="B2605" s="40"/>
    </row>
    <row r="2606" spans="1:2" x14ac:dyDescent="0.2">
      <c r="A2606" s="40"/>
      <c r="B2606" s="40"/>
    </row>
    <row r="2607" spans="1:2" x14ac:dyDescent="0.2">
      <c r="A2607" s="40"/>
      <c r="B2607" s="40"/>
    </row>
    <row r="2608" spans="1:2" x14ac:dyDescent="0.2">
      <c r="A2608" s="40"/>
      <c r="B2608" s="40"/>
    </row>
    <row r="2609" spans="1:2" x14ac:dyDescent="0.2">
      <c r="A2609" s="40"/>
      <c r="B2609" s="40"/>
    </row>
    <row r="2610" spans="1:2" x14ac:dyDescent="0.2">
      <c r="A2610" s="40"/>
      <c r="B2610" s="40"/>
    </row>
    <row r="2611" spans="1:2" x14ac:dyDescent="0.2">
      <c r="A2611" s="40"/>
      <c r="B2611" s="40"/>
    </row>
    <row r="2612" spans="1:2" x14ac:dyDescent="0.2">
      <c r="A2612" s="40"/>
      <c r="B2612" s="40"/>
    </row>
    <row r="2613" spans="1:2" x14ac:dyDescent="0.2">
      <c r="A2613" s="40"/>
      <c r="B2613" s="40"/>
    </row>
    <row r="2614" spans="1:2" x14ac:dyDescent="0.2">
      <c r="A2614" s="40"/>
      <c r="B2614" s="40"/>
    </row>
    <row r="2615" spans="1:2" x14ac:dyDescent="0.2">
      <c r="A2615" s="40"/>
      <c r="B2615" s="40"/>
    </row>
    <row r="2616" spans="1:2" x14ac:dyDescent="0.2">
      <c r="A2616" s="40"/>
      <c r="B2616" s="40"/>
    </row>
    <row r="2617" spans="1:2" x14ac:dyDescent="0.2">
      <c r="A2617" s="40"/>
      <c r="B2617" s="40"/>
    </row>
    <row r="2618" spans="1:2" x14ac:dyDescent="0.2">
      <c r="A2618" s="40"/>
      <c r="B2618" s="40"/>
    </row>
    <row r="2619" spans="1:2" x14ac:dyDescent="0.2">
      <c r="A2619" s="40"/>
      <c r="B2619" s="40"/>
    </row>
    <row r="2620" spans="1:2" x14ac:dyDescent="0.2">
      <c r="A2620" s="40"/>
      <c r="B2620" s="40"/>
    </row>
    <row r="2621" spans="1:2" x14ac:dyDescent="0.2">
      <c r="A2621" s="40"/>
      <c r="B2621" s="40"/>
    </row>
    <row r="2622" spans="1:2" x14ac:dyDescent="0.2">
      <c r="A2622" s="40"/>
      <c r="B2622" s="40"/>
    </row>
    <row r="2623" spans="1:2" x14ac:dyDescent="0.2">
      <c r="A2623" s="40"/>
      <c r="B2623" s="40"/>
    </row>
    <row r="2624" spans="1:2" x14ac:dyDescent="0.2">
      <c r="A2624" s="40"/>
      <c r="B2624" s="40"/>
    </row>
    <row r="2625" spans="1:2" x14ac:dyDescent="0.2">
      <c r="A2625" s="40"/>
      <c r="B2625" s="40"/>
    </row>
    <row r="2626" spans="1:2" x14ac:dyDescent="0.2">
      <c r="A2626" s="40"/>
      <c r="B2626" s="40"/>
    </row>
    <row r="2627" spans="1:2" x14ac:dyDescent="0.2">
      <c r="A2627" s="40"/>
      <c r="B2627" s="40"/>
    </row>
    <row r="2628" spans="1:2" x14ac:dyDescent="0.2">
      <c r="A2628" s="40"/>
      <c r="B2628" s="40"/>
    </row>
    <row r="2629" spans="1:2" x14ac:dyDescent="0.2">
      <c r="A2629" s="40"/>
      <c r="B2629" s="40"/>
    </row>
    <row r="2630" spans="1:2" x14ac:dyDescent="0.2">
      <c r="A2630" s="40"/>
      <c r="B2630" s="40"/>
    </row>
    <row r="2631" spans="1:2" x14ac:dyDescent="0.2">
      <c r="A2631" s="40"/>
      <c r="B2631" s="40"/>
    </row>
    <row r="2632" spans="1:2" x14ac:dyDescent="0.2">
      <c r="A2632" s="40"/>
      <c r="B2632" s="40"/>
    </row>
    <row r="2633" spans="1:2" x14ac:dyDescent="0.2">
      <c r="A2633" s="40"/>
      <c r="B2633" s="40"/>
    </row>
    <row r="2634" spans="1:2" x14ac:dyDescent="0.2">
      <c r="A2634" s="40"/>
      <c r="B2634" s="40"/>
    </row>
    <row r="2635" spans="1:2" x14ac:dyDescent="0.2">
      <c r="A2635" s="40"/>
      <c r="B2635" s="40"/>
    </row>
    <row r="2636" spans="1:2" x14ac:dyDescent="0.2">
      <c r="A2636" s="40"/>
      <c r="B2636" s="40"/>
    </row>
    <row r="2637" spans="1:2" x14ac:dyDescent="0.2">
      <c r="A2637" s="40"/>
      <c r="B2637" s="40"/>
    </row>
    <row r="2638" spans="1:2" x14ac:dyDescent="0.2">
      <c r="A2638" s="40"/>
      <c r="B2638" s="40"/>
    </row>
    <row r="2639" spans="1:2" x14ac:dyDescent="0.2">
      <c r="A2639" s="40"/>
      <c r="B2639" s="40"/>
    </row>
    <row r="2640" spans="1:2" x14ac:dyDescent="0.2">
      <c r="A2640" s="40"/>
      <c r="B2640" s="40"/>
    </row>
    <row r="2641" spans="1:2" x14ac:dyDescent="0.2">
      <c r="A2641" s="40"/>
      <c r="B2641" s="40"/>
    </row>
    <row r="2642" spans="1:2" x14ac:dyDescent="0.2">
      <c r="A2642" s="40"/>
      <c r="B2642" s="40"/>
    </row>
    <row r="2643" spans="1:2" x14ac:dyDescent="0.2">
      <c r="A2643" s="40"/>
      <c r="B2643" s="40"/>
    </row>
    <row r="2644" spans="1:2" x14ac:dyDescent="0.2">
      <c r="A2644" s="40"/>
      <c r="B2644" s="40"/>
    </row>
    <row r="2645" spans="1:2" x14ac:dyDescent="0.2">
      <c r="A2645" s="40"/>
      <c r="B2645" s="40"/>
    </row>
    <row r="2646" spans="1:2" x14ac:dyDescent="0.2">
      <c r="A2646" s="40"/>
      <c r="B2646" s="40"/>
    </row>
    <row r="2647" spans="1:2" x14ac:dyDescent="0.2">
      <c r="A2647" s="40"/>
      <c r="B2647" s="40"/>
    </row>
    <row r="2648" spans="1:2" x14ac:dyDescent="0.2">
      <c r="A2648" s="40"/>
      <c r="B2648" s="40"/>
    </row>
    <row r="2649" spans="1:2" x14ac:dyDescent="0.2">
      <c r="A2649" s="40"/>
      <c r="B2649" s="40"/>
    </row>
    <row r="2650" spans="1:2" x14ac:dyDescent="0.2">
      <c r="A2650" s="40"/>
      <c r="B2650" s="40"/>
    </row>
    <row r="2651" spans="1:2" x14ac:dyDescent="0.2">
      <c r="A2651" s="40"/>
      <c r="B2651" s="40"/>
    </row>
    <row r="2652" spans="1:2" x14ac:dyDescent="0.2">
      <c r="A2652" s="40"/>
      <c r="B2652" s="40"/>
    </row>
    <row r="2653" spans="1:2" x14ac:dyDescent="0.2">
      <c r="A2653" s="40"/>
      <c r="B2653" s="40"/>
    </row>
    <row r="2654" spans="1:2" x14ac:dyDescent="0.2">
      <c r="A2654" s="40"/>
      <c r="B2654" s="40"/>
    </row>
    <row r="2655" spans="1:2" x14ac:dyDescent="0.2">
      <c r="A2655" s="40"/>
      <c r="B2655" s="40"/>
    </row>
    <row r="2656" spans="1:2" x14ac:dyDescent="0.2">
      <c r="A2656" s="40"/>
      <c r="B2656" s="40"/>
    </row>
    <row r="2657" spans="1:2" x14ac:dyDescent="0.2">
      <c r="A2657" s="40"/>
      <c r="B2657" s="40"/>
    </row>
    <row r="2658" spans="1:2" x14ac:dyDescent="0.2">
      <c r="A2658" s="40"/>
      <c r="B2658" s="40"/>
    </row>
    <row r="2659" spans="1:2" x14ac:dyDescent="0.2">
      <c r="A2659" s="40"/>
      <c r="B2659" s="40"/>
    </row>
    <row r="2660" spans="1:2" x14ac:dyDescent="0.2">
      <c r="A2660" s="40"/>
      <c r="B2660" s="40"/>
    </row>
    <row r="2661" spans="1:2" x14ac:dyDescent="0.2">
      <c r="A2661" s="40"/>
      <c r="B2661" s="40"/>
    </row>
    <row r="2662" spans="1:2" x14ac:dyDescent="0.2">
      <c r="A2662" s="40"/>
      <c r="B2662" s="40"/>
    </row>
    <row r="2663" spans="1:2" x14ac:dyDescent="0.2">
      <c r="A2663" s="40"/>
      <c r="B2663" s="40"/>
    </row>
    <row r="2664" spans="1:2" x14ac:dyDescent="0.2">
      <c r="A2664" s="40"/>
      <c r="B2664" s="40"/>
    </row>
    <row r="2665" spans="1:2" x14ac:dyDescent="0.2">
      <c r="A2665" s="40"/>
      <c r="B2665" s="40"/>
    </row>
    <row r="2666" spans="1:2" x14ac:dyDescent="0.2">
      <c r="A2666" s="40"/>
      <c r="B2666" s="40"/>
    </row>
    <row r="2667" spans="1:2" x14ac:dyDescent="0.2">
      <c r="A2667" s="40"/>
      <c r="B2667" s="40"/>
    </row>
    <row r="2668" spans="1:2" x14ac:dyDescent="0.2">
      <c r="A2668" s="40"/>
      <c r="B2668" s="40"/>
    </row>
    <row r="2669" spans="1:2" x14ac:dyDescent="0.2">
      <c r="A2669" s="40"/>
      <c r="B2669" s="40"/>
    </row>
    <row r="2670" spans="1:2" x14ac:dyDescent="0.2">
      <c r="A2670" s="40"/>
      <c r="B2670" s="40"/>
    </row>
    <row r="2671" spans="1:2" x14ac:dyDescent="0.2">
      <c r="A2671" s="40"/>
      <c r="B2671" s="40"/>
    </row>
    <row r="2672" spans="1:2" x14ac:dyDescent="0.2">
      <c r="A2672" s="40"/>
      <c r="B2672" s="40"/>
    </row>
    <row r="2673" spans="1:2" x14ac:dyDescent="0.2">
      <c r="A2673" s="40"/>
      <c r="B2673" s="40"/>
    </row>
    <row r="2674" spans="1:2" x14ac:dyDescent="0.2">
      <c r="A2674" s="40"/>
      <c r="B2674" s="40"/>
    </row>
    <row r="2675" spans="1:2" x14ac:dyDescent="0.2">
      <c r="A2675" s="40"/>
      <c r="B2675" s="40"/>
    </row>
    <row r="2676" spans="1:2" x14ac:dyDescent="0.2">
      <c r="A2676" s="40"/>
      <c r="B2676" s="40"/>
    </row>
    <row r="2677" spans="1:2" x14ac:dyDescent="0.2">
      <c r="A2677" s="40"/>
      <c r="B2677" s="40"/>
    </row>
    <row r="2678" spans="1:2" x14ac:dyDescent="0.2">
      <c r="A2678" s="40"/>
      <c r="B2678" s="40"/>
    </row>
    <row r="2679" spans="1:2" x14ac:dyDescent="0.2">
      <c r="A2679" s="40"/>
      <c r="B2679" s="40"/>
    </row>
    <row r="2680" spans="1:2" x14ac:dyDescent="0.2">
      <c r="A2680" s="40"/>
      <c r="B2680" s="40"/>
    </row>
    <row r="2681" spans="1:2" x14ac:dyDescent="0.2">
      <c r="A2681" s="40"/>
      <c r="B2681" s="40"/>
    </row>
    <row r="2682" spans="1:2" x14ac:dyDescent="0.2">
      <c r="A2682" s="40"/>
      <c r="B2682" s="40"/>
    </row>
    <row r="2683" spans="1:2" x14ac:dyDescent="0.2">
      <c r="A2683" s="40"/>
      <c r="B2683" s="40"/>
    </row>
    <row r="2684" spans="1:2" x14ac:dyDescent="0.2">
      <c r="A2684" s="40"/>
      <c r="B2684" s="40"/>
    </row>
    <row r="2685" spans="1:2" x14ac:dyDescent="0.2">
      <c r="A2685" s="40"/>
      <c r="B2685" s="40"/>
    </row>
    <row r="2686" spans="1:2" x14ac:dyDescent="0.2">
      <c r="A2686" s="40"/>
      <c r="B2686" s="40"/>
    </row>
    <row r="2687" spans="1:2" x14ac:dyDescent="0.2">
      <c r="A2687" s="40"/>
      <c r="B2687" s="40"/>
    </row>
    <row r="2688" spans="1:2" x14ac:dyDescent="0.2">
      <c r="A2688" s="40"/>
      <c r="B2688" s="40"/>
    </row>
    <row r="2689" spans="1:2" x14ac:dyDescent="0.2">
      <c r="A2689" s="40"/>
      <c r="B2689" s="40"/>
    </row>
    <row r="2690" spans="1:2" x14ac:dyDescent="0.2">
      <c r="A2690" s="40"/>
      <c r="B2690" s="40"/>
    </row>
    <row r="2691" spans="1:2" x14ac:dyDescent="0.2">
      <c r="A2691" s="40"/>
      <c r="B2691" s="40"/>
    </row>
    <row r="2692" spans="1:2" x14ac:dyDescent="0.2">
      <c r="A2692" s="40"/>
      <c r="B2692" s="40"/>
    </row>
    <row r="2693" spans="1:2" x14ac:dyDescent="0.2">
      <c r="A2693" s="40"/>
      <c r="B2693" s="40"/>
    </row>
    <row r="2694" spans="1:2" x14ac:dyDescent="0.2">
      <c r="A2694" s="40"/>
      <c r="B2694" s="40"/>
    </row>
    <row r="2695" spans="1:2" x14ac:dyDescent="0.2">
      <c r="A2695" s="40"/>
      <c r="B2695" s="40"/>
    </row>
    <row r="2696" spans="1:2" x14ac:dyDescent="0.2">
      <c r="A2696" s="40"/>
      <c r="B2696" s="40"/>
    </row>
    <row r="2697" spans="1:2" x14ac:dyDescent="0.2">
      <c r="A2697" s="40"/>
      <c r="B2697" s="40"/>
    </row>
    <row r="2698" spans="1:2" x14ac:dyDescent="0.2">
      <c r="A2698" s="40"/>
      <c r="B2698" s="40"/>
    </row>
    <row r="2699" spans="1:2" x14ac:dyDescent="0.2">
      <c r="A2699" s="40"/>
      <c r="B2699" s="40"/>
    </row>
    <row r="2700" spans="1:2" x14ac:dyDescent="0.2">
      <c r="A2700" s="40"/>
      <c r="B2700" s="40"/>
    </row>
    <row r="2701" spans="1:2" x14ac:dyDescent="0.2">
      <c r="A2701" s="40"/>
      <c r="B2701" s="40"/>
    </row>
    <row r="2702" spans="1:2" x14ac:dyDescent="0.2">
      <c r="A2702" s="40"/>
      <c r="B2702" s="40"/>
    </row>
    <row r="2703" spans="1:2" x14ac:dyDescent="0.2">
      <c r="A2703" s="40"/>
      <c r="B2703" s="40"/>
    </row>
    <row r="2704" spans="1:2" x14ac:dyDescent="0.2">
      <c r="A2704" s="40"/>
      <c r="B2704" s="40"/>
    </row>
    <row r="2705" spans="1:2" x14ac:dyDescent="0.2">
      <c r="A2705" s="40"/>
      <c r="B2705" s="40"/>
    </row>
    <row r="2706" spans="1:2" x14ac:dyDescent="0.2">
      <c r="A2706" s="40"/>
      <c r="B2706" s="40"/>
    </row>
    <row r="2707" spans="1:2" x14ac:dyDescent="0.2">
      <c r="A2707" s="40"/>
      <c r="B2707" s="40"/>
    </row>
    <row r="2708" spans="1:2" x14ac:dyDescent="0.2">
      <c r="A2708" s="40"/>
      <c r="B2708" s="40"/>
    </row>
    <row r="2709" spans="1:2" x14ac:dyDescent="0.2">
      <c r="A2709" s="40"/>
      <c r="B2709" s="40"/>
    </row>
    <row r="2710" spans="1:2" x14ac:dyDescent="0.2">
      <c r="A2710" s="40"/>
      <c r="B2710" s="40"/>
    </row>
    <row r="2711" spans="1:2" x14ac:dyDescent="0.2">
      <c r="A2711" s="40"/>
      <c r="B2711" s="40"/>
    </row>
    <row r="2712" spans="1:2" x14ac:dyDescent="0.2">
      <c r="A2712" s="40"/>
      <c r="B2712" s="40"/>
    </row>
    <row r="2713" spans="1:2" x14ac:dyDescent="0.2">
      <c r="A2713" s="40"/>
      <c r="B2713" s="40"/>
    </row>
    <row r="2714" spans="1:2" x14ac:dyDescent="0.2">
      <c r="A2714" s="40"/>
      <c r="B2714" s="40"/>
    </row>
    <row r="2715" spans="1:2" x14ac:dyDescent="0.2">
      <c r="A2715" s="40"/>
      <c r="B2715" s="40"/>
    </row>
    <row r="2716" spans="1:2" x14ac:dyDescent="0.2">
      <c r="A2716" s="40"/>
      <c r="B2716" s="40"/>
    </row>
    <row r="2717" spans="1:2" x14ac:dyDescent="0.2">
      <c r="A2717" s="40"/>
      <c r="B2717" s="40"/>
    </row>
    <row r="2718" spans="1:2" x14ac:dyDescent="0.2">
      <c r="A2718" s="40"/>
      <c r="B2718" s="40"/>
    </row>
    <row r="2719" spans="1:2" x14ac:dyDescent="0.2">
      <c r="A2719" s="40"/>
      <c r="B2719" s="40"/>
    </row>
    <row r="2720" spans="1:2" x14ac:dyDescent="0.2">
      <c r="A2720" s="40"/>
      <c r="B2720" s="40"/>
    </row>
    <row r="2721" spans="1:2" x14ac:dyDescent="0.2">
      <c r="A2721" s="40"/>
      <c r="B2721" s="40"/>
    </row>
    <row r="2722" spans="1:2" x14ac:dyDescent="0.2">
      <c r="A2722" s="40"/>
      <c r="B2722" s="40"/>
    </row>
    <row r="2723" spans="1:2" x14ac:dyDescent="0.2">
      <c r="A2723" s="40"/>
      <c r="B2723" s="40"/>
    </row>
    <row r="2724" spans="1:2" x14ac:dyDescent="0.2">
      <c r="A2724" s="40"/>
      <c r="B2724" s="40"/>
    </row>
    <row r="2725" spans="1:2" x14ac:dyDescent="0.2">
      <c r="A2725" s="40"/>
      <c r="B2725" s="40"/>
    </row>
    <row r="2726" spans="1:2" x14ac:dyDescent="0.2">
      <c r="A2726" s="40"/>
      <c r="B2726" s="40"/>
    </row>
    <row r="2727" spans="1:2" x14ac:dyDescent="0.2">
      <c r="A2727" s="40"/>
      <c r="B2727" s="40"/>
    </row>
    <row r="2728" spans="1:2" x14ac:dyDescent="0.2">
      <c r="A2728" s="40"/>
      <c r="B2728" s="40"/>
    </row>
    <row r="2729" spans="1:2" x14ac:dyDescent="0.2">
      <c r="A2729" s="40"/>
      <c r="B2729" s="40"/>
    </row>
    <row r="2730" spans="1:2" x14ac:dyDescent="0.2">
      <c r="A2730" s="40"/>
      <c r="B2730" s="40"/>
    </row>
    <row r="2731" spans="1:2" x14ac:dyDescent="0.2">
      <c r="A2731" s="40"/>
      <c r="B2731" s="40"/>
    </row>
    <row r="2732" spans="1:2" x14ac:dyDescent="0.2">
      <c r="A2732" s="40"/>
      <c r="B2732" s="40"/>
    </row>
    <row r="2733" spans="1:2" x14ac:dyDescent="0.2">
      <c r="A2733" s="40"/>
      <c r="B2733" s="40"/>
    </row>
    <row r="2734" spans="1:2" x14ac:dyDescent="0.2">
      <c r="A2734" s="40"/>
      <c r="B2734" s="40"/>
    </row>
    <row r="2735" spans="1:2" x14ac:dyDescent="0.2">
      <c r="A2735" s="40"/>
      <c r="B2735" s="40"/>
    </row>
    <row r="2736" spans="1:2" x14ac:dyDescent="0.2">
      <c r="A2736" s="40"/>
      <c r="B2736" s="40"/>
    </row>
    <row r="2737" spans="1:2" x14ac:dyDescent="0.2">
      <c r="A2737" s="40"/>
      <c r="B2737" s="40"/>
    </row>
    <row r="2738" spans="1:2" x14ac:dyDescent="0.2">
      <c r="A2738" s="40"/>
      <c r="B2738" s="40"/>
    </row>
    <row r="2739" spans="1:2" x14ac:dyDescent="0.2">
      <c r="A2739" s="40"/>
      <c r="B2739" s="40"/>
    </row>
    <row r="2740" spans="1:2" x14ac:dyDescent="0.2">
      <c r="A2740" s="40"/>
      <c r="B2740" s="40"/>
    </row>
    <row r="2741" spans="1:2" x14ac:dyDescent="0.2">
      <c r="A2741" s="40"/>
      <c r="B2741" s="40"/>
    </row>
    <row r="2742" spans="1:2" x14ac:dyDescent="0.2">
      <c r="A2742" s="40"/>
      <c r="B2742" s="40"/>
    </row>
    <row r="2743" spans="1:2" x14ac:dyDescent="0.2">
      <c r="A2743" s="40"/>
      <c r="B2743" s="40"/>
    </row>
    <row r="2744" spans="1:2" x14ac:dyDescent="0.2">
      <c r="A2744" s="40"/>
      <c r="B2744" s="40"/>
    </row>
    <row r="2745" spans="1:2" x14ac:dyDescent="0.2">
      <c r="A2745" s="40"/>
      <c r="B2745" s="40"/>
    </row>
    <row r="2746" spans="1:2" x14ac:dyDescent="0.2">
      <c r="A2746" s="40"/>
      <c r="B2746" s="40"/>
    </row>
    <row r="2747" spans="1:2" x14ac:dyDescent="0.2">
      <c r="A2747" s="40"/>
      <c r="B2747" s="40"/>
    </row>
    <row r="2748" spans="1:2" x14ac:dyDescent="0.2">
      <c r="A2748" s="40"/>
      <c r="B2748" s="40"/>
    </row>
    <row r="2749" spans="1:2" x14ac:dyDescent="0.2">
      <c r="A2749" s="40"/>
      <c r="B2749" s="40"/>
    </row>
    <row r="2750" spans="1:2" x14ac:dyDescent="0.2">
      <c r="A2750" s="40"/>
      <c r="B2750" s="40"/>
    </row>
    <row r="2751" spans="1:2" x14ac:dyDescent="0.2">
      <c r="A2751" s="40"/>
      <c r="B2751" s="40"/>
    </row>
    <row r="2752" spans="1:2" x14ac:dyDescent="0.2">
      <c r="A2752" s="40"/>
      <c r="B2752" s="40"/>
    </row>
    <row r="2753" spans="1:2" x14ac:dyDescent="0.2">
      <c r="A2753" s="40"/>
      <c r="B2753" s="40"/>
    </row>
    <row r="2754" spans="1:2" x14ac:dyDescent="0.2">
      <c r="A2754" s="40"/>
      <c r="B2754" s="40"/>
    </row>
    <row r="2755" spans="1:2" x14ac:dyDescent="0.2">
      <c r="A2755" s="40"/>
      <c r="B2755" s="40"/>
    </row>
    <row r="2756" spans="1:2" x14ac:dyDescent="0.2">
      <c r="A2756" s="40"/>
      <c r="B2756" s="40"/>
    </row>
    <row r="2757" spans="1:2" x14ac:dyDescent="0.2">
      <c r="A2757" s="40"/>
      <c r="B2757" s="40"/>
    </row>
    <row r="2758" spans="1:2" x14ac:dyDescent="0.2">
      <c r="A2758" s="40"/>
      <c r="B2758" s="40"/>
    </row>
    <row r="2759" spans="1:2" x14ac:dyDescent="0.2">
      <c r="A2759" s="40"/>
      <c r="B2759" s="40"/>
    </row>
    <row r="2760" spans="1:2" x14ac:dyDescent="0.2">
      <c r="A2760" s="40"/>
      <c r="B2760" s="40"/>
    </row>
    <row r="2761" spans="1:2" x14ac:dyDescent="0.2">
      <c r="A2761" s="40"/>
      <c r="B2761" s="40"/>
    </row>
    <row r="2762" spans="1:2" x14ac:dyDescent="0.2">
      <c r="A2762" s="40"/>
      <c r="B2762" s="40"/>
    </row>
    <row r="2763" spans="1:2" x14ac:dyDescent="0.2">
      <c r="A2763" s="40"/>
      <c r="B2763" s="40"/>
    </row>
    <row r="2764" spans="1:2" x14ac:dyDescent="0.2">
      <c r="A2764" s="40"/>
      <c r="B2764" s="40"/>
    </row>
    <row r="2765" spans="1:2" x14ac:dyDescent="0.2">
      <c r="A2765" s="40"/>
      <c r="B2765" s="40"/>
    </row>
    <row r="2766" spans="1:2" x14ac:dyDescent="0.2">
      <c r="A2766" s="40"/>
      <c r="B2766" s="40"/>
    </row>
    <row r="2767" spans="1:2" x14ac:dyDescent="0.2">
      <c r="A2767" s="40"/>
      <c r="B2767" s="40"/>
    </row>
    <row r="2768" spans="1:2" x14ac:dyDescent="0.2">
      <c r="A2768" s="40"/>
      <c r="B2768" s="40"/>
    </row>
    <row r="2769" spans="1:2" x14ac:dyDescent="0.2">
      <c r="A2769" s="40"/>
      <c r="B2769" s="40"/>
    </row>
    <row r="2770" spans="1:2" x14ac:dyDescent="0.2">
      <c r="A2770" s="40"/>
      <c r="B2770" s="40"/>
    </row>
    <row r="2771" spans="1:2" x14ac:dyDescent="0.2">
      <c r="A2771" s="40"/>
      <c r="B2771" s="40"/>
    </row>
    <row r="2772" spans="1:2" x14ac:dyDescent="0.2">
      <c r="A2772" s="40"/>
      <c r="B2772" s="40"/>
    </row>
    <row r="2773" spans="1:2" x14ac:dyDescent="0.2">
      <c r="A2773" s="40"/>
      <c r="B2773" s="40"/>
    </row>
    <row r="2774" spans="1:2" x14ac:dyDescent="0.2">
      <c r="A2774" s="40"/>
      <c r="B2774" s="40"/>
    </row>
    <row r="2775" spans="1:2" x14ac:dyDescent="0.2">
      <c r="A2775" s="40"/>
      <c r="B2775" s="40"/>
    </row>
    <row r="2776" spans="1:2" x14ac:dyDescent="0.2">
      <c r="A2776" s="40"/>
      <c r="B2776" s="40"/>
    </row>
    <row r="2777" spans="1:2" x14ac:dyDescent="0.2">
      <c r="A2777" s="40"/>
      <c r="B2777" s="40"/>
    </row>
    <row r="2778" spans="1:2" x14ac:dyDescent="0.2">
      <c r="A2778" s="40"/>
      <c r="B2778" s="40"/>
    </row>
    <row r="2779" spans="1:2" x14ac:dyDescent="0.2">
      <c r="A2779" s="40"/>
      <c r="B2779" s="40"/>
    </row>
    <row r="2780" spans="1:2" x14ac:dyDescent="0.2">
      <c r="A2780" s="40"/>
      <c r="B2780" s="40"/>
    </row>
    <row r="2781" spans="1:2" x14ac:dyDescent="0.2">
      <c r="A2781" s="40"/>
      <c r="B2781" s="40"/>
    </row>
    <row r="2782" spans="1:2" x14ac:dyDescent="0.2">
      <c r="A2782" s="40"/>
      <c r="B2782" s="40"/>
    </row>
    <row r="2783" spans="1:2" x14ac:dyDescent="0.2">
      <c r="A2783" s="40"/>
      <c r="B2783" s="40"/>
    </row>
    <row r="2784" spans="1:2" x14ac:dyDescent="0.2">
      <c r="A2784" s="40"/>
      <c r="B2784" s="40"/>
    </row>
    <row r="2785" spans="1:2" x14ac:dyDescent="0.2">
      <c r="A2785" s="40"/>
      <c r="B2785" s="40"/>
    </row>
    <row r="2786" spans="1:2" x14ac:dyDescent="0.2">
      <c r="A2786" s="40"/>
      <c r="B2786" s="40"/>
    </row>
    <row r="2787" spans="1:2" x14ac:dyDescent="0.2">
      <c r="A2787" s="40"/>
      <c r="B2787" s="40"/>
    </row>
    <row r="2788" spans="1:2" x14ac:dyDescent="0.2">
      <c r="A2788" s="40"/>
      <c r="B2788" s="40"/>
    </row>
    <row r="2789" spans="1:2" x14ac:dyDescent="0.2">
      <c r="A2789" s="40"/>
      <c r="B2789" s="40"/>
    </row>
    <row r="2790" spans="1:2" x14ac:dyDescent="0.2">
      <c r="A2790" s="40"/>
      <c r="B2790" s="40"/>
    </row>
    <row r="2791" spans="1:2" x14ac:dyDescent="0.2">
      <c r="A2791" s="40"/>
      <c r="B2791" s="40"/>
    </row>
    <row r="2792" spans="1:2" x14ac:dyDescent="0.2">
      <c r="A2792" s="40"/>
      <c r="B2792" s="40"/>
    </row>
    <row r="2793" spans="1:2" x14ac:dyDescent="0.2">
      <c r="A2793" s="40"/>
      <c r="B2793" s="40"/>
    </row>
    <row r="2794" spans="1:2" x14ac:dyDescent="0.2">
      <c r="A2794" s="40"/>
      <c r="B2794" s="40"/>
    </row>
    <row r="2795" spans="1:2" x14ac:dyDescent="0.2">
      <c r="A2795" s="40"/>
      <c r="B2795" s="40"/>
    </row>
    <row r="2796" spans="1:2" x14ac:dyDescent="0.2">
      <c r="A2796" s="40"/>
      <c r="B2796" s="40"/>
    </row>
    <row r="2797" spans="1:2" x14ac:dyDescent="0.2">
      <c r="A2797" s="40"/>
      <c r="B2797" s="40"/>
    </row>
    <row r="2798" spans="1:2" x14ac:dyDescent="0.2">
      <c r="A2798" s="40"/>
      <c r="B2798" s="40"/>
    </row>
    <row r="2799" spans="1:2" x14ac:dyDescent="0.2">
      <c r="A2799" s="40"/>
      <c r="B2799" s="40"/>
    </row>
    <row r="2800" spans="1:2" x14ac:dyDescent="0.2">
      <c r="A2800" s="40"/>
      <c r="B2800" s="40"/>
    </row>
    <row r="2801" spans="1:2" x14ac:dyDescent="0.2">
      <c r="A2801" s="40"/>
      <c r="B2801" s="40"/>
    </row>
    <row r="2802" spans="1:2" x14ac:dyDescent="0.2">
      <c r="A2802" s="40"/>
      <c r="B2802" s="40"/>
    </row>
    <row r="2803" spans="1:2" x14ac:dyDescent="0.2">
      <c r="A2803" s="40"/>
      <c r="B2803" s="40"/>
    </row>
    <row r="2804" spans="1:2" x14ac:dyDescent="0.2">
      <c r="A2804" s="40"/>
      <c r="B2804" s="40"/>
    </row>
    <row r="2805" spans="1:2" x14ac:dyDescent="0.2">
      <c r="A2805" s="40"/>
      <c r="B2805" s="40"/>
    </row>
    <row r="2806" spans="1:2" x14ac:dyDescent="0.2">
      <c r="A2806" s="40"/>
      <c r="B2806" s="40"/>
    </row>
    <row r="2807" spans="1:2" x14ac:dyDescent="0.2">
      <c r="A2807" s="40"/>
      <c r="B2807" s="40"/>
    </row>
    <row r="2808" spans="1:2" x14ac:dyDescent="0.2">
      <c r="A2808" s="40"/>
      <c r="B2808" s="40"/>
    </row>
    <row r="2809" spans="1:2" x14ac:dyDescent="0.2">
      <c r="A2809" s="40"/>
      <c r="B2809" s="40"/>
    </row>
    <row r="2810" spans="1:2" x14ac:dyDescent="0.2">
      <c r="A2810" s="40"/>
      <c r="B2810" s="40"/>
    </row>
    <row r="2811" spans="1:2" x14ac:dyDescent="0.2">
      <c r="A2811" s="40"/>
      <c r="B2811" s="40"/>
    </row>
    <row r="2812" spans="1:2" x14ac:dyDescent="0.2">
      <c r="A2812" s="40"/>
      <c r="B2812" s="40"/>
    </row>
    <row r="2813" spans="1:2" x14ac:dyDescent="0.2">
      <c r="A2813" s="40"/>
      <c r="B2813" s="40"/>
    </row>
    <row r="2814" spans="1:2" x14ac:dyDescent="0.2">
      <c r="A2814" s="40"/>
      <c r="B2814" s="40"/>
    </row>
    <row r="2815" spans="1:2" x14ac:dyDescent="0.2">
      <c r="A2815" s="40"/>
      <c r="B2815" s="40"/>
    </row>
    <row r="2816" spans="1:2" x14ac:dyDescent="0.2">
      <c r="A2816" s="40"/>
      <c r="B2816" s="40"/>
    </row>
    <row r="2817" spans="1:2" x14ac:dyDescent="0.2">
      <c r="A2817" s="40"/>
      <c r="B2817" s="40"/>
    </row>
    <row r="2818" spans="1:2" x14ac:dyDescent="0.2">
      <c r="A2818" s="40"/>
      <c r="B2818" s="40"/>
    </row>
    <row r="2819" spans="1:2" x14ac:dyDescent="0.2">
      <c r="A2819" s="40"/>
      <c r="B2819" s="40"/>
    </row>
    <row r="2820" spans="1:2" x14ac:dyDescent="0.2">
      <c r="A2820" s="40"/>
      <c r="B2820" s="40"/>
    </row>
    <row r="2821" spans="1:2" x14ac:dyDescent="0.2">
      <c r="A2821" s="40"/>
      <c r="B2821" s="40"/>
    </row>
    <row r="2822" spans="1:2" x14ac:dyDescent="0.2">
      <c r="A2822" s="40"/>
      <c r="B2822" s="40"/>
    </row>
    <row r="2823" spans="1:2" x14ac:dyDescent="0.2">
      <c r="A2823" s="40"/>
      <c r="B2823" s="40"/>
    </row>
    <row r="2824" spans="1:2" x14ac:dyDescent="0.2">
      <c r="A2824" s="40"/>
      <c r="B2824" s="40"/>
    </row>
    <row r="2825" spans="1:2" x14ac:dyDescent="0.2">
      <c r="A2825" s="40"/>
      <c r="B2825" s="40"/>
    </row>
    <row r="2826" spans="1:2" x14ac:dyDescent="0.2">
      <c r="A2826" s="40"/>
      <c r="B2826" s="40"/>
    </row>
    <row r="2827" spans="1:2" x14ac:dyDescent="0.2">
      <c r="A2827" s="40"/>
      <c r="B2827" s="40"/>
    </row>
    <row r="2828" spans="1:2" x14ac:dyDescent="0.2">
      <c r="A2828" s="40"/>
      <c r="B2828" s="40"/>
    </row>
    <row r="2829" spans="1:2" x14ac:dyDescent="0.2">
      <c r="A2829" s="40"/>
      <c r="B2829" s="40"/>
    </row>
    <row r="2830" spans="1:2" x14ac:dyDescent="0.2">
      <c r="A2830" s="40"/>
      <c r="B2830" s="40"/>
    </row>
    <row r="2831" spans="1:2" x14ac:dyDescent="0.2">
      <c r="A2831" s="40"/>
      <c r="B2831" s="40"/>
    </row>
    <row r="2832" spans="1:2" x14ac:dyDescent="0.2">
      <c r="A2832" s="40"/>
      <c r="B2832" s="40"/>
    </row>
    <row r="2833" spans="1:2" x14ac:dyDescent="0.2">
      <c r="A2833" s="40"/>
      <c r="B2833" s="40"/>
    </row>
    <row r="2834" spans="1:2" x14ac:dyDescent="0.2">
      <c r="A2834" s="40"/>
      <c r="B2834" s="40"/>
    </row>
    <row r="2835" spans="1:2" x14ac:dyDescent="0.2">
      <c r="A2835" s="40"/>
      <c r="B2835" s="40"/>
    </row>
    <row r="2836" spans="1:2" x14ac:dyDescent="0.2">
      <c r="A2836" s="40"/>
      <c r="B2836" s="40"/>
    </row>
    <row r="2837" spans="1:2" x14ac:dyDescent="0.2">
      <c r="A2837" s="40"/>
      <c r="B2837" s="40"/>
    </row>
    <row r="2838" spans="1:2" x14ac:dyDescent="0.2">
      <c r="A2838" s="40"/>
      <c r="B2838" s="40"/>
    </row>
    <row r="2839" spans="1:2" x14ac:dyDescent="0.2">
      <c r="A2839" s="40"/>
      <c r="B2839" s="40"/>
    </row>
    <row r="2840" spans="1:2" x14ac:dyDescent="0.2">
      <c r="A2840" s="40"/>
      <c r="B2840" s="40"/>
    </row>
    <row r="2841" spans="1:2" x14ac:dyDescent="0.2">
      <c r="A2841" s="40"/>
      <c r="B2841" s="40"/>
    </row>
    <row r="2842" spans="1:2" x14ac:dyDescent="0.2">
      <c r="A2842" s="40"/>
      <c r="B2842" s="40"/>
    </row>
    <row r="2843" spans="1:2" x14ac:dyDescent="0.2">
      <c r="A2843" s="40"/>
      <c r="B2843" s="40"/>
    </row>
    <row r="2844" spans="1:2" x14ac:dyDescent="0.2">
      <c r="A2844" s="40"/>
      <c r="B2844" s="40"/>
    </row>
    <row r="2845" spans="1:2" x14ac:dyDescent="0.2">
      <c r="A2845" s="40"/>
      <c r="B2845" s="40"/>
    </row>
    <row r="2846" spans="1:2" x14ac:dyDescent="0.2">
      <c r="A2846" s="40"/>
      <c r="B2846" s="40"/>
    </row>
    <row r="2847" spans="1:2" x14ac:dyDescent="0.2">
      <c r="A2847" s="40"/>
      <c r="B2847" s="40"/>
    </row>
    <row r="2848" spans="1:2" x14ac:dyDescent="0.2">
      <c r="A2848" s="40"/>
      <c r="B2848" s="40"/>
    </row>
    <row r="2849" spans="1:2" x14ac:dyDescent="0.2">
      <c r="A2849" s="40"/>
      <c r="B2849" s="40"/>
    </row>
    <row r="2850" spans="1:2" x14ac:dyDescent="0.2">
      <c r="A2850" s="40"/>
      <c r="B2850" s="40"/>
    </row>
    <row r="2851" spans="1:2" x14ac:dyDescent="0.2">
      <c r="A2851" s="40"/>
      <c r="B2851" s="40"/>
    </row>
    <row r="2852" spans="1:2" x14ac:dyDescent="0.2">
      <c r="A2852" s="40"/>
      <c r="B2852" s="40"/>
    </row>
    <row r="2853" spans="1:2" x14ac:dyDescent="0.2">
      <c r="A2853" s="40"/>
      <c r="B2853" s="40"/>
    </row>
    <row r="2854" spans="1:2" x14ac:dyDescent="0.2">
      <c r="A2854" s="40"/>
      <c r="B2854" s="40"/>
    </row>
    <row r="2855" spans="1:2" x14ac:dyDescent="0.2">
      <c r="A2855" s="40"/>
      <c r="B2855" s="40"/>
    </row>
    <row r="2856" spans="1:2" x14ac:dyDescent="0.2">
      <c r="A2856" s="40"/>
      <c r="B2856" s="40"/>
    </row>
    <row r="2857" spans="1:2" x14ac:dyDescent="0.2">
      <c r="A2857" s="40"/>
      <c r="B2857" s="40"/>
    </row>
    <row r="2858" spans="1:2" x14ac:dyDescent="0.2">
      <c r="A2858" s="40"/>
      <c r="B2858" s="40"/>
    </row>
    <row r="2859" spans="1:2" x14ac:dyDescent="0.2">
      <c r="A2859" s="40"/>
      <c r="B2859" s="40"/>
    </row>
    <row r="2860" spans="1:2" x14ac:dyDescent="0.2">
      <c r="A2860" s="40"/>
      <c r="B2860" s="40"/>
    </row>
    <row r="2861" spans="1:2" x14ac:dyDescent="0.2">
      <c r="A2861" s="40"/>
      <c r="B2861" s="40"/>
    </row>
    <row r="2862" spans="1:2" x14ac:dyDescent="0.2">
      <c r="A2862" s="40"/>
      <c r="B2862" s="40"/>
    </row>
    <row r="2863" spans="1:2" x14ac:dyDescent="0.2">
      <c r="A2863" s="40"/>
      <c r="B2863" s="40"/>
    </row>
    <row r="2864" spans="1:2" x14ac:dyDescent="0.2">
      <c r="A2864" s="40"/>
      <c r="B2864" s="40"/>
    </row>
    <row r="2865" spans="1:2" x14ac:dyDescent="0.2">
      <c r="A2865" s="40"/>
      <c r="B2865" s="40"/>
    </row>
    <row r="2866" spans="1:2" x14ac:dyDescent="0.2">
      <c r="A2866" s="40"/>
      <c r="B2866" s="40"/>
    </row>
    <row r="2867" spans="1:2" x14ac:dyDescent="0.2">
      <c r="A2867" s="40"/>
      <c r="B2867" s="40"/>
    </row>
    <row r="2868" spans="1:2" x14ac:dyDescent="0.2">
      <c r="A2868" s="40"/>
      <c r="B2868" s="40"/>
    </row>
    <row r="2869" spans="1:2" x14ac:dyDescent="0.2">
      <c r="A2869" s="40"/>
      <c r="B2869" s="40"/>
    </row>
    <row r="2870" spans="1:2" x14ac:dyDescent="0.2">
      <c r="A2870" s="40"/>
      <c r="B2870" s="40"/>
    </row>
    <row r="2871" spans="1:2" x14ac:dyDescent="0.2">
      <c r="A2871" s="40"/>
      <c r="B2871" s="40"/>
    </row>
    <row r="2872" spans="1:2" x14ac:dyDescent="0.2">
      <c r="A2872" s="40"/>
      <c r="B2872" s="40"/>
    </row>
    <row r="2873" spans="1:2" x14ac:dyDescent="0.2">
      <c r="A2873" s="40"/>
      <c r="B2873" s="40"/>
    </row>
    <row r="2874" spans="1:2" x14ac:dyDescent="0.2">
      <c r="A2874" s="40"/>
      <c r="B2874" s="40"/>
    </row>
    <row r="2875" spans="1:2" x14ac:dyDescent="0.2">
      <c r="A2875" s="40"/>
      <c r="B2875" s="40"/>
    </row>
    <row r="2876" spans="1:2" x14ac:dyDescent="0.2">
      <c r="A2876" s="40"/>
      <c r="B2876" s="40"/>
    </row>
    <row r="2877" spans="1:2" x14ac:dyDescent="0.2">
      <c r="A2877" s="40"/>
      <c r="B2877" s="40"/>
    </row>
    <row r="2878" spans="1:2" x14ac:dyDescent="0.2">
      <c r="A2878" s="40"/>
      <c r="B2878" s="40"/>
    </row>
    <row r="2879" spans="1:2" x14ac:dyDescent="0.2">
      <c r="A2879" s="40"/>
      <c r="B2879" s="40"/>
    </row>
    <row r="2880" spans="1:2" x14ac:dyDescent="0.2">
      <c r="A2880" s="40"/>
      <c r="B2880" s="40"/>
    </row>
    <row r="2881" spans="1:2" x14ac:dyDescent="0.2">
      <c r="A2881" s="40"/>
      <c r="B2881" s="40"/>
    </row>
    <row r="2882" spans="1:2" x14ac:dyDescent="0.2">
      <c r="A2882" s="40"/>
      <c r="B2882" s="40"/>
    </row>
    <row r="2883" spans="1:2" x14ac:dyDescent="0.2">
      <c r="A2883" s="40"/>
      <c r="B2883" s="40"/>
    </row>
    <row r="2884" spans="1:2" x14ac:dyDescent="0.2">
      <c r="A2884" s="40"/>
      <c r="B2884" s="40"/>
    </row>
    <row r="2885" spans="1:2" x14ac:dyDescent="0.2">
      <c r="A2885" s="40"/>
      <c r="B2885" s="40"/>
    </row>
    <row r="2886" spans="1:2" x14ac:dyDescent="0.2">
      <c r="A2886" s="40"/>
      <c r="B2886" s="40"/>
    </row>
    <row r="2887" spans="1:2" x14ac:dyDescent="0.2">
      <c r="A2887" s="40"/>
      <c r="B2887" s="40"/>
    </row>
    <row r="2888" spans="1:2" x14ac:dyDescent="0.2">
      <c r="A2888" s="40"/>
      <c r="B2888" s="40"/>
    </row>
    <row r="2889" spans="1:2" x14ac:dyDescent="0.2">
      <c r="A2889" s="40"/>
      <c r="B2889" s="40"/>
    </row>
    <row r="2890" spans="1:2" x14ac:dyDescent="0.2">
      <c r="A2890" s="40"/>
      <c r="B2890" s="40"/>
    </row>
    <row r="2891" spans="1:2" x14ac:dyDescent="0.2">
      <c r="A2891" s="40"/>
      <c r="B2891" s="40"/>
    </row>
    <row r="2892" spans="1:2" x14ac:dyDescent="0.2">
      <c r="A2892" s="40"/>
      <c r="B2892" s="40"/>
    </row>
    <row r="2893" spans="1:2" x14ac:dyDescent="0.2">
      <c r="A2893" s="40"/>
      <c r="B2893" s="40"/>
    </row>
    <row r="2894" spans="1:2" x14ac:dyDescent="0.2">
      <c r="A2894" s="40"/>
      <c r="B2894" s="40"/>
    </row>
    <row r="2895" spans="1:2" x14ac:dyDescent="0.2">
      <c r="A2895" s="40"/>
      <c r="B2895" s="40"/>
    </row>
    <row r="2896" spans="1:2" x14ac:dyDescent="0.2">
      <c r="A2896" s="40"/>
      <c r="B2896" s="40"/>
    </row>
    <row r="2897" spans="1:2" x14ac:dyDescent="0.2">
      <c r="A2897" s="40"/>
      <c r="B2897" s="40"/>
    </row>
    <row r="2898" spans="1:2" x14ac:dyDescent="0.2">
      <c r="A2898" s="40"/>
      <c r="B2898" s="40"/>
    </row>
    <row r="2899" spans="1:2" x14ac:dyDescent="0.2">
      <c r="A2899" s="40"/>
      <c r="B2899" s="40"/>
    </row>
    <row r="2900" spans="1:2" x14ac:dyDescent="0.2">
      <c r="A2900" s="40"/>
      <c r="B2900" s="40"/>
    </row>
    <row r="2901" spans="1:2" x14ac:dyDescent="0.2">
      <c r="A2901" s="40"/>
      <c r="B2901" s="40"/>
    </row>
    <row r="2902" spans="1:2" x14ac:dyDescent="0.2">
      <c r="A2902" s="40"/>
      <c r="B2902" s="40"/>
    </row>
    <row r="2903" spans="1:2" x14ac:dyDescent="0.2">
      <c r="A2903" s="40"/>
      <c r="B2903" s="40"/>
    </row>
    <row r="2904" spans="1:2" x14ac:dyDescent="0.2">
      <c r="A2904" s="40"/>
      <c r="B2904" s="40"/>
    </row>
    <row r="2905" spans="1:2" x14ac:dyDescent="0.2">
      <c r="A2905" s="40"/>
      <c r="B2905" s="40"/>
    </row>
    <row r="2906" spans="1:2" x14ac:dyDescent="0.2">
      <c r="A2906" s="40"/>
      <c r="B2906" s="40"/>
    </row>
    <row r="2907" spans="1:2" x14ac:dyDescent="0.2">
      <c r="A2907" s="40"/>
      <c r="B2907" s="40"/>
    </row>
    <row r="2908" spans="1:2" x14ac:dyDescent="0.2">
      <c r="A2908" s="40"/>
      <c r="B2908" s="40"/>
    </row>
    <row r="2909" spans="1:2" x14ac:dyDescent="0.2">
      <c r="A2909" s="40"/>
      <c r="B2909" s="40"/>
    </row>
    <row r="2910" spans="1:2" x14ac:dyDescent="0.2">
      <c r="A2910" s="40"/>
      <c r="B2910" s="40"/>
    </row>
    <row r="2911" spans="1:2" x14ac:dyDescent="0.2">
      <c r="A2911" s="40"/>
      <c r="B2911" s="40"/>
    </row>
    <row r="2912" spans="1:2" x14ac:dyDescent="0.2">
      <c r="A2912" s="40"/>
      <c r="B2912" s="40"/>
    </row>
    <row r="2913" spans="1:2" x14ac:dyDescent="0.2">
      <c r="A2913" s="40"/>
      <c r="B2913" s="40"/>
    </row>
    <row r="2914" spans="1:2" x14ac:dyDescent="0.2">
      <c r="A2914" s="40"/>
      <c r="B2914" s="40"/>
    </row>
    <row r="2915" spans="1:2" x14ac:dyDescent="0.2">
      <c r="A2915" s="40"/>
      <c r="B2915" s="40"/>
    </row>
    <row r="2916" spans="1:2" x14ac:dyDescent="0.2">
      <c r="A2916" s="40"/>
      <c r="B2916" s="40"/>
    </row>
    <row r="2917" spans="1:2" x14ac:dyDescent="0.2">
      <c r="A2917" s="40"/>
      <c r="B2917" s="40"/>
    </row>
    <row r="2918" spans="1:2" x14ac:dyDescent="0.2">
      <c r="A2918" s="40"/>
      <c r="B2918" s="40"/>
    </row>
    <row r="2919" spans="1:2" x14ac:dyDescent="0.2">
      <c r="A2919" s="40"/>
      <c r="B2919" s="40"/>
    </row>
    <row r="2920" spans="1:2" x14ac:dyDescent="0.2">
      <c r="A2920" s="40"/>
      <c r="B2920" s="40"/>
    </row>
    <row r="2921" spans="1:2" x14ac:dyDescent="0.2">
      <c r="A2921" s="40"/>
      <c r="B2921" s="40"/>
    </row>
    <row r="2922" spans="1:2" x14ac:dyDescent="0.2">
      <c r="A2922" s="40"/>
      <c r="B2922" s="40"/>
    </row>
    <row r="2923" spans="1:2" x14ac:dyDescent="0.2">
      <c r="A2923" s="40"/>
      <c r="B2923" s="40"/>
    </row>
    <row r="2924" spans="1:2" x14ac:dyDescent="0.2">
      <c r="A2924" s="40"/>
      <c r="B2924" s="40"/>
    </row>
    <row r="2925" spans="1:2" x14ac:dyDescent="0.2">
      <c r="A2925" s="40"/>
      <c r="B2925" s="40"/>
    </row>
    <row r="2926" spans="1:2" x14ac:dyDescent="0.2">
      <c r="A2926" s="40"/>
      <c r="B2926" s="40"/>
    </row>
    <row r="2927" spans="1:2" x14ac:dyDescent="0.2">
      <c r="A2927" s="40"/>
      <c r="B2927" s="40"/>
    </row>
    <row r="2928" spans="1:2" x14ac:dyDescent="0.2">
      <c r="A2928" s="40"/>
      <c r="B2928" s="40"/>
    </row>
    <row r="2929" spans="1:2" x14ac:dyDescent="0.2">
      <c r="A2929" s="40"/>
      <c r="B2929" s="40"/>
    </row>
    <row r="2930" spans="1:2" x14ac:dyDescent="0.2">
      <c r="A2930" s="40"/>
      <c r="B2930" s="40"/>
    </row>
    <row r="2931" spans="1:2" x14ac:dyDescent="0.2">
      <c r="A2931" s="40"/>
      <c r="B2931" s="40"/>
    </row>
    <row r="2932" spans="1:2" x14ac:dyDescent="0.2">
      <c r="A2932" s="40"/>
      <c r="B2932" s="40"/>
    </row>
    <row r="2933" spans="1:2" x14ac:dyDescent="0.2">
      <c r="A2933" s="40"/>
      <c r="B2933" s="40"/>
    </row>
    <row r="2934" spans="1:2" x14ac:dyDescent="0.2">
      <c r="A2934" s="40"/>
      <c r="B2934" s="40"/>
    </row>
    <row r="2935" spans="1:2" x14ac:dyDescent="0.2">
      <c r="A2935" s="40"/>
      <c r="B2935" s="40"/>
    </row>
    <row r="2936" spans="1:2" x14ac:dyDescent="0.2">
      <c r="A2936" s="40"/>
      <c r="B2936" s="40"/>
    </row>
    <row r="2937" spans="1:2" x14ac:dyDescent="0.2">
      <c r="A2937" s="40"/>
      <c r="B2937" s="40"/>
    </row>
    <row r="2938" spans="1:2" x14ac:dyDescent="0.2">
      <c r="A2938" s="40"/>
      <c r="B2938" s="40"/>
    </row>
    <row r="2939" spans="1:2" x14ac:dyDescent="0.2">
      <c r="A2939" s="40"/>
      <c r="B2939" s="40"/>
    </row>
    <row r="2940" spans="1:2" x14ac:dyDescent="0.2">
      <c r="A2940" s="40"/>
      <c r="B2940" s="40"/>
    </row>
    <row r="2941" spans="1:2" x14ac:dyDescent="0.2">
      <c r="A2941" s="40"/>
      <c r="B2941" s="40"/>
    </row>
    <row r="2942" spans="1:2" x14ac:dyDescent="0.2">
      <c r="A2942" s="40"/>
      <c r="B2942" s="40"/>
    </row>
    <row r="2943" spans="1:2" x14ac:dyDescent="0.2">
      <c r="A2943" s="40"/>
      <c r="B2943" s="40"/>
    </row>
    <row r="2944" spans="1:2" x14ac:dyDescent="0.2">
      <c r="A2944" s="40"/>
      <c r="B2944" s="40"/>
    </row>
    <row r="2945" spans="1:2" x14ac:dyDescent="0.2">
      <c r="A2945" s="40"/>
      <c r="B2945" s="40"/>
    </row>
    <row r="2946" spans="1:2" x14ac:dyDescent="0.2">
      <c r="A2946" s="40"/>
      <c r="B2946" s="40"/>
    </row>
    <row r="2947" spans="1:2" x14ac:dyDescent="0.2">
      <c r="A2947" s="40"/>
      <c r="B2947" s="40"/>
    </row>
    <row r="2948" spans="1:2" x14ac:dyDescent="0.2">
      <c r="A2948" s="40"/>
      <c r="B2948" s="40"/>
    </row>
    <row r="2949" spans="1:2" x14ac:dyDescent="0.2">
      <c r="A2949" s="40"/>
      <c r="B2949" s="40"/>
    </row>
    <row r="2950" spans="1:2" x14ac:dyDescent="0.2">
      <c r="A2950" s="40"/>
      <c r="B2950" s="40"/>
    </row>
    <row r="2951" spans="1:2" x14ac:dyDescent="0.2">
      <c r="A2951" s="40"/>
      <c r="B2951" s="40"/>
    </row>
    <row r="2952" spans="1:2" x14ac:dyDescent="0.2">
      <c r="A2952" s="40"/>
      <c r="B2952" s="40"/>
    </row>
    <row r="2953" spans="1:2" x14ac:dyDescent="0.2">
      <c r="A2953" s="40"/>
      <c r="B2953" s="40"/>
    </row>
    <row r="2954" spans="1:2" x14ac:dyDescent="0.2">
      <c r="A2954" s="40"/>
      <c r="B2954" s="40"/>
    </row>
    <row r="2955" spans="1:2" x14ac:dyDescent="0.2">
      <c r="A2955" s="40"/>
      <c r="B2955" s="40"/>
    </row>
    <row r="2956" spans="1:2" x14ac:dyDescent="0.2">
      <c r="A2956" s="40"/>
      <c r="B2956" s="40"/>
    </row>
    <row r="2957" spans="1:2" x14ac:dyDescent="0.2">
      <c r="A2957" s="40"/>
      <c r="B2957" s="40"/>
    </row>
    <row r="2958" spans="1:2" x14ac:dyDescent="0.2">
      <c r="A2958" s="40"/>
      <c r="B2958" s="40"/>
    </row>
    <row r="2959" spans="1:2" x14ac:dyDescent="0.2">
      <c r="A2959" s="40"/>
      <c r="B2959" s="40"/>
    </row>
    <row r="2960" spans="1:2" x14ac:dyDescent="0.2">
      <c r="A2960" s="40"/>
      <c r="B2960" s="40"/>
    </row>
    <row r="2961" spans="1:2" x14ac:dyDescent="0.2">
      <c r="A2961" s="40"/>
      <c r="B2961" s="40"/>
    </row>
    <row r="2962" spans="1:2" x14ac:dyDescent="0.2">
      <c r="A2962" s="40"/>
      <c r="B2962" s="40"/>
    </row>
    <row r="2963" spans="1:2" x14ac:dyDescent="0.2">
      <c r="A2963" s="40"/>
      <c r="B2963" s="40"/>
    </row>
    <row r="2964" spans="1:2" x14ac:dyDescent="0.2">
      <c r="A2964" s="40"/>
      <c r="B2964" s="40"/>
    </row>
    <row r="2965" spans="1:2" x14ac:dyDescent="0.2">
      <c r="A2965" s="40"/>
      <c r="B2965" s="40"/>
    </row>
    <row r="2966" spans="1:2" x14ac:dyDescent="0.2">
      <c r="A2966" s="40"/>
      <c r="B2966" s="40"/>
    </row>
    <row r="2967" spans="1:2" x14ac:dyDescent="0.2">
      <c r="A2967" s="40"/>
      <c r="B2967" s="40"/>
    </row>
    <row r="2968" spans="1:2" x14ac:dyDescent="0.2">
      <c r="A2968" s="40"/>
      <c r="B2968" s="40"/>
    </row>
    <row r="2969" spans="1:2" x14ac:dyDescent="0.2">
      <c r="A2969" s="40"/>
      <c r="B2969" s="40"/>
    </row>
    <row r="2970" spans="1:2" x14ac:dyDescent="0.2">
      <c r="A2970" s="40"/>
      <c r="B2970" s="40"/>
    </row>
    <row r="2971" spans="1:2" x14ac:dyDescent="0.2">
      <c r="A2971" s="40"/>
      <c r="B2971" s="40"/>
    </row>
    <row r="2972" spans="1:2" x14ac:dyDescent="0.2">
      <c r="A2972" s="40"/>
      <c r="B2972" s="40"/>
    </row>
    <row r="2973" spans="1:2" x14ac:dyDescent="0.2">
      <c r="A2973" s="40"/>
      <c r="B2973" s="40"/>
    </row>
    <row r="2974" spans="1:2" x14ac:dyDescent="0.2">
      <c r="A2974" s="40"/>
      <c r="B2974" s="40"/>
    </row>
    <row r="2975" spans="1:2" x14ac:dyDescent="0.2">
      <c r="A2975" s="40"/>
      <c r="B2975" s="40"/>
    </row>
    <row r="2976" spans="1:2" x14ac:dyDescent="0.2">
      <c r="A2976" s="40"/>
      <c r="B2976" s="40"/>
    </row>
    <row r="2977" spans="1:2" x14ac:dyDescent="0.2">
      <c r="A2977" s="40"/>
      <c r="B2977" s="40"/>
    </row>
    <row r="2978" spans="1:2" x14ac:dyDescent="0.2">
      <c r="A2978" s="40"/>
      <c r="B2978" s="40"/>
    </row>
    <row r="2979" spans="1:2" x14ac:dyDescent="0.2">
      <c r="A2979" s="40"/>
      <c r="B2979" s="40"/>
    </row>
    <row r="2980" spans="1:2" x14ac:dyDescent="0.2">
      <c r="A2980" s="40"/>
      <c r="B2980" s="40"/>
    </row>
    <row r="2981" spans="1:2" x14ac:dyDescent="0.2">
      <c r="A2981" s="40"/>
      <c r="B2981" s="40"/>
    </row>
    <row r="2982" spans="1:2" x14ac:dyDescent="0.2">
      <c r="A2982" s="40"/>
      <c r="B2982" s="40"/>
    </row>
    <row r="2983" spans="1:2" x14ac:dyDescent="0.2">
      <c r="A2983" s="40"/>
      <c r="B2983" s="40"/>
    </row>
    <row r="2984" spans="1:2" x14ac:dyDescent="0.2">
      <c r="A2984" s="40"/>
      <c r="B2984" s="40"/>
    </row>
    <row r="2985" spans="1:2" x14ac:dyDescent="0.2">
      <c r="A2985" s="40"/>
      <c r="B2985" s="40"/>
    </row>
    <row r="2986" spans="1:2" x14ac:dyDescent="0.2">
      <c r="A2986" s="40"/>
      <c r="B2986" s="40"/>
    </row>
    <row r="2987" spans="1:2" x14ac:dyDescent="0.2">
      <c r="A2987" s="40"/>
      <c r="B2987" s="40"/>
    </row>
    <row r="2988" spans="1:2" x14ac:dyDescent="0.2">
      <c r="A2988" s="40"/>
      <c r="B2988" s="40"/>
    </row>
    <row r="2989" spans="1:2" x14ac:dyDescent="0.2">
      <c r="A2989" s="40"/>
      <c r="B2989" s="40"/>
    </row>
    <row r="2990" spans="1:2" x14ac:dyDescent="0.2">
      <c r="A2990" s="40"/>
      <c r="B2990" s="40"/>
    </row>
    <row r="2991" spans="1:2" x14ac:dyDescent="0.2">
      <c r="A2991" s="40"/>
      <c r="B2991" s="40"/>
    </row>
    <row r="2992" spans="1:2" x14ac:dyDescent="0.2">
      <c r="A2992" s="40"/>
      <c r="B2992" s="40"/>
    </row>
    <row r="2993" spans="1:2" x14ac:dyDescent="0.2">
      <c r="A2993" s="40"/>
      <c r="B2993" s="40"/>
    </row>
    <row r="2994" spans="1:2" x14ac:dyDescent="0.2">
      <c r="A2994" s="40"/>
      <c r="B2994" s="40"/>
    </row>
    <row r="2995" spans="1:2" x14ac:dyDescent="0.2">
      <c r="A2995" s="40"/>
      <c r="B2995" s="40"/>
    </row>
    <row r="2996" spans="1:2" x14ac:dyDescent="0.2">
      <c r="A2996" s="40"/>
      <c r="B2996" s="40"/>
    </row>
    <row r="2997" spans="1:2" x14ac:dyDescent="0.2">
      <c r="A2997" s="40"/>
      <c r="B2997" s="40"/>
    </row>
    <row r="2998" spans="1:2" x14ac:dyDescent="0.2">
      <c r="A2998" s="40"/>
      <c r="B2998" s="40"/>
    </row>
    <row r="2999" spans="1:2" x14ac:dyDescent="0.2">
      <c r="A2999" s="40"/>
      <c r="B2999" s="40"/>
    </row>
    <row r="3000" spans="1:2" x14ac:dyDescent="0.2">
      <c r="A3000" s="40"/>
      <c r="B3000" s="40"/>
    </row>
    <row r="3001" spans="1:2" x14ac:dyDescent="0.2">
      <c r="A3001" s="40"/>
      <c r="B3001" s="40"/>
    </row>
    <row r="3002" spans="1:2" x14ac:dyDescent="0.2">
      <c r="A3002" s="40"/>
      <c r="B3002" s="40"/>
    </row>
    <row r="3003" spans="1:2" x14ac:dyDescent="0.2">
      <c r="A3003" s="40"/>
      <c r="B3003" s="40"/>
    </row>
    <row r="3004" spans="1:2" x14ac:dyDescent="0.2">
      <c r="A3004" s="40"/>
      <c r="B3004" s="40"/>
    </row>
    <row r="3005" spans="1:2" x14ac:dyDescent="0.2">
      <c r="A3005" s="40"/>
      <c r="B3005" s="40"/>
    </row>
    <row r="3006" spans="1:2" x14ac:dyDescent="0.2">
      <c r="A3006" s="40"/>
      <c r="B3006" s="40"/>
    </row>
    <row r="3007" spans="1:2" x14ac:dyDescent="0.2">
      <c r="A3007" s="40"/>
      <c r="B3007" s="40"/>
    </row>
    <row r="3008" spans="1:2" x14ac:dyDescent="0.2">
      <c r="A3008" s="40"/>
      <c r="B3008" s="40"/>
    </row>
    <row r="3009" spans="1:2" x14ac:dyDescent="0.2">
      <c r="A3009" s="40"/>
      <c r="B3009" s="40"/>
    </row>
    <row r="3010" spans="1:2" x14ac:dyDescent="0.2">
      <c r="A3010" s="40"/>
      <c r="B3010" s="40"/>
    </row>
    <row r="3011" spans="1:2" x14ac:dyDescent="0.2">
      <c r="A3011" s="40"/>
      <c r="B3011" s="40"/>
    </row>
    <row r="3012" spans="1:2" x14ac:dyDescent="0.2">
      <c r="A3012" s="40"/>
      <c r="B3012" s="40"/>
    </row>
    <row r="3013" spans="1:2" x14ac:dyDescent="0.2">
      <c r="A3013" s="40"/>
      <c r="B3013" s="40"/>
    </row>
    <row r="3014" spans="1:2" x14ac:dyDescent="0.2">
      <c r="A3014" s="40"/>
      <c r="B3014" s="40"/>
    </row>
    <row r="3015" spans="1:2" x14ac:dyDescent="0.2">
      <c r="A3015" s="40"/>
      <c r="B3015" s="40"/>
    </row>
    <row r="3016" spans="1:2" x14ac:dyDescent="0.2">
      <c r="A3016" s="40"/>
      <c r="B3016" s="40"/>
    </row>
    <row r="3017" spans="1:2" x14ac:dyDescent="0.2">
      <c r="A3017" s="40"/>
      <c r="B3017" s="40"/>
    </row>
    <row r="3018" spans="1:2" x14ac:dyDescent="0.2">
      <c r="A3018" s="40"/>
      <c r="B3018" s="40"/>
    </row>
    <row r="3019" spans="1:2" x14ac:dyDescent="0.2">
      <c r="A3019" s="40"/>
      <c r="B3019" s="40"/>
    </row>
    <row r="3020" spans="1:2" x14ac:dyDescent="0.2">
      <c r="A3020" s="40"/>
      <c r="B3020" s="40"/>
    </row>
    <row r="3021" spans="1:2" x14ac:dyDescent="0.2">
      <c r="A3021" s="40"/>
      <c r="B3021" s="40"/>
    </row>
    <row r="3022" spans="1:2" x14ac:dyDescent="0.2">
      <c r="A3022" s="40"/>
      <c r="B3022" s="40"/>
    </row>
    <row r="3023" spans="1:2" x14ac:dyDescent="0.2">
      <c r="A3023" s="40"/>
      <c r="B3023" s="40"/>
    </row>
    <row r="3024" spans="1:2" x14ac:dyDescent="0.2">
      <c r="A3024" s="40"/>
      <c r="B3024" s="40"/>
    </row>
    <row r="3025" spans="1:2" x14ac:dyDescent="0.2">
      <c r="A3025" s="40"/>
      <c r="B3025" s="40"/>
    </row>
    <row r="3026" spans="1:2" x14ac:dyDescent="0.2">
      <c r="A3026" s="40"/>
      <c r="B3026" s="40"/>
    </row>
    <row r="3027" spans="1:2" x14ac:dyDescent="0.2">
      <c r="A3027" s="40"/>
      <c r="B3027" s="40"/>
    </row>
    <row r="3028" spans="1:2" x14ac:dyDescent="0.2">
      <c r="A3028" s="40"/>
      <c r="B3028" s="40"/>
    </row>
    <row r="3029" spans="1:2" x14ac:dyDescent="0.2">
      <c r="A3029" s="40"/>
      <c r="B3029" s="40"/>
    </row>
    <row r="3030" spans="1:2" x14ac:dyDescent="0.2">
      <c r="A3030" s="40"/>
      <c r="B3030" s="40"/>
    </row>
    <row r="3031" spans="1:2" x14ac:dyDescent="0.2">
      <c r="A3031" s="40"/>
      <c r="B3031" s="40"/>
    </row>
    <row r="3032" spans="1:2" x14ac:dyDescent="0.2">
      <c r="A3032" s="40"/>
      <c r="B3032" s="40"/>
    </row>
    <row r="3033" spans="1:2" x14ac:dyDescent="0.2">
      <c r="A3033" s="40"/>
      <c r="B3033" s="40"/>
    </row>
    <row r="3034" spans="1:2" x14ac:dyDescent="0.2">
      <c r="A3034" s="40"/>
      <c r="B3034" s="40"/>
    </row>
    <row r="3035" spans="1:2" x14ac:dyDescent="0.2">
      <c r="A3035" s="40"/>
      <c r="B3035" s="40"/>
    </row>
    <row r="3036" spans="1:2" x14ac:dyDescent="0.2">
      <c r="A3036" s="40"/>
      <c r="B3036" s="40"/>
    </row>
    <row r="3037" spans="1:2" x14ac:dyDescent="0.2">
      <c r="A3037" s="40"/>
      <c r="B3037" s="40"/>
    </row>
    <row r="3038" spans="1:2" x14ac:dyDescent="0.2">
      <c r="A3038" s="40"/>
      <c r="B3038" s="40"/>
    </row>
    <row r="3039" spans="1:2" x14ac:dyDescent="0.2">
      <c r="A3039" s="40"/>
      <c r="B3039" s="40"/>
    </row>
    <row r="3040" spans="1:2" x14ac:dyDescent="0.2">
      <c r="A3040" s="40"/>
      <c r="B3040" s="40"/>
    </row>
    <row r="3041" spans="1:2" x14ac:dyDescent="0.2">
      <c r="A3041" s="40"/>
      <c r="B3041" s="40"/>
    </row>
    <row r="3042" spans="1:2" x14ac:dyDescent="0.2">
      <c r="A3042" s="40"/>
      <c r="B3042" s="40"/>
    </row>
    <row r="3043" spans="1:2" x14ac:dyDescent="0.2">
      <c r="A3043" s="40"/>
      <c r="B3043" s="40"/>
    </row>
    <row r="3044" spans="1:2" x14ac:dyDescent="0.2">
      <c r="A3044" s="40"/>
      <c r="B3044" s="40"/>
    </row>
    <row r="3045" spans="1:2" x14ac:dyDescent="0.2">
      <c r="A3045" s="40"/>
      <c r="B3045" s="40"/>
    </row>
    <row r="3046" spans="1:2" x14ac:dyDescent="0.2">
      <c r="A3046" s="40"/>
      <c r="B3046" s="40"/>
    </row>
    <row r="3047" spans="1:2" x14ac:dyDescent="0.2">
      <c r="A3047" s="40"/>
      <c r="B3047" s="40"/>
    </row>
    <row r="3048" spans="1:2" x14ac:dyDescent="0.2">
      <c r="A3048" s="40"/>
      <c r="B3048" s="40"/>
    </row>
    <row r="3049" spans="1:2" x14ac:dyDescent="0.2">
      <c r="A3049" s="40"/>
      <c r="B3049" s="40"/>
    </row>
    <row r="3050" spans="1:2" x14ac:dyDescent="0.2">
      <c r="A3050" s="40"/>
      <c r="B3050" s="40"/>
    </row>
    <row r="3051" spans="1:2" x14ac:dyDescent="0.2">
      <c r="A3051" s="40"/>
      <c r="B3051" s="40"/>
    </row>
    <row r="3052" spans="1:2" x14ac:dyDescent="0.2">
      <c r="A3052" s="40"/>
      <c r="B3052" s="40"/>
    </row>
    <row r="3053" spans="1:2" x14ac:dyDescent="0.2">
      <c r="A3053" s="40"/>
      <c r="B3053" s="40"/>
    </row>
    <row r="3054" spans="1:2" x14ac:dyDescent="0.2">
      <c r="A3054" s="40"/>
      <c r="B3054" s="40"/>
    </row>
    <row r="3055" spans="1:2" x14ac:dyDescent="0.2">
      <c r="A3055" s="40"/>
      <c r="B3055" s="40"/>
    </row>
    <row r="3056" spans="1:2" x14ac:dyDescent="0.2">
      <c r="A3056" s="40"/>
      <c r="B3056" s="40"/>
    </row>
    <row r="3057" spans="1:2" x14ac:dyDescent="0.2">
      <c r="A3057" s="40"/>
      <c r="B3057" s="40"/>
    </row>
    <row r="3058" spans="1:2" x14ac:dyDescent="0.2">
      <c r="A3058" s="40"/>
      <c r="B3058" s="40"/>
    </row>
    <row r="3059" spans="1:2" x14ac:dyDescent="0.2">
      <c r="A3059" s="40"/>
      <c r="B3059" s="40"/>
    </row>
    <row r="3060" spans="1:2" x14ac:dyDescent="0.2">
      <c r="A3060" s="40"/>
      <c r="B3060" s="40"/>
    </row>
    <row r="3061" spans="1:2" x14ac:dyDescent="0.2">
      <c r="A3061" s="40"/>
      <c r="B3061" s="40"/>
    </row>
    <row r="3062" spans="1:2" x14ac:dyDescent="0.2">
      <c r="A3062" s="40"/>
      <c r="B3062" s="40"/>
    </row>
    <row r="3063" spans="1:2" x14ac:dyDescent="0.2">
      <c r="A3063" s="40"/>
      <c r="B3063" s="40"/>
    </row>
    <row r="3064" spans="1:2" x14ac:dyDescent="0.2">
      <c r="A3064" s="40"/>
      <c r="B3064" s="40"/>
    </row>
    <row r="3065" spans="1:2" x14ac:dyDescent="0.2">
      <c r="A3065" s="40"/>
      <c r="B3065" s="40"/>
    </row>
    <row r="3066" spans="1:2" x14ac:dyDescent="0.2">
      <c r="A3066" s="40"/>
      <c r="B3066" s="40"/>
    </row>
    <row r="3067" spans="1:2" x14ac:dyDescent="0.2">
      <c r="A3067" s="40"/>
      <c r="B3067" s="40"/>
    </row>
    <row r="3068" spans="1:2" x14ac:dyDescent="0.2">
      <c r="A3068" s="40"/>
      <c r="B3068" s="40"/>
    </row>
    <row r="3069" spans="1:2" x14ac:dyDescent="0.2">
      <c r="A3069" s="40"/>
      <c r="B3069" s="40"/>
    </row>
    <row r="3070" spans="1:2" x14ac:dyDescent="0.2">
      <c r="A3070" s="40"/>
      <c r="B3070" s="40"/>
    </row>
    <row r="3071" spans="1:2" x14ac:dyDescent="0.2">
      <c r="A3071" s="40"/>
      <c r="B3071" s="40"/>
    </row>
    <row r="3072" spans="1:2" x14ac:dyDescent="0.2">
      <c r="A3072" s="40"/>
      <c r="B3072" s="40"/>
    </row>
    <row r="3073" spans="1:2" x14ac:dyDescent="0.2">
      <c r="A3073" s="40"/>
      <c r="B3073" s="40"/>
    </row>
    <row r="3074" spans="1:2" x14ac:dyDescent="0.2">
      <c r="A3074" s="40"/>
      <c r="B3074" s="40"/>
    </row>
    <row r="3075" spans="1:2" x14ac:dyDescent="0.2">
      <c r="A3075" s="40"/>
      <c r="B3075" s="40"/>
    </row>
    <row r="3076" spans="1:2" x14ac:dyDescent="0.2">
      <c r="A3076" s="40"/>
      <c r="B3076" s="40"/>
    </row>
    <row r="3077" spans="1:2" x14ac:dyDescent="0.2">
      <c r="A3077" s="40"/>
      <c r="B3077" s="40"/>
    </row>
    <row r="3078" spans="1:2" x14ac:dyDescent="0.2">
      <c r="A3078" s="40"/>
      <c r="B3078" s="40"/>
    </row>
    <row r="3079" spans="1:2" x14ac:dyDescent="0.2">
      <c r="A3079" s="40"/>
      <c r="B3079" s="40"/>
    </row>
    <row r="3080" spans="1:2" x14ac:dyDescent="0.2">
      <c r="A3080" s="40"/>
      <c r="B3080" s="40"/>
    </row>
    <row r="3081" spans="1:2" x14ac:dyDescent="0.2">
      <c r="A3081" s="40"/>
      <c r="B3081" s="40"/>
    </row>
    <row r="3082" spans="1:2" x14ac:dyDescent="0.2">
      <c r="A3082" s="40"/>
      <c r="B3082" s="40"/>
    </row>
    <row r="3083" spans="1:2" x14ac:dyDescent="0.2">
      <c r="A3083" s="40"/>
      <c r="B3083" s="40"/>
    </row>
    <row r="3084" spans="1:2" x14ac:dyDescent="0.2">
      <c r="A3084" s="40"/>
      <c r="B3084" s="40"/>
    </row>
    <row r="3085" spans="1:2" x14ac:dyDescent="0.2">
      <c r="A3085" s="40"/>
      <c r="B3085" s="40"/>
    </row>
    <row r="3086" spans="1:2" x14ac:dyDescent="0.2">
      <c r="A3086" s="40"/>
      <c r="B3086" s="40"/>
    </row>
    <row r="3087" spans="1:2" x14ac:dyDescent="0.2">
      <c r="A3087" s="40"/>
      <c r="B3087" s="40"/>
    </row>
    <row r="3088" spans="1:2" x14ac:dyDescent="0.2">
      <c r="A3088" s="40"/>
      <c r="B3088" s="40"/>
    </row>
    <row r="3089" spans="1:2" x14ac:dyDescent="0.2">
      <c r="A3089" s="40"/>
      <c r="B3089" s="40"/>
    </row>
    <row r="3090" spans="1:2" x14ac:dyDescent="0.2">
      <c r="A3090" s="40"/>
      <c r="B3090" s="40"/>
    </row>
    <row r="3091" spans="1:2" x14ac:dyDescent="0.2">
      <c r="A3091" s="40"/>
      <c r="B3091" s="40"/>
    </row>
    <row r="3092" spans="1:2" x14ac:dyDescent="0.2">
      <c r="A3092" s="40"/>
      <c r="B3092" s="40"/>
    </row>
    <row r="3093" spans="1:2" x14ac:dyDescent="0.2">
      <c r="A3093" s="40"/>
      <c r="B3093" s="40"/>
    </row>
    <row r="3094" spans="1:2" x14ac:dyDescent="0.2">
      <c r="A3094" s="40"/>
      <c r="B3094" s="40"/>
    </row>
    <row r="3095" spans="1:2" x14ac:dyDescent="0.2">
      <c r="A3095" s="40"/>
      <c r="B3095" s="40"/>
    </row>
    <row r="3096" spans="1:2" x14ac:dyDescent="0.2">
      <c r="A3096" s="40"/>
      <c r="B3096" s="40"/>
    </row>
    <row r="3097" spans="1:2" x14ac:dyDescent="0.2">
      <c r="A3097" s="40"/>
      <c r="B3097" s="40"/>
    </row>
    <row r="3098" spans="1:2" x14ac:dyDescent="0.2">
      <c r="A3098" s="40"/>
      <c r="B3098" s="40"/>
    </row>
    <row r="3099" spans="1:2" x14ac:dyDescent="0.2">
      <c r="A3099" s="40"/>
      <c r="B3099" s="40"/>
    </row>
    <row r="3100" spans="1:2" x14ac:dyDescent="0.2">
      <c r="A3100" s="40"/>
      <c r="B3100" s="40"/>
    </row>
    <row r="3101" spans="1:2" x14ac:dyDescent="0.2">
      <c r="A3101" s="40"/>
      <c r="B3101" s="40"/>
    </row>
    <row r="3102" spans="1:2" x14ac:dyDescent="0.2">
      <c r="A3102" s="40"/>
      <c r="B3102" s="40"/>
    </row>
    <row r="3103" spans="1:2" x14ac:dyDescent="0.2">
      <c r="A3103" s="40"/>
      <c r="B3103" s="40"/>
    </row>
    <row r="3104" spans="1:2" x14ac:dyDescent="0.2">
      <c r="A3104" s="40"/>
      <c r="B3104" s="40"/>
    </row>
    <row r="3105" spans="1:2" x14ac:dyDescent="0.2">
      <c r="A3105" s="40"/>
      <c r="B3105" s="40"/>
    </row>
    <row r="3106" spans="1:2" x14ac:dyDescent="0.2">
      <c r="A3106" s="40"/>
      <c r="B3106" s="40"/>
    </row>
    <row r="3107" spans="1:2" x14ac:dyDescent="0.2">
      <c r="A3107" s="40"/>
      <c r="B3107" s="40"/>
    </row>
    <row r="3108" spans="1:2" x14ac:dyDescent="0.2">
      <c r="A3108" s="40"/>
      <c r="B3108" s="40"/>
    </row>
    <row r="3109" spans="1:2" x14ac:dyDescent="0.2">
      <c r="A3109" s="40"/>
      <c r="B3109" s="40"/>
    </row>
    <row r="3110" spans="1:2" x14ac:dyDescent="0.2">
      <c r="A3110" s="40"/>
      <c r="B3110" s="40"/>
    </row>
    <row r="3111" spans="1:2" x14ac:dyDescent="0.2">
      <c r="A3111" s="40"/>
      <c r="B3111" s="40"/>
    </row>
    <row r="3112" spans="1:2" x14ac:dyDescent="0.2">
      <c r="A3112" s="40"/>
      <c r="B3112" s="40"/>
    </row>
    <row r="3113" spans="1:2" x14ac:dyDescent="0.2">
      <c r="A3113" s="40"/>
      <c r="B3113" s="40"/>
    </row>
    <row r="3114" spans="1:2" x14ac:dyDescent="0.2">
      <c r="A3114" s="40"/>
      <c r="B3114" s="40"/>
    </row>
    <row r="3115" spans="1:2" x14ac:dyDescent="0.2">
      <c r="A3115" s="40"/>
      <c r="B3115" s="40"/>
    </row>
    <row r="3116" spans="1:2" x14ac:dyDescent="0.2">
      <c r="A3116" s="40"/>
      <c r="B3116" s="40"/>
    </row>
    <row r="3117" spans="1:2" x14ac:dyDescent="0.2">
      <c r="A3117" s="40"/>
      <c r="B3117" s="40"/>
    </row>
    <row r="3118" spans="1:2" x14ac:dyDescent="0.2">
      <c r="A3118" s="40"/>
      <c r="B3118" s="40"/>
    </row>
    <row r="3119" spans="1:2" x14ac:dyDescent="0.2">
      <c r="A3119" s="40"/>
      <c r="B3119" s="40"/>
    </row>
    <row r="3120" spans="1:2" x14ac:dyDescent="0.2">
      <c r="A3120" s="40"/>
      <c r="B3120" s="40"/>
    </row>
    <row r="3121" spans="1:2" x14ac:dyDescent="0.2">
      <c r="A3121" s="40"/>
      <c r="B3121" s="40"/>
    </row>
    <row r="3122" spans="1:2" x14ac:dyDescent="0.2">
      <c r="A3122" s="40"/>
      <c r="B3122" s="40"/>
    </row>
    <row r="3123" spans="1:2" x14ac:dyDescent="0.2">
      <c r="A3123" s="40"/>
      <c r="B3123" s="40"/>
    </row>
    <row r="3124" spans="1:2" x14ac:dyDescent="0.2">
      <c r="A3124" s="40"/>
      <c r="B3124" s="40"/>
    </row>
    <row r="3125" spans="1:2" x14ac:dyDescent="0.2">
      <c r="A3125" s="40"/>
      <c r="B3125" s="40"/>
    </row>
    <row r="3126" spans="1:2" x14ac:dyDescent="0.2">
      <c r="A3126" s="40"/>
      <c r="B3126" s="40"/>
    </row>
    <row r="3127" spans="1:2" x14ac:dyDescent="0.2">
      <c r="A3127" s="40"/>
      <c r="B3127" s="40"/>
    </row>
    <row r="3128" spans="1:2" x14ac:dyDescent="0.2">
      <c r="A3128" s="40"/>
      <c r="B3128" s="40"/>
    </row>
    <row r="3129" spans="1:2" x14ac:dyDescent="0.2">
      <c r="A3129" s="40"/>
      <c r="B3129" s="40"/>
    </row>
    <row r="3130" spans="1:2" x14ac:dyDescent="0.2">
      <c r="A3130" s="40"/>
      <c r="B3130" s="40"/>
    </row>
    <row r="3131" spans="1:2" x14ac:dyDescent="0.2">
      <c r="A3131" s="40"/>
      <c r="B3131" s="40"/>
    </row>
    <row r="3132" spans="1:2" x14ac:dyDescent="0.2">
      <c r="A3132" s="40"/>
      <c r="B3132" s="40"/>
    </row>
    <row r="3133" spans="1:2" x14ac:dyDescent="0.2">
      <c r="A3133" s="40"/>
      <c r="B3133" s="40"/>
    </row>
    <row r="3134" spans="1:2" x14ac:dyDescent="0.2">
      <c r="A3134" s="40"/>
      <c r="B3134" s="40"/>
    </row>
    <row r="3135" spans="1:2" x14ac:dyDescent="0.2">
      <c r="A3135" s="40"/>
      <c r="B3135" s="40"/>
    </row>
    <row r="3136" spans="1:2" x14ac:dyDescent="0.2">
      <c r="A3136" s="40"/>
      <c r="B3136" s="40"/>
    </row>
    <row r="3137" spans="1:2" x14ac:dyDescent="0.2">
      <c r="A3137" s="40"/>
      <c r="B3137" s="40"/>
    </row>
    <row r="3138" spans="1:2" x14ac:dyDescent="0.2">
      <c r="A3138" s="40"/>
      <c r="B3138" s="40"/>
    </row>
    <row r="3139" spans="1:2" x14ac:dyDescent="0.2">
      <c r="A3139" s="40"/>
      <c r="B3139" s="40"/>
    </row>
    <row r="3140" spans="1:2" x14ac:dyDescent="0.2">
      <c r="A3140" s="40"/>
      <c r="B3140" s="40"/>
    </row>
    <row r="3141" spans="1:2" x14ac:dyDescent="0.2">
      <c r="A3141" s="40"/>
      <c r="B3141" s="40"/>
    </row>
    <row r="3142" spans="1:2" x14ac:dyDescent="0.2">
      <c r="A3142" s="40"/>
      <c r="B3142" s="40"/>
    </row>
    <row r="3143" spans="1:2" x14ac:dyDescent="0.2">
      <c r="A3143" s="40"/>
      <c r="B3143" s="40"/>
    </row>
    <row r="3144" spans="1:2" x14ac:dyDescent="0.2">
      <c r="A3144" s="40"/>
      <c r="B3144" s="40"/>
    </row>
    <row r="3145" spans="1:2" x14ac:dyDescent="0.2">
      <c r="A3145" s="40"/>
      <c r="B3145" s="40"/>
    </row>
    <row r="3146" spans="1:2" x14ac:dyDescent="0.2">
      <c r="A3146" s="40"/>
      <c r="B3146" s="40"/>
    </row>
    <row r="3147" spans="1:2" x14ac:dyDescent="0.2">
      <c r="A3147" s="40"/>
      <c r="B3147" s="40"/>
    </row>
    <row r="3148" spans="1:2" x14ac:dyDescent="0.2">
      <c r="A3148" s="40"/>
      <c r="B3148" s="40"/>
    </row>
    <row r="3149" spans="1:2" x14ac:dyDescent="0.2">
      <c r="A3149" s="40"/>
      <c r="B3149" s="40"/>
    </row>
    <row r="3150" spans="1:2" x14ac:dyDescent="0.2">
      <c r="A3150" s="40"/>
      <c r="B3150" s="40"/>
    </row>
    <row r="3151" spans="1:2" x14ac:dyDescent="0.2">
      <c r="A3151" s="40"/>
      <c r="B3151" s="40"/>
    </row>
    <row r="3152" spans="1:2" x14ac:dyDescent="0.2">
      <c r="A3152" s="40"/>
      <c r="B3152" s="40"/>
    </row>
    <row r="3153" spans="1:2" x14ac:dyDescent="0.2">
      <c r="A3153" s="40"/>
      <c r="B3153" s="40"/>
    </row>
    <row r="3154" spans="1:2" x14ac:dyDescent="0.2">
      <c r="A3154" s="40"/>
      <c r="B3154" s="40"/>
    </row>
    <row r="3155" spans="1:2" x14ac:dyDescent="0.2">
      <c r="A3155" s="40"/>
      <c r="B3155" s="40"/>
    </row>
    <row r="3156" spans="1:2" x14ac:dyDescent="0.2">
      <c r="A3156" s="40"/>
      <c r="B3156" s="40"/>
    </row>
    <row r="3157" spans="1:2" x14ac:dyDescent="0.2">
      <c r="A3157" s="40"/>
      <c r="B3157" s="40"/>
    </row>
    <row r="3158" spans="1:2" x14ac:dyDescent="0.2">
      <c r="A3158" s="40"/>
      <c r="B3158" s="40"/>
    </row>
    <row r="3159" spans="1:2" x14ac:dyDescent="0.2">
      <c r="A3159" s="40"/>
      <c r="B3159" s="40"/>
    </row>
    <row r="3160" spans="1:2" x14ac:dyDescent="0.2">
      <c r="A3160" s="40"/>
      <c r="B3160" s="40"/>
    </row>
    <row r="3161" spans="1:2" x14ac:dyDescent="0.2">
      <c r="A3161" s="40"/>
      <c r="B3161" s="40"/>
    </row>
    <row r="3162" spans="1:2" x14ac:dyDescent="0.2">
      <c r="A3162" s="40"/>
      <c r="B3162" s="40"/>
    </row>
    <row r="3163" spans="1:2" x14ac:dyDescent="0.2">
      <c r="A3163" s="40"/>
      <c r="B3163" s="40"/>
    </row>
    <row r="3164" spans="1:2" x14ac:dyDescent="0.2">
      <c r="A3164" s="40"/>
      <c r="B3164" s="40"/>
    </row>
    <row r="3165" spans="1:2" x14ac:dyDescent="0.2">
      <c r="A3165" s="40"/>
      <c r="B3165" s="40"/>
    </row>
    <row r="3166" spans="1:2" x14ac:dyDescent="0.2">
      <c r="A3166" s="40"/>
      <c r="B3166" s="40"/>
    </row>
    <row r="3167" spans="1:2" x14ac:dyDescent="0.2">
      <c r="A3167" s="40"/>
      <c r="B3167" s="40"/>
    </row>
    <row r="3168" spans="1:2" x14ac:dyDescent="0.2">
      <c r="A3168" s="40"/>
      <c r="B3168" s="40"/>
    </row>
    <row r="3169" spans="1:2" x14ac:dyDescent="0.2">
      <c r="A3169" s="40"/>
      <c r="B3169" s="40"/>
    </row>
    <row r="3170" spans="1:2" x14ac:dyDescent="0.2">
      <c r="A3170" s="40"/>
      <c r="B3170" s="40"/>
    </row>
    <row r="3171" spans="1:2" x14ac:dyDescent="0.2">
      <c r="A3171" s="40"/>
      <c r="B3171" s="40"/>
    </row>
    <row r="3172" spans="1:2" x14ac:dyDescent="0.2">
      <c r="A3172" s="40"/>
      <c r="B3172" s="40"/>
    </row>
    <row r="3173" spans="1:2" x14ac:dyDescent="0.2">
      <c r="A3173" s="40"/>
      <c r="B3173" s="40"/>
    </row>
    <row r="3174" spans="1:2" x14ac:dyDescent="0.2">
      <c r="A3174" s="40"/>
      <c r="B3174" s="40"/>
    </row>
    <row r="3175" spans="1:2" x14ac:dyDescent="0.2">
      <c r="A3175" s="40"/>
      <c r="B3175" s="40"/>
    </row>
    <row r="3176" spans="1:2" x14ac:dyDescent="0.2">
      <c r="A3176" s="40"/>
      <c r="B3176" s="40"/>
    </row>
    <row r="3177" spans="1:2" x14ac:dyDescent="0.2">
      <c r="A3177" s="40"/>
      <c r="B3177" s="40"/>
    </row>
    <row r="3178" spans="1:2" x14ac:dyDescent="0.2">
      <c r="A3178" s="40"/>
      <c r="B3178" s="40"/>
    </row>
    <row r="3179" spans="1:2" x14ac:dyDescent="0.2">
      <c r="A3179" s="40"/>
      <c r="B3179" s="40"/>
    </row>
    <row r="3180" spans="1:2" x14ac:dyDescent="0.2">
      <c r="A3180" s="40"/>
      <c r="B3180" s="40"/>
    </row>
    <row r="3181" spans="1:2" x14ac:dyDescent="0.2">
      <c r="A3181" s="40"/>
      <c r="B3181" s="40"/>
    </row>
    <row r="3182" spans="1:2" x14ac:dyDescent="0.2">
      <c r="A3182" s="40"/>
      <c r="B3182" s="40"/>
    </row>
    <row r="3183" spans="1:2" x14ac:dyDescent="0.2">
      <c r="A3183" s="40"/>
      <c r="B3183" s="40"/>
    </row>
    <row r="3184" spans="1:2" x14ac:dyDescent="0.2">
      <c r="A3184" s="40"/>
      <c r="B3184" s="40"/>
    </row>
    <row r="3185" spans="1:2" x14ac:dyDescent="0.2">
      <c r="A3185" s="40"/>
      <c r="B3185" s="40"/>
    </row>
    <row r="3186" spans="1:2" x14ac:dyDescent="0.2">
      <c r="A3186" s="40"/>
      <c r="B3186" s="40"/>
    </row>
    <row r="3187" spans="1:2" x14ac:dyDescent="0.2">
      <c r="A3187" s="40"/>
      <c r="B3187" s="40"/>
    </row>
    <row r="3188" spans="1:2" x14ac:dyDescent="0.2">
      <c r="A3188" s="40"/>
      <c r="B3188" s="40"/>
    </row>
    <row r="3189" spans="1:2" x14ac:dyDescent="0.2">
      <c r="A3189" s="40"/>
      <c r="B3189" s="40"/>
    </row>
    <row r="3190" spans="1:2" x14ac:dyDescent="0.2">
      <c r="A3190" s="40"/>
      <c r="B3190" s="40"/>
    </row>
    <row r="3191" spans="1:2" x14ac:dyDescent="0.2">
      <c r="A3191" s="40"/>
      <c r="B3191" s="40"/>
    </row>
    <row r="3192" spans="1:2" x14ac:dyDescent="0.2">
      <c r="A3192" s="40"/>
      <c r="B3192" s="40"/>
    </row>
    <row r="3193" spans="1:2" x14ac:dyDescent="0.2">
      <c r="A3193" s="40"/>
      <c r="B3193" s="40"/>
    </row>
    <row r="3194" spans="1:2" x14ac:dyDescent="0.2">
      <c r="A3194" s="40"/>
      <c r="B3194" s="40"/>
    </row>
    <row r="3195" spans="1:2" x14ac:dyDescent="0.2">
      <c r="A3195" s="40"/>
      <c r="B3195" s="40"/>
    </row>
    <row r="3196" spans="1:2" x14ac:dyDescent="0.2">
      <c r="A3196" s="40"/>
      <c r="B3196" s="40"/>
    </row>
    <row r="3197" spans="1:2" x14ac:dyDescent="0.2">
      <c r="A3197" s="40"/>
      <c r="B3197" s="40"/>
    </row>
    <row r="3198" spans="1:2" x14ac:dyDescent="0.2">
      <c r="A3198" s="40"/>
      <c r="B3198" s="40"/>
    </row>
    <row r="3199" spans="1:2" x14ac:dyDescent="0.2">
      <c r="A3199" s="40"/>
      <c r="B3199" s="40"/>
    </row>
    <row r="3200" spans="1:2" x14ac:dyDescent="0.2">
      <c r="A3200" s="40"/>
      <c r="B3200" s="40"/>
    </row>
    <row r="3201" spans="1:2" x14ac:dyDescent="0.2">
      <c r="A3201" s="40"/>
      <c r="B3201" s="40"/>
    </row>
    <row r="3202" spans="1:2" x14ac:dyDescent="0.2">
      <c r="A3202" s="40"/>
      <c r="B3202" s="40"/>
    </row>
    <row r="3203" spans="1:2" x14ac:dyDescent="0.2">
      <c r="A3203" s="40"/>
      <c r="B3203" s="40"/>
    </row>
    <row r="3204" spans="1:2" x14ac:dyDescent="0.2">
      <c r="A3204" s="40"/>
      <c r="B3204" s="40"/>
    </row>
    <row r="3205" spans="1:2" x14ac:dyDescent="0.2">
      <c r="A3205" s="40"/>
      <c r="B3205" s="40"/>
    </row>
    <row r="3206" spans="1:2" x14ac:dyDescent="0.2">
      <c r="A3206" s="40"/>
      <c r="B3206" s="40"/>
    </row>
    <row r="3207" spans="1:2" x14ac:dyDescent="0.2">
      <c r="A3207" s="40"/>
      <c r="B3207" s="40"/>
    </row>
    <row r="3208" spans="1:2" x14ac:dyDescent="0.2">
      <c r="A3208" s="40"/>
      <c r="B3208" s="40"/>
    </row>
    <row r="3209" spans="1:2" x14ac:dyDescent="0.2">
      <c r="A3209" s="40"/>
      <c r="B3209" s="40"/>
    </row>
    <row r="3210" spans="1:2" x14ac:dyDescent="0.2">
      <c r="A3210" s="40"/>
      <c r="B3210" s="40"/>
    </row>
    <row r="3211" spans="1:2" x14ac:dyDescent="0.2">
      <c r="A3211" s="40"/>
      <c r="B3211" s="40"/>
    </row>
    <row r="3212" spans="1:2" x14ac:dyDescent="0.2">
      <c r="A3212" s="40"/>
      <c r="B3212" s="40"/>
    </row>
    <row r="3213" spans="1:2" x14ac:dyDescent="0.2">
      <c r="A3213" s="40"/>
      <c r="B3213" s="40"/>
    </row>
    <row r="3214" spans="1:2" x14ac:dyDescent="0.2">
      <c r="A3214" s="40"/>
      <c r="B3214" s="40"/>
    </row>
    <row r="3215" spans="1:2" x14ac:dyDescent="0.2">
      <c r="A3215" s="40"/>
      <c r="B3215" s="40"/>
    </row>
    <row r="3216" spans="1:2" x14ac:dyDescent="0.2">
      <c r="A3216" s="40"/>
      <c r="B3216" s="40"/>
    </row>
    <row r="3217" spans="1:2" x14ac:dyDescent="0.2">
      <c r="A3217" s="40"/>
      <c r="B3217" s="40"/>
    </row>
    <row r="3218" spans="1:2" x14ac:dyDescent="0.2">
      <c r="A3218" s="40"/>
      <c r="B3218" s="40"/>
    </row>
    <row r="3219" spans="1:2" x14ac:dyDescent="0.2">
      <c r="A3219" s="40"/>
      <c r="B3219" s="40"/>
    </row>
    <row r="3220" spans="1:2" x14ac:dyDescent="0.2">
      <c r="A3220" s="40"/>
      <c r="B3220" s="40"/>
    </row>
    <row r="3221" spans="1:2" x14ac:dyDescent="0.2">
      <c r="A3221" s="40"/>
      <c r="B3221" s="40"/>
    </row>
    <row r="3222" spans="1:2" x14ac:dyDescent="0.2">
      <c r="A3222" s="40"/>
      <c r="B3222" s="40"/>
    </row>
    <row r="3223" spans="1:2" x14ac:dyDescent="0.2">
      <c r="A3223" s="40"/>
      <c r="B3223" s="40"/>
    </row>
    <row r="3224" spans="1:2" x14ac:dyDescent="0.2">
      <c r="A3224" s="40"/>
      <c r="B3224" s="40"/>
    </row>
    <row r="3225" spans="1:2" x14ac:dyDescent="0.2">
      <c r="A3225" s="40"/>
      <c r="B3225" s="40"/>
    </row>
    <row r="3226" spans="1:2" x14ac:dyDescent="0.2">
      <c r="A3226" s="40"/>
      <c r="B3226" s="40"/>
    </row>
    <row r="3227" spans="1:2" x14ac:dyDescent="0.2">
      <c r="A3227" s="40"/>
      <c r="B3227" s="40"/>
    </row>
    <row r="3228" spans="1:2" x14ac:dyDescent="0.2">
      <c r="A3228" s="40"/>
      <c r="B3228" s="40"/>
    </row>
    <row r="3229" spans="1:2" x14ac:dyDescent="0.2">
      <c r="A3229" s="40"/>
      <c r="B3229" s="40"/>
    </row>
    <row r="3230" spans="1:2" x14ac:dyDescent="0.2">
      <c r="A3230" s="40"/>
      <c r="B3230" s="40"/>
    </row>
    <row r="3231" spans="1:2" x14ac:dyDescent="0.2">
      <c r="A3231" s="40"/>
      <c r="B3231" s="40"/>
    </row>
    <row r="3232" spans="1:2" x14ac:dyDescent="0.2">
      <c r="A3232" s="40"/>
      <c r="B3232" s="40"/>
    </row>
    <row r="3233" spans="1:2" x14ac:dyDescent="0.2">
      <c r="A3233" s="40"/>
      <c r="B3233" s="40"/>
    </row>
    <row r="3234" spans="1:2" x14ac:dyDescent="0.2">
      <c r="A3234" s="40"/>
      <c r="B3234" s="40"/>
    </row>
    <row r="3235" spans="1:2" x14ac:dyDescent="0.2">
      <c r="A3235" s="40"/>
      <c r="B3235" s="40"/>
    </row>
    <row r="3236" spans="1:2" x14ac:dyDescent="0.2">
      <c r="A3236" s="40"/>
      <c r="B3236" s="40"/>
    </row>
    <row r="3237" spans="1:2" x14ac:dyDescent="0.2">
      <c r="A3237" s="40"/>
      <c r="B3237" s="40"/>
    </row>
    <row r="3238" spans="1:2" x14ac:dyDescent="0.2">
      <c r="A3238" s="40"/>
      <c r="B3238" s="40"/>
    </row>
    <row r="3239" spans="1:2" x14ac:dyDescent="0.2">
      <c r="A3239" s="40"/>
      <c r="B3239" s="40"/>
    </row>
    <row r="3240" spans="1:2" x14ac:dyDescent="0.2">
      <c r="A3240" s="40"/>
      <c r="B3240" s="40"/>
    </row>
    <row r="3241" spans="1:2" x14ac:dyDescent="0.2">
      <c r="A3241" s="40"/>
      <c r="B3241" s="40"/>
    </row>
    <row r="3242" spans="1:2" x14ac:dyDescent="0.2">
      <c r="A3242" s="40"/>
      <c r="B3242" s="40"/>
    </row>
    <row r="3243" spans="1:2" x14ac:dyDescent="0.2">
      <c r="A3243" s="40"/>
      <c r="B3243" s="40"/>
    </row>
    <row r="3244" spans="1:2" x14ac:dyDescent="0.2">
      <c r="A3244" s="40"/>
      <c r="B3244" s="40"/>
    </row>
    <row r="3245" spans="1:2" x14ac:dyDescent="0.2">
      <c r="A3245" s="40"/>
      <c r="B3245" s="40"/>
    </row>
    <row r="3246" spans="1:2" x14ac:dyDescent="0.2">
      <c r="A3246" s="40"/>
      <c r="B3246" s="40"/>
    </row>
    <row r="3247" spans="1:2" x14ac:dyDescent="0.2">
      <c r="A3247" s="40"/>
      <c r="B3247" s="40"/>
    </row>
    <row r="3248" spans="1:2" x14ac:dyDescent="0.2">
      <c r="A3248" s="40"/>
      <c r="B3248" s="40"/>
    </row>
    <row r="3249" spans="1:2" x14ac:dyDescent="0.2">
      <c r="A3249" s="40"/>
      <c r="B3249" s="40"/>
    </row>
    <row r="3250" spans="1:2" x14ac:dyDescent="0.2">
      <c r="A3250" s="40"/>
      <c r="B3250" s="40"/>
    </row>
    <row r="3251" spans="1:2" x14ac:dyDescent="0.2">
      <c r="A3251" s="40"/>
      <c r="B3251" s="40"/>
    </row>
    <row r="3252" spans="1:2" x14ac:dyDescent="0.2">
      <c r="A3252" s="40"/>
      <c r="B3252" s="40"/>
    </row>
    <row r="3253" spans="1:2" x14ac:dyDescent="0.2">
      <c r="A3253" s="40"/>
      <c r="B3253" s="40"/>
    </row>
    <row r="3254" spans="1:2" x14ac:dyDescent="0.2">
      <c r="A3254" s="40"/>
      <c r="B3254" s="40"/>
    </row>
    <row r="3255" spans="1:2" x14ac:dyDescent="0.2">
      <c r="A3255" s="40"/>
      <c r="B3255" s="40"/>
    </row>
    <row r="3256" spans="1:2" x14ac:dyDescent="0.2">
      <c r="A3256" s="40"/>
      <c r="B3256" s="40"/>
    </row>
    <row r="3257" spans="1:2" x14ac:dyDescent="0.2">
      <c r="A3257" s="40"/>
      <c r="B3257" s="40"/>
    </row>
    <row r="3258" spans="1:2" x14ac:dyDescent="0.2">
      <c r="A3258" s="40"/>
      <c r="B3258" s="40"/>
    </row>
    <row r="3259" spans="1:2" x14ac:dyDescent="0.2">
      <c r="A3259" s="40"/>
      <c r="B3259" s="40"/>
    </row>
    <row r="3260" spans="1:2" x14ac:dyDescent="0.2">
      <c r="A3260" s="40"/>
      <c r="B3260" s="40"/>
    </row>
    <row r="3261" spans="1:2" x14ac:dyDescent="0.2">
      <c r="A3261" s="40"/>
      <c r="B3261" s="40"/>
    </row>
    <row r="3262" spans="1:2" x14ac:dyDescent="0.2">
      <c r="A3262" s="40"/>
      <c r="B3262" s="40"/>
    </row>
    <row r="3263" spans="1:2" x14ac:dyDescent="0.2">
      <c r="A3263" s="40"/>
      <c r="B3263" s="40"/>
    </row>
    <row r="3264" spans="1:2" x14ac:dyDescent="0.2">
      <c r="A3264" s="40"/>
      <c r="B3264" s="40"/>
    </row>
    <row r="3265" spans="1:2" x14ac:dyDescent="0.2">
      <c r="A3265" s="40"/>
      <c r="B3265" s="40"/>
    </row>
    <row r="3266" spans="1:2" x14ac:dyDescent="0.2">
      <c r="A3266" s="40"/>
      <c r="B3266" s="40"/>
    </row>
    <row r="3267" spans="1:2" x14ac:dyDescent="0.2">
      <c r="A3267" s="40"/>
      <c r="B3267" s="40"/>
    </row>
    <row r="3268" spans="1:2" x14ac:dyDescent="0.2">
      <c r="A3268" s="40"/>
      <c r="B3268" s="40"/>
    </row>
    <row r="3269" spans="1:2" x14ac:dyDescent="0.2">
      <c r="A3269" s="40"/>
      <c r="B3269" s="40"/>
    </row>
    <row r="3270" spans="1:2" x14ac:dyDescent="0.2">
      <c r="A3270" s="40"/>
      <c r="B3270" s="40"/>
    </row>
    <row r="3271" spans="1:2" x14ac:dyDescent="0.2">
      <c r="A3271" s="40"/>
      <c r="B3271" s="40"/>
    </row>
    <row r="3272" spans="1:2" x14ac:dyDescent="0.2">
      <c r="A3272" s="40"/>
      <c r="B3272" s="40"/>
    </row>
    <row r="3273" spans="1:2" x14ac:dyDescent="0.2">
      <c r="A3273" s="40"/>
      <c r="B3273" s="40"/>
    </row>
    <row r="3274" spans="1:2" x14ac:dyDescent="0.2">
      <c r="A3274" s="40"/>
      <c r="B3274" s="40"/>
    </row>
    <row r="3275" spans="1:2" x14ac:dyDescent="0.2">
      <c r="A3275" s="40"/>
      <c r="B3275" s="40"/>
    </row>
    <row r="3276" spans="1:2" x14ac:dyDescent="0.2">
      <c r="A3276" s="40"/>
      <c r="B3276" s="40"/>
    </row>
    <row r="3277" spans="1:2" x14ac:dyDescent="0.2">
      <c r="A3277" s="40"/>
      <c r="B3277" s="40"/>
    </row>
    <row r="3278" spans="1:2" x14ac:dyDescent="0.2">
      <c r="A3278" s="40"/>
      <c r="B3278" s="40"/>
    </row>
    <row r="3279" spans="1:2" x14ac:dyDescent="0.2">
      <c r="A3279" s="40"/>
      <c r="B3279" s="40"/>
    </row>
    <row r="3280" spans="1:2" x14ac:dyDescent="0.2">
      <c r="A3280" s="40"/>
      <c r="B3280" s="40"/>
    </row>
    <row r="3281" spans="1:2" x14ac:dyDescent="0.2">
      <c r="A3281" s="40"/>
      <c r="B3281" s="40"/>
    </row>
    <row r="3282" spans="1:2" x14ac:dyDescent="0.2">
      <c r="A3282" s="40"/>
      <c r="B3282" s="40"/>
    </row>
    <row r="3283" spans="1:2" x14ac:dyDescent="0.2">
      <c r="A3283" s="40"/>
      <c r="B3283" s="40"/>
    </row>
    <row r="3284" spans="1:2" x14ac:dyDescent="0.2">
      <c r="A3284" s="40"/>
      <c r="B3284" s="40"/>
    </row>
    <row r="3285" spans="1:2" x14ac:dyDescent="0.2">
      <c r="A3285" s="40"/>
      <c r="B3285" s="40"/>
    </row>
    <row r="3286" spans="1:2" x14ac:dyDescent="0.2">
      <c r="A3286" s="40"/>
      <c r="B3286" s="40"/>
    </row>
    <row r="3287" spans="1:2" x14ac:dyDescent="0.2">
      <c r="A3287" s="40"/>
      <c r="B3287" s="40"/>
    </row>
    <row r="3288" spans="1:2" x14ac:dyDescent="0.2">
      <c r="A3288" s="40"/>
      <c r="B3288" s="40"/>
    </row>
    <row r="3289" spans="1:2" x14ac:dyDescent="0.2">
      <c r="A3289" s="40"/>
      <c r="B3289" s="40"/>
    </row>
    <row r="3290" spans="1:2" x14ac:dyDescent="0.2">
      <c r="A3290" s="40"/>
      <c r="B3290" s="40"/>
    </row>
    <row r="3291" spans="1:2" x14ac:dyDescent="0.2">
      <c r="A3291" s="40"/>
      <c r="B3291" s="40"/>
    </row>
    <row r="3292" spans="1:2" x14ac:dyDescent="0.2">
      <c r="A3292" s="40"/>
      <c r="B3292" s="40"/>
    </row>
    <row r="3293" spans="1:2" x14ac:dyDescent="0.2">
      <c r="A3293" s="40"/>
      <c r="B3293" s="40"/>
    </row>
    <row r="3294" spans="1:2" x14ac:dyDescent="0.2">
      <c r="A3294" s="40"/>
      <c r="B3294" s="40"/>
    </row>
    <row r="3295" spans="1:2" x14ac:dyDescent="0.2">
      <c r="A3295" s="40"/>
      <c r="B3295" s="40"/>
    </row>
    <row r="3296" spans="1:2" x14ac:dyDescent="0.2">
      <c r="A3296" s="40"/>
      <c r="B3296" s="40"/>
    </row>
    <row r="3297" spans="1:2" x14ac:dyDescent="0.2">
      <c r="A3297" s="40"/>
      <c r="B3297" s="40"/>
    </row>
    <row r="3298" spans="1:2" x14ac:dyDescent="0.2">
      <c r="A3298" s="40"/>
      <c r="B3298" s="40"/>
    </row>
    <row r="3299" spans="1:2" x14ac:dyDescent="0.2">
      <c r="A3299" s="40"/>
      <c r="B3299" s="40"/>
    </row>
    <row r="3300" spans="1:2" x14ac:dyDescent="0.2">
      <c r="A3300" s="40"/>
      <c r="B3300" s="40"/>
    </row>
    <row r="3301" spans="1:2" x14ac:dyDescent="0.2">
      <c r="A3301" s="40"/>
      <c r="B3301" s="40"/>
    </row>
    <row r="3302" spans="1:2" x14ac:dyDescent="0.2">
      <c r="A3302" s="40"/>
      <c r="B3302" s="40"/>
    </row>
    <row r="3303" spans="1:2" x14ac:dyDescent="0.2">
      <c r="A3303" s="40"/>
      <c r="B3303" s="40"/>
    </row>
    <row r="3304" spans="1:2" x14ac:dyDescent="0.2">
      <c r="A3304" s="40"/>
      <c r="B3304" s="40"/>
    </row>
    <row r="3305" spans="1:2" x14ac:dyDescent="0.2">
      <c r="A3305" s="40"/>
      <c r="B3305" s="40"/>
    </row>
    <row r="3306" spans="1:2" x14ac:dyDescent="0.2">
      <c r="A3306" s="40"/>
      <c r="B3306" s="40"/>
    </row>
    <row r="3307" spans="1:2" x14ac:dyDescent="0.2">
      <c r="A3307" s="40"/>
      <c r="B3307" s="40"/>
    </row>
    <row r="3308" spans="1:2" x14ac:dyDescent="0.2">
      <c r="A3308" s="40"/>
      <c r="B3308" s="40"/>
    </row>
    <row r="3309" spans="1:2" x14ac:dyDescent="0.2">
      <c r="A3309" s="40"/>
      <c r="B3309" s="40"/>
    </row>
    <row r="3310" spans="1:2" x14ac:dyDescent="0.2">
      <c r="A3310" s="40"/>
      <c r="B3310" s="40"/>
    </row>
    <row r="3311" spans="1:2" x14ac:dyDescent="0.2">
      <c r="A3311" s="40"/>
      <c r="B3311" s="40"/>
    </row>
    <row r="3312" spans="1:2" x14ac:dyDescent="0.2">
      <c r="A3312" s="40"/>
      <c r="B3312" s="40"/>
    </row>
    <row r="3313" spans="1:2" x14ac:dyDescent="0.2">
      <c r="A3313" s="40"/>
      <c r="B3313" s="40"/>
    </row>
    <row r="3314" spans="1:2" x14ac:dyDescent="0.2">
      <c r="A3314" s="40"/>
      <c r="B3314" s="40"/>
    </row>
    <row r="3315" spans="1:2" x14ac:dyDescent="0.2">
      <c r="A3315" s="40"/>
      <c r="B3315" s="40"/>
    </row>
    <row r="3316" spans="1:2" x14ac:dyDescent="0.2">
      <c r="A3316" s="40"/>
      <c r="B3316" s="40"/>
    </row>
    <row r="3317" spans="1:2" x14ac:dyDescent="0.2">
      <c r="A3317" s="40"/>
      <c r="B3317" s="40"/>
    </row>
    <row r="3318" spans="1:2" x14ac:dyDescent="0.2">
      <c r="A3318" s="40"/>
      <c r="B3318" s="40"/>
    </row>
    <row r="3319" spans="1:2" x14ac:dyDescent="0.2">
      <c r="A3319" s="40"/>
      <c r="B3319" s="40"/>
    </row>
    <row r="3320" spans="1:2" x14ac:dyDescent="0.2">
      <c r="A3320" s="40"/>
      <c r="B3320" s="40"/>
    </row>
    <row r="3321" spans="1:2" x14ac:dyDescent="0.2">
      <c r="A3321" s="40"/>
      <c r="B3321" s="40"/>
    </row>
    <row r="3322" spans="1:2" x14ac:dyDescent="0.2">
      <c r="A3322" s="40"/>
      <c r="B3322" s="40"/>
    </row>
    <row r="3323" spans="1:2" x14ac:dyDescent="0.2">
      <c r="A3323" s="40"/>
      <c r="B3323" s="40"/>
    </row>
    <row r="3324" spans="1:2" x14ac:dyDescent="0.2">
      <c r="A3324" s="40"/>
      <c r="B3324" s="40"/>
    </row>
    <row r="3325" spans="1:2" x14ac:dyDescent="0.2">
      <c r="A3325" s="40"/>
      <c r="B3325" s="40"/>
    </row>
    <row r="3326" spans="1:2" x14ac:dyDescent="0.2">
      <c r="A3326" s="40"/>
      <c r="B3326" s="40"/>
    </row>
    <row r="3327" spans="1:2" x14ac:dyDescent="0.2">
      <c r="A3327" s="40"/>
      <c r="B3327" s="40"/>
    </row>
    <row r="3328" spans="1:2" x14ac:dyDescent="0.2">
      <c r="A3328" s="40"/>
      <c r="B3328" s="40"/>
    </row>
    <row r="3329" spans="1:2" x14ac:dyDescent="0.2">
      <c r="A3329" s="40"/>
      <c r="B3329" s="40"/>
    </row>
    <row r="3330" spans="1:2" x14ac:dyDescent="0.2">
      <c r="A3330" s="40"/>
      <c r="B3330" s="40"/>
    </row>
    <row r="3331" spans="1:2" x14ac:dyDescent="0.2">
      <c r="A3331" s="40"/>
      <c r="B3331" s="40"/>
    </row>
    <row r="3332" spans="1:2" x14ac:dyDescent="0.2">
      <c r="A3332" s="40"/>
      <c r="B3332" s="40"/>
    </row>
    <row r="3333" spans="1:2" x14ac:dyDescent="0.2">
      <c r="A3333" s="40"/>
      <c r="B3333" s="40"/>
    </row>
    <row r="3334" spans="1:2" x14ac:dyDescent="0.2">
      <c r="A3334" s="40"/>
      <c r="B3334" s="40"/>
    </row>
    <row r="3335" spans="1:2" x14ac:dyDescent="0.2">
      <c r="A3335" s="40"/>
      <c r="B3335" s="40"/>
    </row>
    <row r="3336" spans="1:2" x14ac:dyDescent="0.2">
      <c r="A3336" s="40"/>
      <c r="B3336" s="40"/>
    </row>
    <row r="3337" spans="1:2" x14ac:dyDescent="0.2">
      <c r="A3337" s="40"/>
      <c r="B3337" s="40"/>
    </row>
    <row r="3338" spans="1:2" x14ac:dyDescent="0.2">
      <c r="A3338" s="40"/>
      <c r="B3338" s="40"/>
    </row>
    <row r="3339" spans="1:2" x14ac:dyDescent="0.2">
      <c r="A3339" s="40"/>
      <c r="B3339" s="40"/>
    </row>
    <row r="3340" spans="1:2" x14ac:dyDescent="0.2">
      <c r="A3340" s="40"/>
      <c r="B3340" s="40"/>
    </row>
    <row r="3341" spans="1:2" x14ac:dyDescent="0.2">
      <c r="A3341" s="40"/>
      <c r="B3341" s="40"/>
    </row>
    <row r="3342" spans="1:2" x14ac:dyDescent="0.2">
      <c r="A3342" s="40"/>
      <c r="B3342" s="40"/>
    </row>
    <row r="3343" spans="1:2" x14ac:dyDescent="0.2">
      <c r="A3343" s="40"/>
      <c r="B3343" s="40"/>
    </row>
    <row r="3344" spans="1:2" x14ac:dyDescent="0.2">
      <c r="A3344" s="40"/>
      <c r="B3344" s="40"/>
    </row>
    <row r="3345" spans="1:2" x14ac:dyDescent="0.2">
      <c r="A3345" s="40"/>
      <c r="B3345" s="40"/>
    </row>
    <row r="3346" spans="1:2" x14ac:dyDescent="0.2">
      <c r="A3346" s="40"/>
      <c r="B3346" s="40"/>
    </row>
    <row r="3347" spans="1:2" x14ac:dyDescent="0.2">
      <c r="A3347" s="40"/>
      <c r="B3347" s="40"/>
    </row>
    <row r="3348" spans="1:2" x14ac:dyDescent="0.2">
      <c r="A3348" s="40"/>
      <c r="B3348" s="40"/>
    </row>
    <row r="3349" spans="1:2" x14ac:dyDescent="0.2">
      <c r="A3349" s="40"/>
      <c r="B3349" s="40"/>
    </row>
    <row r="3350" spans="1:2" x14ac:dyDescent="0.2">
      <c r="A3350" s="40"/>
      <c r="B3350" s="40"/>
    </row>
    <row r="3351" spans="1:2" x14ac:dyDescent="0.2">
      <c r="A3351" s="40"/>
      <c r="B3351" s="40"/>
    </row>
    <row r="3352" spans="1:2" x14ac:dyDescent="0.2">
      <c r="A3352" s="40"/>
      <c r="B3352" s="40"/>
    </row>
    <row r="3353" spans="1:2" x14ac:dyDescent="0.2">
      <c r="A3353" s="40"/>
      <c r="B3353" s="40"/>
    </row>
    <row r="3354" spans="1:2" x14ac:dyDescent="0.2">
      <c r="A3354" s="40"/>
      <c r="B3354" s="40"/>
    </row>
    <row r="3355" spans="1:2" x14ac:dyDescent="0.2">
      <c r="A3355" s="40"/>
      <c r="B3355" s="40"/>
    </row>
    <row r="3356" spans="1:2" x14ac:dyDescent="0.2">
      <c r="A3356" s="40"/>
      <c r="B3356" s="40"/>
    </row>
    <row r="3357" spans="1:2" x14ac:dyDescent="0.2">
      <c r="A3357" s="40"/>
      <c r="B3357" s="40"/>
    </row>
    <row r="3358" spans="1:2" x14ac:dyDescent="0.2">
      <c r="A3358" s="40"/>
      <c r="B3358" s="40"/>
    </row>
    <row r="3359" spans="1:2" x14ac:dyDescent="0.2">
      <c r="A3359" s="40"/>
      <c r="B3359" s="40"/>
    </row>
    <row r="3360" spans="1:2" x14ac:dyDescent="0.2">
      <c r="A3360" s="40"/>
      <c r="B3360" s="40"/>
    </row>
    <row r="3361" spans="1:2" x14ac:dyDescent="0.2">
      <c r="A3361" s="40"/>
      <c r="B3361" s="40"/>
    </row>
    <row r="3362" spans="1:2" x14ac:dyDescent="0.2">
      <c r="A3362" s="40"/>
      <c r="B3362" s="40"/>
    </row>
    <row r="3363" spans="1:2" x14ac:dyDescent="0.2">
      <c r="A3363" s="40"/>
      <c r="B3363" s="40"/>
    </row>
    <row r="3364" spans="1:2" x14ac:dyDescent="0.2">
      <c r="A3364" s="40"/>
      <c r="B3364" s="40"/>
    </row>
    <row r="3365" spans="1:2" x14ac:dyDescent="0.2">
      <c r="A3365" s="40"/>
      <c r="B3365" s="40"/>
    </row>
    <row r="3366" spans="1:2" x14ac:dyDescent="0.2">
      <c r="A3366" s="40"/>
      <c r="B3366" s="40"/>
    </row>
    <row r="3367" spans="1:2" x14ac:dyDescent="0.2">
      <c r="A3367" s="40"/>
      <c r="B3367" s="40"/>
    </row>
    <row r="3368" spans="1:2" x14ac:dyDescent="0.2">
      <c r="A3368" s="40"/>
      <c r="B3368" s="40"/>
    </row>
    <row r="3369" spans="1:2" x14ac:dyDescent="0.2">
      <c r="A3369" s="40"/>
      <c r="B3369" s="40"/>
    </row>
    <row r="3370" spans="1:2" x14ac:dyDescent="0.2">
      <c r="A3370" s="40"/>
      <c r="B3370" s="40"/>
    </row>
    <row r="3371" spans="1:2" x14ac:dyDescent="0.2">
      <c r="A3371" s="40"/>
      <c r="B3371" s="40"/>
    </row>
    <row r="3372" spans="1:2" x14ac:dyDescent="0.2">
      <c r="A3372" s="40"/>
      <c r="B3372" s="40"/>
    </row>
    <row r="3373" spans="1:2" x14ac:dyDescent="0.2">
      <c r="A3373" s="40"/>
      <c r="B3373" s="40"/>
    </row>
    <row r="3374" spans="1:2" x14ac:dyDescent="0.2">
      <c r="A3374" s="40"/>
      <c r="B3374" s="40"/>
    </row>
    <row r="3375" spans="1:2" x14ac:dyDescent="0.2">
      <c r="A3375" s="40"/>
      <c r="B3375" s="40"/>
    </row>
    <row r="3376" spans="1:2" x14ac:dyDescent="0.2">
      <c r="A3376" s="40"/>
      <c r="B3376" s="40"/>
    </row>
    <row r="3377" spans="1:2" x14ac:dyDescent="0.2">
      <c r="A3377" s="40"/>
      <c r="B3377" s="40"/>
    </row>
    <row r="3378" spans="1:2" x14ac:dyDescent="0.2">
      <c r="A3378" s="40"/>
      <c r="B3378" s="40"/>
    </row>
    <row r="3379" spans="1:2" x14ac:dyDescent="0.2">
      <c r="A3379" s="40"/>
      <c r="B3379" s="40"/>
    </row>
    <row r="3380" spans="1:2" x14ac:dyDescent="0.2">
      <c r="A3380" s="40"/>
      <c r="B3380" s="40"/>
    </row>
    <row r="3381" spans="1:2" x14ac:dyDescent="0.2">
      <c r="A3381" s="40"/>
      <c r="B3381" s="40"/>
    </row>
    <row r="3382" spans="1:2" x14ac:dyDescent="0.2">
      <c r="A3382" s="40"/>
      <c r="B3382" s="40"/>
    </row>
    <row r="3383" spans="1:2" x14ac:dyDescent="0.2">
      <c r="A3383" s="40"/>
      <c r="B3383" s="40"/>
    </row>
    <row r="3384" spans="1:2" x14ac:dyDescent="0.2">
      <c r="A3384" s="40"/>
      <c r="B3384" s="40"/>
    </row>
    <row r="3385" spans="1:2" x14ac:dyDescent="0.2">
      <c r="A3385" s="40"/>
      <c r="B3385" s="40"/>
    </row>
    <row r="3386" spans="1:2" x14ac:dyDescent="0.2">
      <c r="A3386" s="40"/>
      <c r="B3386" s="40"/>
    </row>
    <row r="3387" spans="1:2" x14ac:dyDescent="0.2">
      <c r="A3387" s="40"/>
      <c r="B3387" s="40"/>
    </row>
    <row r="3388" spans="1:2" x14ac:dyDescent="0.2">
      <c r="A3388" s="40"/>
      <c r="B3388" s="40"/>
    </row>
    <row r="3389" spans="1:2" x14ac:dyDescent="0.2">
      <c r="A3389" s="40"/>
      <c r="B3389" s="40"/>
    </row>
    <row r="3390" spans="1:2" x14ac:dyDescent="0.2">
      <c r="A3390" s="40"/>
      <c r="B3390" s="40"/>
    </row>
    <row r="3391" spans="1:2" x14ac:dyDescent="0.2">
      <c r="A3391" s="40"/>
      <c r="B3391" s="40"/>
    </row>
    <row r="3392" spans="1:2" x14ac:dyDescent="0.2">
      <c r="A3392" s="40"/>
      <c r="B3392" s="40"/>
    </row>
    <row r="3393" spans="1:2" x14ac:dyDescent="0.2">
      <c r="A3393" s="40"/>
      <c r="B3393" s="40"/>
    </row>
    <row r="3394" spans="1:2" x14ac:dyDescent="0.2">
      <c r="A3394" s="40"/>
      <c r="B3394" s="40"/>
    </row>
    <row r="3395" spans="1:2" x14ac:dyDescent="0.2">
      <c r="A3395" s="40"/>
      <c r="B3395" s="40"/>
    </row>
    <row r="3396" spans="1:2" x14ac:dyDescent="0.2">
      <c r="A3396" s="40"/>
      <c r="B3396" s="40"/>
    </row>
    <row r="3397" spans="1:2" x14ac:dyDescent="0.2">
      <c r="A3397" s="40"/>
      <c r="B3397" s="40"/>
    </row>
    <row r="3398" spans="1:2" x14ac:dyDescent="0.2">
      <c r="A3398" s="40"/>
      <c r="B3398" s="40"/>
    </row>
    <row r="3399" spans="1:2" x14ac:dyDescent="0.2">
      <c r="A3399" s="40"/>
      <c r="B3399" s="40"/>
    </row>
    <row r="3400" spans="1:2" x14ac:dyDescent="0.2">
      <c r="A3400" s="40"/>
      <c r="B3400" s="40"/>
    </row>
    <row r="3401" spans="1:2" x14ac:dyDescent="0.2">
      <c r="A3401" s="40"/>
      <c r="B3401" s="40"/>
    </row>
    <row r="3402" spans="1:2" x14ac:dyDescent="0.2">
      <c r="A3402" s="40"/>
      <c r="B3402" s="40"/>
    </row>
    <row r="3403" spans="1:2" x14ac:dyDescent="0.2">
      <c r="A3403" s="40"/>
      <c r="B3403" s="40"/>
    </row>
    <row r="3404" spans="1:2" x14ac:dyDescent="0.2">
      <c r="A3404" s="40"/>
      <c r="B3404" s="40"/>
    </row>
    <row r="3405" spans="1:2" x14ac:dyDescent="0.2">
      <c r="A3405" s="40"/>
      <c r="B3405" s="40"/>
    </row>
    <row r="3406" spans="1:2" x14ac:dyDescent="0.2">
      <c r="A3406" s="40"/>
      <c r="B3406" s="40"/>
    </row>
    <row r="3407" spans="1:2" x14ac:dyDescent="0.2">
      <c r="A3407" s="40"/>
      <c r="B3407" s="40"/>
    </row>
    <row r="3408" spans="1:2" x14ac:dyDescent="0.2">
      <c r="A3408" s="40"/>
      <c r="B3408" s="40"/>
    </row>
    <row r="3409" spans="1:2" x14ac:dyDescent="0.2">
      <c r="A3409" s="40"/>
      <c r="B3409" s="40"/>
    </row>
    <row r="3410" spans="1:2" x14ac:dyDescent="0.2">
      <c r="A3410" s="40"/>
      <c r="B3410" s="40"/>
    </row>
    <row r="3411" spans="1:2" x14ac:dyDescent="0.2">
      <c r="A3411" s="40"/>
      <c r="B3411" s="40"/>
    </row>
    <row r="3412" spans="1:2" x14ac:dyDescent="0.2">
      <c r="A3412" s="40"/>
      <c r="B3412" s="40"/>
    </row>
    <row r="3413" spans="1:2" x14ac:dyDescent="0.2">
      <c r="A3413" s="40"/>
      <c r="B3413" s="40"/>
    </row>
    <row r="3414" spans="1:2" x14ac:dyDescent="0.2">
      <c r="A3414" s="40"/>
      <c r="B3414" s="40"/>
    </row>
    <row r="3415" spans="1:2" x14ac:dyDescent="0.2">
      <c r="A3415" s="40"/>
      <c r="B3415" s="40"/>
    </row>
    <row r="3416" spans="1:2" x14ac:dyDescent="0.2">
      <c r="A3416" s="40"/>
      <c r="B3416" s="40"/>
    </row>
    <row r="3417" spans="1:2" x14ac:dyDescent="0.2">
      <c r="A3417" s="40"/>
      <c r="B3417" s="40"/>
    </row>
    <row r="3418" spans="1:2" x14ac:dyDescent="0.2">
      <c r="A3418" s="40"/>
      <c r="B3418" s="40"/>
    </row>
    <row r="3419" spans="1:2" x14ac:dyDescent="0.2">
      <c r="A3419" s="40"/>
      <c r="B3419" s="40"/>
    </row>
    <row r="3420" spans="1:2" x14ac:dyDescent="0.2">
      <c r="A3420" s="40"/>
      <c r="B3420" s="40"/>
    </row>
    <row r="3421" spans="1:2" x14ac:dyDescent="0.2">
      <c r="A3421" s="40"/>
      <c r="B3421" s="40"/>
    </row>
    <row r="3422" spans="1:2" x14ac:dyDescent="0.2">
      <c r="A3422" s="40"/>
      <c r="B3422" s="40"/>
    </row>
    <row r="3423" spans="1:2" x14ac:dyDescent="0.2">
      <c r="A3423" s="40"/>
      <c r="B3423" s="40"/>
    </row>
    <row r="3424" spans="1:2" x14ac:dyDescent="0.2">
      <c r="A3424" s="40"/>
      <c r="B3424" s="40"/>
    </row>
    <row r="3425" spans="1:2" x14ac:dyDescent="0.2">
      <c r="A3425" s="40"/>
      <c r="B3425" s="40"/>
    </row>
    <row r="3426" spans="1:2" x14ac:dyDescent="0.2">
      <c r="A3426" s="40"/>
      <c r="B3426" s="40"/>
    </row>
    <row r="3427" spans="1:2" x14ac:dyDescent="0.2">
      <c r="A3427" s="40"/>
      <c r="B3427" s="40"/>
    </row>
    <row r="3428" spans="1:2" x14ac:dyDescent="0.2">
      <c r="A3428" s="40"/>
      <c r="B3428" s="40"/>
    </row>
    <row r="3429" spans="1:2" x14ac:dyDescent="0.2">
      <c r="A3429" s="40"/>
      <c r="B3429" s="40"/>
    </row>
    <row r="3430" spans="1:2" x14ac:dyDescent="0.2">
      <c r="A3430" s="40"/>
      <c r="B3430" s="40"/>
    </row>
    <row r="3431" spans="1:2" x14ac:dyDescent="0.2">
      <c r="A3431" s="40"/>
      <c r="B3431" s="40"/>
    </row>
    <row r="3432" spans="1:2" x14ac:dyDescent="0.2">
      <c r="A3432" s="40"/>
      <c r="B3432" s="40"/>
    </row>
    <row r="3433" spans="1:2" x14ac:dyDescent="0.2">
      <c r="A3433" s="40"/>
      <c r="B3433" s="40"/>
    </row>
    <row r="3434" spans="1:2" x14ac:dyDescent="0.2">
      <c r="A3434" s="40"/>
      <c r="B3434" s="40"/>
    </row>
    <row r="3435" spans="1:2" x14ac:dyDescent="0.2">
      <c r="A3435" s="40"/>
      <c r="B3435" s="40"/>
    </row>
    <row r="3436" spans="1:2" x14ac:dyDescent="0.2">
      <c r="A3436" s="40"/>
      <c r="B3436" s="40"/>
    </row>
    <row r="3437" spans="1:2" x14ac:dyDescent="0.2">
      <c r="A3437" s="40"/>
      <c r="B3437" s="40"/>
    </row>
    <row r="3438" spans="1:2" x14ac:dyDescent="0.2">
      <c r="A3438" s="40"/>
      <c r="B3438" s="40"/>
    </row>
    <row r="3439" spans="1:2" x14ac:dyDescent="0.2">
      <c r="A3439" s="40"/>
      <c r="B3439" s="40"/>
    </row>
    <row r="3440" spans="1:2" x14ac:dyDescent="0.2">
      <c r="A3440" s="40"/>
      <c r="B3440" s="40"/>
    </row>
    <row r="3441" spans="1:2" x14ac:dyDescent="0.2">
      <c r="A3441" s="40"/>
      <c r="B3441" s="40"/>
    </row>
    <row r="3442" spans="1:2" x14ac:dyDescent="0.2">
      <c r="A3442" s="40"/>
      <c r="B3442" s="40"/>
    </row>
    <row r="3443" spans="1:2" x14ac:dyDescent="0.2">
      <c r="A3443" s="40"/>
      <c r="B3443" s="40"/>
    </row>
    <row r="3444" spans="1:2" x14ac:dyDescent="0.2">
      <c r="A3444" s="40"/>
      <c r="B3444" s="40"/>
    </row>
    <row r="3445" spans="1:2" x14ac:dyDescent="0.2">
      <c r="A3445" s="40"/>
      <c r="B3445" s="40"/>
    </row>
    <row r="3446" spans="1:2" x14ac:dyDescent="0.2">
      <c r="A3446" s="40"/>
      <c r="B3446" s="40"/>
    </row>
    <row r="3447" spans="1:2" x14ac:dyDescent="0.2">
      <c r="A3447" s="40"/>
      <c r="B3447" s="40"/>
    </row>
    <row r="3448" spans="1:2" x14ac:dyDescent="0.2">
      <c r="A3448" s="40"/>
      <c r="B3448" s="40"/>
    </row>
    <row r="3449" spans="1:2" x14ac:dyDescent="0.2">
      <c r="A3449" s="40"/>
      <c r="B3449" s="40"/>
    </row>
    <row r="3450" spans="1:2" x14ac:dyDescent="0.2">
      <c r="A3450" s="40"/>
      <c r="B3450" s="40"/>
    </row>
    <row r="3451" spans="1:2" x14ac:dyDescent="0.2">
      <c r="A3451" s="40"/>
      <c r="B3451" s="40"/>
    </row>
    <row r="3452" spans="1:2" x14ac:dyDescent="0.2">
      <c r="A3452" s="40"/>
      <c r="B3452" s="40"/>
    </row>
    <row r="3453" spans="1:2" x14ac:dyDescent="0.2">
      <c r="A3453" s="40"/>
      <c r="B3453" s="40"/>
    </row>
    <row r="3454" spans="1:2" x14ac:dyDescent="0.2">
      <c r="A3454" s="40"/>
      <c r="B3454" s="40"/>
    </row>
    <row r="3455" spans="1:2" x14ac:dyDescent="0.2">
      <c r="A3455" s="40"/>
      <c r="B3455" s="40"/>
    </row>
    <row r="3456" spans="1:2" x14ac:dyDescent="0.2">
      <c r="A3456" s="40"/>
      <c r="B3456" s="40"/>
    </row>
    <row r="3457" spans="1:2" x14ac:dyDescent="0.2">
      <c r="A3457" s="40"/>
      <c r="B3457" s="40"/>
    </row>
    <row r="3458" spans="1:2" x14ac:dyDescent="0.2">
      <c r="A3458" s="40"/>
      <c r="B3458" s="40"/>
    </row>
    <row r="3459" spans="1:2" x14ac:dyDescent="0.2">
      <c r="A3459" s="40"/>
      <c r="B3459" s="40"/>
    </row>
    <row r="3460" spans="1:2" x14ac:dyDescent="0.2">
      <c r="A3460" s="40"/>
      <c r="B3460" s="40"/>
    </row>
    <row r="3461" spans="1:2" x14ac:dyDescent="0.2">
      <c r="A3461" s="40"/>
      <c r="B3461" s="40"/>
    </row>
    <row r="3462" spans="1:2" x14ac:dyDescent="0.2">
      <c r="A3462" s="40"/>
      <c r="B3462" s="40"/>
    </row>
    <row r="3463" spans="1:2" x14ac:dyDescent="0.2">
      <c r="A3463" s="40"/>
      <c r="B3463" s="40"/>
    </row>
    <row r="3464" spans="1:2" x14ac:dyDescent="0.2">
      <c r="A3464" s="40"/>
      <c r="B3464" s="40"/>
    </row>
    <row r="3465" spans="1:2" x14ac:dyDescent="0.2">
      <c r="A3465" s="40"/>
      <c r="B3465" s="40"/>
    </row>
    <row r="3466" spans="1:2" x14ac:dyDescent="0.2">
      <c r="A3466" s="40"/>
      <c r="B3466" s="40"/>
    </row>
    <row r="3467" spans="1:2" x14ac:dyDescent="0.2">
      <c r="A3467" s="40"/>
      <c r="B3467" s="40"/>
    </row>
    <row r="3468" spans="1:2" x14ac:dyDescent="0.2">
      <c r="A3468" s="40"/>
      <c r="B3468" s="40"/>
    </row>
    <row r="3469" spans="1:2" x14ac:dyDescent="0.2">
      <c r="A3469" s="40"/>
      <c r="B3469" s="40"/>
    </row>
    <row r="3470" spans="1:2" x14ac:dyDescent="0.2">
      <c r="A3470" s="40"/>
      <c r="B3470" s="40"/>
    </row>
    <row r="3471" spans="1:2" x14ac:dyDescent="0.2">
      <c r="A3471" s="40"/>
      <c r="B3471" s="40"/>
    </row>
    <row r="3472" spans="1:2" x14ac:dyDescent="0.2">
      <c r="A3472" s="40"/>
      <c r="B3472" s="40"/>
    </row>
    <row r="3473" spans="1:2" x14ac:dyDescent="0.2">
      <c r="A3473" s="40"/>
      <c r="B3473" s="40"/>
    </row>
    <row r="3474" spans="1:2" x14ac:dyDescent="0.2">
      <c r="A3474" s="40"/>
      <c r="B3474" s="40"/>
    </row>
    <row r="3475" spans="1:2" x14ac:dyDescent="0.2">
      <c r="A3475" s="40"/>
      <c r="B3475" s="40"/>
    </row>
    <row r="3476" spans="1:2" x14ac:dyDescent="0.2">
      <c r="A3476" s="40"/>
      <c r="B3476" s="40"/>
    </row>
    <row r="3477" spans="1:2" x14ac:dyDescent="0.2">
      <c r="A3477" s="40"/>
      <c r="B3477" s="40"/>
    </row>
    <row r="3478" spans="1:2" x14ac:dyDescent="0.2">
      <c r="A3478" s="40"/>
      <c r="B3478" s="40"/>
    </row>
    <row r="3479" spans="1:2" x14ac:dyDescent="0.2">
      <c r="A3479" s="40"/>
      <c r="B3479" s="40"/>
    </row>
    <row r="3480" spans="1:2" x14ac:dyDescent="0.2">
      <c r="A3480" s="40"/>
      <c r="B3480" s="40"/>
    </row>
    <row r="3481" spans="1:2" x14ac:dyDescent="0.2">
      <c r="A3481" s="40"/>
      <c r="B3481" s="40"/>
    </row>
    <row r="3482" spans="1:2" x14ac:dyDescent="0.2">
      <c r="A3482" s="40"/>
      <c r="B3482" s="40"/>
    </row>
    <row r="3483" spans="1:2" x14ac:dyDescent="0.2">
      <c r="A3483" s="40"/>
      <c r="B3483" s="40"/>
    </row>
    <row r="3484" spans="1:2" x14ac:dyDescent="0.2">
      <c r="A3484" s="40"/>
      <c r="B3484" s="40"/>
    </row>
    <row r="3485" spans="1:2" x14ac:dyDescent="0.2">
      <c r="A3485" s="40"/>
      <c r="B3485" s="40"/>
    </row>
    <row r="3486" spans="1:2" x14ac:dyDescent="0.2">
      <c r="A3486" s="40"/>
      <c r="B3486" s="40"/>
    </row>
    <row r="3487" spans="1:2" x14ac:dyDescent="0.2">
      <c r="A3487" s="40"/>
      <c r="B3487" s="40"/>
    </row>
    <row r="3488" spans="1:2" x14ac:dyDescent="0.2">
      <c r="A3488" s="40"/>
      <c r="B3488" s="40"/>
    </row>
    <row r="3489" spans="1:2" x14ac:dyDescent="0.2">
      <c r="A3489" s="40"/>
      <c r="B3489" s="40"/>
    </row>
    <row r="3490" spans="1:2" x14ac:dyDescent="0.2">
      <c r="A3490" s="40"/>
      <c r="B3490" s="40"/>
    </row>
    <row r="3491" spans="1:2" x14ac:dyDescent="0.2">
      <c r="A3491" s="40"/>
      <c r="B3491" s="40"/>
    </row>
    <row r="3492" spans="1:2" x14ac:dyDescent="0.2">
      <c r="A3492" s="40"/>
      <c r="B3492" s="40"/>
    </row>
    <row r="3493" spans="1:2" x14ac:dyDescent="0.2">
      <c r="A3493" s="40"/>
      <c r="B3493" s="40"/>
    </row>
    <row r="3494" spans="1:2" x14ac:dyDescent="0.2">
      <c r="A3494" s="40"/>
      <c r="B3494" s="40"/>
    </row>
    <row r="3495" spans="1:2" x14ac:dyDescent="0.2">
      <c r="A3495" s="40"/>
      <c r="B3495" s="40"/>
    </row>
    <row r="3496" spans="1:2" x14ac:dyDescent="0.2">
      <c r="A3496" s="40"/>
      <c r="B3496" s="40"/>
    </row>
    <row r="3497" spans="1:2" x14ac:dyDescent="0.2">
      <c r="A3497" s="40"/>
      <c r="B3497" s="40"/>
    </row>
    <row r="3498" spans="1:2" x14ac:dyDescent="0.2">
      <c r="A3498" s="40"/>
      <c r="B3498" s="40"/>
    </row>
    <row r="3499" spans="1:2" x14ac:dyDescent="0.2">
      <c r="A3499" s="40"/>
      <c r="B3499" s="40"/>
    </row>
    <row r="3500" spans="1:2" x14ac:dyDescent="0.2">
      <c r="A3500" s="40"/>
      <c r="B3500" s="40"/>
    </row>
    <row r="3501" spans="1:2" x14ac:dyDescent="0.2">
      <c r="A3501" s="40"/>
      <c r="B3501" s="40"/>
    </row>
    <row r="3502" spans="1:2" x14ac:dyDescent="0.2">
      <c r="A3502" s="40"/>
      <c r="B3502" s="40"/>
    </row>
    <row r="3503" spans="1:2" x14ac:dyDescent="0.2">
      <c r="A3503" s="40"/>
      <c r="B3503" s="40"/>
    </row>
    <row r="3504" spans="1:2" x14ac:dyDescent="0.2">
      <c r="A3504" s="40"/>
      <c r="B3504" s="40"/>
    </row>
    <row r="3505" spans="1:2" x14ac:dyDescent="0.2">
      <c r="A3505" s="40"/>
      <c r="B3505" s="40"/>
    </row>
    <row r="3506" spans="1:2" x14ac:dyDescent="0.2">
      <c r="A3506" s="40"/>
      <c r="B3506" s="40"/>
    </row>
    <row r="3507" spans="1:2" x14ac:dyDescent="0.2">
      <c r="A3507" s="40"/>
      <c r="B3507" s="40"/>
    </row>
    <row r="3508" spans="1:2" x14ac:dyDescent="0.2">
      <c r="A3508" s="40"/>
      <c r="B3508" s="40"/>
    </row>
    <row r="3509" spans="1:2" x14ac:dyDescent="0.2">
      <c r="A3509" s="40"/>
      <c r="B3509" s="40"/>
    </row>
    <row r="3510" spans="1:2" x14ac:dyDescent="0.2">
      <c r="A3510" s="40"/>
      <c r="B3510" s="40"/>
    </row>
    <row r="3511" spans="1:2" x14ac:dyDescent="0.2">
      <c r="A3511" s="40"/>
      <c r="B3511" s="40"/>
    </row>
    <row r="3512" spans="1:2" x14ac:dyDescent="0.2">
      <c r="A3512" s="40"/>
      <c r="B3512" s="40"/>
    </row>
    <row r="3513" spans="1:2" x14ac:dyDescent="0.2">
      <c r="A3513" s="40"/>
      <c r="B3513" s="40"/>
    </row>
    <row r="3514" spans="1:2" x14ac:dyDescent="0.2">
      <c r="A3514" s="40"/>
      <c r="B3514" s="40"/>
    </row>
    <row r="3515" spans="1:2" x14ac:dyDescent="0.2">
      <c r="A3515" s="40"/>
      <c r="B3515" s="40"/>
    </row>
    <row r="3516" spans="1:2" x14ac:dyDescent="0.2">
      <c r="A3516" s="40"/>
      <c r="B3516" s="40"/>
    </row>
    <row r="3517" spans="1:2" x14ac:dyDescent="0.2">
      <c r="A3517" s="40"/>
      <c r="B3517" s="40"/>
    </row>
    <row r="3518" spans="1:2" x14ac:dyDescent="0.2">
      <c r="A3518" s="40"/>
      <c r="B3518" s="40"/>
    </row>
    <row r="3519" spans="1:2" x14ac:dyDescent="0.2">
      <c r="A3519" s="40"/>
      <c r="B3519" s="40"/>
    </row>
    <row r="3520" spans="1:2" x14ac:dyDescent="0.2">
      <c r="A3520" s="40"/>
      <c r="B3520" s="40"/>
    </row>
    <row r="3521" spans="1:2" x14ac:dyDescent="0.2">
      <c r="A3521" s="40"/>
      <c r="B3521" s="40"/>
    </row>
    <row r="3522" spans="1:2" x14ac:dyDescent="0.2">
      <c r="A3522" s="40"/>
      <c r="B3522" s="40"/>
    </row>
    <row r="3523" spans="1:2" x14ac:dyDescent="0.2">
      <c r="A3523" s="40"/>
      <c r="B3523" s="40"/>
    </row>
    <row r="3524" spans="1:2" x14ac:dyDescent="0.2">
      <c r="A3524" s="40"/>
      <c r="B3524" s="40"/>
    </row>
    <row r="3525" spans="1:2" x14ac:dyDescent="0.2">
      <c r="A3525" s="40"/>
      <c r="B3525" s="40"/>
    </row>
    <row r="3526" spans="1:2" x14ac:dyDescent="0.2">
      <c r="A3526" s="40"/>
      <c r="B3526" s="40"/>
    </row>
    <row r="3527" spans="1:2" x14ac:dyDescent="0.2">
      <c r="A3527" s="40"/>
      <c r="B3527" s="40"/>
    </row>
    <row r="3528" spans="1:2" x14ac:dyDescent="0.2">
      <c r="A3528" s="40"/>
      <c r="B3528" s="40"/>
    </row>
    <row r="3529" spans="1:2" x14ac:dyDescent="0.2">
      <c r="A3529" s="40"/>
      <c r="B3529" s="40"/>
    </row>
    <row r="3530" spans="1:2" x14ac:dyDescent="0.2">
      <c r="A3530" s="40"/>
      <c r="B3530" s="40"/>
    </row>
    <row r="3531" spans="1:2" x14ac:dyDescent="0.2">
      <c r="A3531" s="40"/>
      <c r="B3531" s="40"/>
    </row>
    <row r="3532" spans="1:2" x14ac:dyDescent="0.2">
      <c r="A3532" s="40"/>
      <c r="B3532" s="40"/>
    </row>
    <row r="3533" spans="1:2" x14ac:dyDescent="0.2">
      <c r="A3533" s="40"/>
      <c r="B3533" s="40"/>
    </row>
    <row r="3534" spans="1:2" x14ac:dyDescent="0.2">
      <c r="A3534" s="40"/>
      <c r="B3534" s="40"/>
    </row>
    <row r="3535" spans="1:2" x14ac:dyDescent="0.2">
      <c r="A3535" s="40"/>
      <c r="B3535" s="40"/>
    </row>
    <row r="3536" spans="1:2" x14ac:dyDescent="0.2">
      <c r="A3536" s="40"/>
      <c r="B3536" s="40"/>
    </row>
    <row r="3537" spans="1:2" x14ac:dyDescent="0.2">
      <c r="A3537" s="40"/>
      <c r="B3537" s="40"/>
    </row>
    <row r="3538" spans="1:2" x14ac:dyDescent="0.2">
      <c r="A3538" s="40"/>
      <c r="B3538" s="40"/>
    </row>
    <row r="3539" spans="1:2" x14ac:dyDescent="0.2">
      <c r="A3539" s="40"/>
      <c r="B3539" s="40"/>
    </row>
    <row r="3540" spans="1:2" x14ac:dyDescent="0.2">
      <c r="A3540" s="40"/>
      <c r="B3540" s="40"/>
    </row>
    <row r="3541" spans="1:2" x14ac:dyDescent="0.2">
      <c r="A3541" s="40"/>
      <c r="B3541" s="40"/>
    </row>
    <row r="3542" spans="1:2" x14ac:dyDescent="0.2">
      <c r="A3542" s="40"/>
      <c r="B3542" s="40"/>
    </row>
    <row r="3543" spans="1:2" x14ac:dyDescent="0.2">
      <c r="A3543" s="40"/>
      <c r="B3543" s="40"/>
    </row>
    <row r="3544" spans="1:2" x14ac:dyDescent="0.2">
      <c r="A3544" s="40"/>
      <c r="B3544" s="40"/>
    </row>
    <row r="3545" spans="1:2" x14ac:dyDescent="0.2">
      <c r="A3545" s="40"/>
      <c r="B3545" s="40"/>
    </row>
    <row r="3546" spans="1:2" x14ac:dyDescent="0.2">
      <c r="A3546" s="40"/>
      <c r="B3546" s="40"/>
    </row>
    <row r="3547" spans="1:2" x14ac:dyDescent="0.2">
      <c r="A3547" s="40"/>
      <c r="B3547" s="40"/>
    </row>
    <row r="3548" spans="1:2" x14ac:dyDescent="0.2">
      <c r="A3548" s="40"/>
      <c r="B3548" s="40"/>
    </row>
    <row r="3549" spans="1:2" x14ac:dyDescent="0.2">
      <c r="A3549" s="40"/>
      <c r="B3549" s="40"/>
    </row>
    <row r="3550" spans="1:2" x14ac:dyDescent="0.2">
      <c r="A3550" s="40"/>
      <c r="B3550" s="40"/>
    </row>
    <row r="3551" spans="1:2" x14ac:dyDescent="0.2">
      <c r="A3551" s="40"/>
      <c r="B3551" s="40"/>
    </row>
    <row r="3552" spans="1:2" x14ac:dyDescent="0.2">
      <c r="A3552" s="40"/>
      <c r="B3552" s="40"/>
    </row>
    <row r="3553" spans="1:2" x14ac:dyDescent="0.2">
      <c r="A3553" s="40"/>
      <c r="B3553" s="40"/>
    </row>
    <row r="3554" spans="1:2" x14ac:dyDescent="0.2">
      <c r="A3554" s="40"/>
      <c r="B3554" s="40"/>
    </row>
    <row r="3555" spans="1:2" x14ac:dyDescent="0.2">
      <c r="A3555" s="40"/>
      <c r="B3555" s="40"/>
    </row>
    <row r="3556" spans="1:2" x14ac:dyDescent="0.2">
      <c r="A3556" s="40"/>
      <c r="B3556" s="40"/>
    </row>
    <row r="3557" spans="1:2" x14ac:dyDescent="0.2">
      <c r="A3557" s="40"/>
      <c r="B3557" s="40"/>
    </row>
    <row r="3558" spans="1:2" x14ac:dyDescent="0.2">
      <c r="A3558" s="40"/>
      <c r="B3558" s="40"/>
    </row>
    <row r="3559" spans="1:2" x14ac:dyDescent="0.2">
      <c r="A3559" s="40"/>
      <c r="B3559" s="40"/>
    </row>
    <row r="3560" spans="1:2" x14ac:dyDescent="0.2">
      <c r="A3560" s="40"/>
      <c r="B3560" s="40"/>
    </row>
    <row r="3561" spans="1:2" x14ac:dyDescent="0.2">
      <c r="A3561" s="40"/>
      <c r="B3561" s="40"/>
    </row>
    <row r="3562" spans="1:2" x14ac:dyDescent="0.2">
      <c r="A3562" s="40"/>
      <c r="B3562" s="40"/>
    </row>
    <row r="3563" spans="1:2" x14ac:dyDescent="0.2">
      <c r="A3563" s="40"/>
      <c r="B3563" s="40"/>
    </row>
    <row r="3564" spans="1:2" x14ac:dyDescent="0.2">
      <c r="A3564" s="40"/>
      <c r="B3564" s="40"/>
    </row>
    <row r="3565" spans="1:2" x14ac:dyDescent="0.2">
      <c r="A3565" s="40"/>
      <c r="B3565" s="40"/>
    </row>
    <row r="3566" spans="1:2" x14ac:dyDescent="0.2">
      <c r="A3566" s="40"/>
      <c r="B3566" s="40"/>
    </row>
    <row r="3567" spans="1:2" x14ac:dyDescent="0.2">
      <c r="A3567" s="40"/>
      <c r="B3567" s="40"/>
    </row>
    <row r="3568" spans="1:2" x14ac:dyDescent="0.2">
      <c r="A3568" s="40"/>
      <c r="B3568" s="40"/>
    </row>
    <row r="3569" spans="1:2" x14ac:dyDescent="0.2">
      <c r="A3569" s="40"/>
      <c r="B3569" s="40"/>
    </row>
    <row r="3570" spans="1:2" x14ac:dyDescent="0.2">
      <c r="A3570" s="40"/>
      <c r="B3570" s="40"/>
    </row>
    <row r="3571" spans="1:2" x14ac:dyDescent="0.2">
      <c r="A3571" s="40"/>
      <c r="B3571" s="40"/>
    </row>
    <row r="3572" spans="1:2" x14ac:dyDescent="0.2">
      <c r="A3572" s="40"/>
      <c r="B3572" s="40"/>
    </row>
    <row r="3573" spans="1:2" x14ac:dyDescent="0.2">
      <c r="A3573" s="40"/>
      <c r="B3573" s="40"/>
    </row>
    <row r="3574" spans="1:2" x14ac:dyDescent="0.2">
      <c r="A3574" s="40"/>
      <c r="B3574" s="40"/>
    </row>
    <row r="3575" spans="1:2" x14ac:dyDescent="0.2">
      <c r="A3575" s="40"/>
      <c r="B3575" s="40"/>
    </row>
    <row r="3576" spans="1:2" x14ac:dyDescent="0.2">
      <c r="A3576" s="40"/>
      <c r="B3576" s="40"/>
    </row>
    <row r="3577" spans="1:2" x14ac:dyDescent="0.2">
      <c r="A3577" s="40"/>
      <c r="B3577" s="40"/>
    </row>
    <row r="3578" spans="1:2" x14ac:dyDescent="0.2">
      <c r="A3578" s="40"/>
      <c r="B3578" s="40"/>
    </row>
    <row r="3579" spans="1:2" x14ac:dyDescent="0.2">
      <c r="A3579" s="40"/>
      <c r="B3579" s="40"/>
    </row>
    <row r="3580" spans="1:2" x14ac:dyDescent="0.2">
      <c r="A3580" s="40"/>
      <c r="B3580" s="40"/>
    </row>
    <row r="3581" spans="1:2" x14ac:dyDescent="0.2">
      <c r="A3581" s="40"/>
      <c r="B3581" s="40"/>
    </row>
    <row r="3582" spans="1:2" x14ac:dyDescent="0.2">
      <c r="A3582" s="40"/>
      <c r="B3582" s="40"/>
    </row>
    <row r="3583" spans="1:2" x14ac:dyDescent="0.2">
      <c r="A3583" s="40"/>
      <c r="B3583" s="40"/>
    </row>
    <row r="3584" spans="1:2" x14ac:dyDescent="0.2">
      <c r="A3584" s="40"/>
      <c r="B3584" s="40"/>
    </row>
    <row r="3585" spans="1:2" x14ac:dyDescent="0.2">
      <c r="A3585" s="40"/>
      <c r="B3585" s="40"/>
    </row>
    <row r="3586" spans="1:2" x14ac:dyDescent="0.2">
      <c r="A3586" s="40"/>
      <c r="B3586" s="40"/>
    </row>
    <row r="3587" spans="1:2" x14ac:dyDescent="0.2">
      <c r="A3587" s="40"/>
      <c r="B3587" s="40"/>
    </row>
    <row r="3588" spans="1:2" x14ac:dyDescent="0.2">
      <c r="A3588" s="40"/>
      <c r="B3588" s="40"/>
    </row>
    <row r="3589" spans="1:2" x14ac:dyDescent="0.2">
      <c r="A3589" s="40"/>
      <c r="B3589" s="40"/>
    </row>
    <row r="3590" spans="1:2" x14ac:dyDescent="0.2">
      <c r="A3590" s="40"/>
      <c r="B3590" s="40"/>
    </row>
    <row r="3591" spans="1:2" x14ac:dyDescent="0.2">
      <c r="A3591" s="40"/>
      <c r="B3591" s="40"/>
    </row>
    <row r="3592" spans="1:2" x14ac:dyDescent="0.2">
      <c r="A3592" s="40"/>
      <c r="B3592" s="40"/>
    </row>
    <row r="3593" spans="1:2" x14ac:dyDescent="0.2">
      <c r="A3593" s="40"/>
      <c r="B3593" s="40"/>
    </row>
    <row r="3594" spans="1:2" x14ac:dyDescent="0.2">
      <c r="A3594" s="40"/>
      <c r="B3594" s="40"/>
    </row>
    <row r="3595" spans="1:2" x14ac:dyDescent="0.2">
      <c r="A3595" s="40"/>
      <c r="B3595" s="40"/>
    </row>
    <row r="3596" spans="1:2" x14ac:dyDescent="0.2">
      <c r="A3596" s="40"/>
      <c r="B3596" s="40"/>
    </row>
    <row r="3597" spans="1:2" x14ac:dyDescent="0.2">
      <c r="A3597" s="40"/>
      <c r="B3597" s="40"/>
    </row>
    <row r="3598" spans="1:2" x14ac:dyDescent="0.2">
      <c r="A3598" s="40"/>
      <c r="B3598" s="40"/>
    </row>
    <row r="3599" spans="1:2" x14ac:dyDescent="0.2">
      <c r="A3599" s="40"/>
      <c r="B3599" s="40"/>
    </row>
    <row r="3600" spans="1:2" x14ac:dyDescent="0.2">
      <c r="A3600" s="40"/>
      <c r="B3600" s="40"/>
    </row>
    <row r="3601" spans="1:2" x14ac:dyDescent="0.2">
      <c r="A3601" s="40"/>
      <c r="B3601" s="40"/>
    </row>
    <row r="3602" spans="1:2" x14ac:dyDescent="0.2">
      <c r="A3602" s="40"/>
      <c r="B3602" s="40"/>
    </row>
    <row r="3603" spans="1:2" x14ac:dyDescent="0.2">
      <c r="A3603" s="40"/>
      <c r="B3603" s="40"/>
    </row>
    <row r="3604" spans="1:2" x14ac:dyDescent="0.2">
      <c r="A3604" s="40"/>
      <c r="B3604" s="40"/>
    </row>
    <row r="3605" spans="1:2" x14ac:dyDescent="0.2">
      <c r="A3605" s="40"/>
      <c r="B3605" s="40"/>
    </row>
    <row r="3606" spans="1:2" x14ac:dyDescent="0.2">
      <c r="A3606" s="40"/>
      <c r="B3606" s="40"/>
    </row>
    <row r="3607" spans="1:2" x14ac:dyDescent="0.2">
      <c r="A3607" s="40"/>
      <c r="B3607" s="40"/>
    </row>
    <row r="3608" spans="1:2" x14ac:dyDescent="0.2">
      <c r="A3608" s="40"/>
      <c r="B3608" s="40"/>
    </row>
    <row r="3609" spans="1:2" x14ac:dyDescent="0.2">
      <c r="A3609" s="40"/>
      <c r="B3609" s="40"/>
    </row>
    <row r="3610" spans="1:2" x14ac:dyDescent="0.2">
      <c r="A3610" s="40"/>
      <c r="B3610" s="40"/>
    </row>
    <row r="3611" spans="1:2" x14ac:dyDescent="0.2">
      <c r="A3611" s="40"/>
      <c r="B3611" s="40"/>
    </row>
    <row r="3612" spans="1:2" x14ac:dyDescent="0.2">
      <c r="A3612" s="40"/>
      <c r="B3612" s="40"/>
    </row>
    <row r="3613" spans="1:2" x14ac:dyDescent="0.2">
      <c r="A3613" s="40"/>
      <c r="B3613" s="40"/>
    </row>
    <row r="3614" spans="1:2" x14ac:dyDescent="0.2">
      <c r="A3614" s="40"/>
      <c r="B3614" s="40"/>
    </row>
    <row r="3615" spans="1:2" x14ac:dyDescent="0.2">
      <c r="A3615" s="40"/>
      <c r="B3615" s="40"/>
    </row>
    <row r="3616" spans="1:2" x14ac:dyDescent="0.2">
      <c r="A3616" s="40"/>
      <c r="B3616" s="40"/>
    </row>
    <row r="3617" spans="1:2" x14ac:dyDescent="0.2">
      <c r="A3617" s="40"/>
      <c r="B3617" s="40"/>
    </row>
    <row r="3618" spans="1:2" x14ac:dyDescent="0.2">
      <c r="A3618" s="40"/>
      <c r="B3618" s="40"/>
    </row>
    <row r="3619" spans="1:2" x14ac:dyDescent="0.2">
      <c r="A3619" s="40"/>
      <c r="B3619" s="40"/>
    </row>
    <row r="3620" spans="1:2" x14ac:dyDescent="0.2">
      <c r="A3620" s="40"/>
      <c r="B3620" s="40"/>
    </row>
    <row r="3621" spans="1:2" x14ac:dyDescent="0.2">
      <c r="A3621" s="40"/>
      <c r="B3621" s="40"/>
    </row>
    <row r="3622" spans="1:2" x14ac:dyDescent="0.2">
      <c r="A3622" s="40"/>
      <c r="B3622" s="40"/>
    </row>
    <row r="3623" spans="1:2" x14ac:dyDescent="0.2">
      <c r="A3623" s="40"/>
      <c r="B3623" s="40"/>
    </row>
    <row r="3624" spans="1:2" x14ac:dyDescent="0.2">
      <c r="A3624" s="40"/>
      <c r="B3624" s="40"/>
    </row>
    <row r="3625" spans="1:2" x14ac:dyDescent="0.2">
      <c r="A3625" s="40"/>
      <c r="B3625" s="40"/>
    </row>
    <row r="3626" spans="1:2" x14ac:dyDescent="0.2">
      <c r="A3626" s="40"/>
      <c r="B3626" s="40"/>
    </row>
    <row r="3627" spans="1:2" x14ac:dyDescent="0.2">
      <c r="A3627" s="40"/>
      <c r="B3627" s="40"/>
    </row>
    <row r="3628" spans="1:2" x14ac:dyDescent="0.2">
      <c r="A3628" s="40"/>
      <c r="B3628" s="40"/>
    </row>
    <row r="3629" spans="1:2" x14ac:dyDescent="0.2">
      <c r="A3629" s="40"/>
      <c r="B3629" s="40"/>
    </row>
    <row r="3630" spans="1:2" x14ac:dyDescent="0.2">
      <c r="A3630" s="40"/>
      <c r="B3630" s="40"/>
    </row>
    <row r="3631" spans="1:2" x14ac:dyDescent="0.2">
      <c r="A3631" s="40"/>
      <c r="B3631" s="40"/>
    </row>
    <row r="3632" spans="1:2" x14ac:dyDescent="0.2">
      <c r="A3632" s="40"/>
      <c r="B3632" s="40"/>
    </row>
    <row r="3633" spans="1:2" x14ac:dyDescent="0.2">
      <c r="A3633" s="40"/>
      <c r="B3633" s="40"/>
    </row>
    <row r="3634" spans="1:2" x14ac:dyDescent="0.2">
      <c r="A3634" s="40"/>
      <c r="B3634" s="40"/>
    </row>
    <row r="3635" spans="1:2" x14ac:dyDescent="0.2">
      <c r="A3635" s="40"/>
      <c r="B3635" s="40"/>
    </row>
    <row r="3636" spans="1:2" x14ac:dyDescent="0.2">
      <c r="A3636" s="40"/>
      <c r="B3636" s="40"/>
    </row>
    <row r="3637" spans="1:2" x14ac:dyDescent="0.2">
      <c r="A3637" s="40"/>
      <c r="B3637" s="40"/>
    </row>
    <row r="3638" spans="1:2" x14ac:dyDescent="0.2">
      <c r="A3638" s="40"/>
      <c r="B3638" s="40"/>
    </row>
    <row r="3639" spans="1:2" x14ac:dyDescent="0.2">
      <c r="A3639" s="40"/>
      <c r="B3639" s="40"/>
    </row>
    <row r="3640" spans="1:2" x14ac:dyDescent="0.2">
      <c r="A3640" s="40"/>
      <c r="B3640" s="40"/>
    </row>
    <row r="3641" spans="1:2" x14ac:dyDescent="0.2">
      <c r="A3641" s="40"/>
      <c r="B3641" s="40"/>
    </row>
    <row r="3642" spans="1:2" x14ac:dyDescent="0.2">
      <c r="A3642" s="40"/>
      <c r="B3642" s="40"/>
    </row>
    <row r="3643" spans="1:2" x14ac:dyDescent="0.2">
      <c r="A3643" s="40"/>
      <c r="B3643" s="40"/>
    </row>
    <row r="3644" spans="1:2" x14ac:dyDescent="0.2">
      <c r="A3644" s="40"/>
      <c r="B3644" s="40"/>
    </row>
    <row r="3645" spans="1:2" x14ac:dyDescent="0.2">
      <c r="A3645" s="40"/>
      <c r="B3645" s="40"/>
    </row>
    <row r="3646" spans="1:2" x14ac:dyDescent="0.2">
      <c r="A3646" s="40"/>
      <c r="B3646" s="40"/>
    </row>
    <row r="3647" spans="1:2" x14ac:dyDescent="0.2">
      <c r="A3647" s="40"/>
      <c r="B3647" s="40"/>
    </row>
    <row r="3648" spans="1:2" x14ac:dyDescent="0.2">
      <c r="A3648" s="40"/>
      <c r="B3648" s="40"/>
    </row>
    <row r="3649" spans="1:2" x14ac:dyDescent="0.2">
      <c r="A3649" s="40"/>
      <c r="B3649" s="40"/>
    </row>
    <row r="3650" spans="1:2" x14ac:dyDescent="0.2">
      <c r="A3650" s="40"/>
      <c r="B3650" s="40"/>
    </row>
    <row r="3651" spans="1:2" x14ac:dyDescent="0.2">
      <c r="A3651" s="40"/>
      <c r="B3651" s="40"/>
    </row>
    <row r="3652" spans="1:2" x14ac:dyDescent="0.2">
      <c r="A3652" s="40"/>
      <c r="B3652" s="40"/>
    </row>
    <row r="3653" spans="1:2" x14ac:dyDescent="0.2">
      <c r="A3653" s="40"/>
      <c r="B3653" s="40"/>
    </row>
    <row r="3654" spans="1:2" x14ac:dyDescent="0.2">
      <c r="A3654" s="40"/>
      <c r="B3654" s="40"/>
    </row>
    <row r="3655" spans="1:2" x14ac:dyDescent="0.2">
      <c r="A3655" s="40"/>
      <c r="B3655" s="40"/>
    </row>
    <row r="3656" spans="1:2" x14ac:dyDescent="0.2">
      <c r="A3656" s="40"/>
      <c r="B3656" s="40"/>
    </row>
    <row r="3657" spans="1:2" x14ac:dyDescent="0.2">
      <c r="A3657" s="40"/>
      <c r="B3657" s="40"/>
    </row>
    <row r="3658" spans="1:2" x14ac:dyDescent="0.2">
      <c r="A3658" s="40"/>
      <c r="B3658" s="40"/>
    </row>
    <row r="3659" spans="1:2" x14ac:dyDescent="0.2">
      <c r="A3659" s="40"/>
      <c r="B3659" s="40"/>
    </row>
    <row r="3660" spans="1:2" x14ac:dyDescent="0.2">
      <c r="A3660" s="40"/>
      <c r="B3660" s="40"/>
    </row>
    <row r="3661" spans="1:2" x14ac:dyDescent="0.2">
      <c r="A3661" s="40"/>
      <c r="B3661" s="40"/>
    </row>
    <row r="3662" spans="1:2" x14ac:dyDescent="0.2">
      <c r="A3662" s="40"/>
      <c r="B3662" s="40"/>
    </row>
    <row r="3663" spans="1:2" x14ac:dyDescent="0.2">
      <c r="A3663" s="40"/>
      <c r="B3663" s="40"/>
    </row>
    <row r="3664" spans="1:2" x14ac:dyDescent="0.2">
      <c r="A3664" s="40"/>
      <c r="B3664" s="40"/>
    </row>
    <row r="3665" spans="1:2" x14ac:dyDescent="0.2">
      <c r="A3665" s="40"/>
      <c r="B3665" s="40"/>
    </row>
    <row r="3666" spans="1:2" x14ac:dyDescent="0.2">
      <c r="A3666" s="40"/>
      <c r="B3666" s="40"/>
    </row>
    <row r="3667" spans="1:2" x14ac:dyDescent="0.2">
      <c r="A3667" s="40"/>
      <c r="B3667" s="40"/>
    </row>
    <row r="3668" spans="1:2" x14ac:dyDescent="0.2">
      <c r="A3668" s="40"/>
      <c r="B3668" s="40"/>
    </row>
    <row r="3669" spans="1:2" x14ac:dyDescent="0.2">
      <c r="A3669" s="40"/>
      <c r="B3669" s="40"/>
    </row>
    <row r="3670" spans="1:2" x14ac:dyDescent="0.2">
      <c r="A3670" s="40"/>
      <c r="B3670" s="40"/>
    </row>
    <row r="3671" spans="1:2" x14ac:dyDescent="0.2">
      <c r="A3671" s="40"/>
      <c r="B3671" s="40"/>
    </row>
    <row r="3672" spans="1:2" x14ac:dyDescent="0.2">
      <c r="A3672" s="40"/>
      <c r="B3672" s="40"/>
    </row>
    <row r="3673" spans="1:2" x14ac:dyDescent="0.2">
      <c r="A3673" s="40"/>
      <c r="B3673" s="40"/>
    </row>
    <row r="3674" spans="1:2" x14ac:dyDescent="0.2">
      <c r="A3674" s="40"/>
      <c r="B3674" s="40"/>
    </row>
    <row r="3675" spans="1:2" x14ac:dyDescent="0.2">
      <c r="A3675" s="40"/>
      <c r="B3675" s="40"/>
    </row>
    <row r="3676" spans="1:2" x14ac:dyDescent="0.2">
      <c r="A3676" s="40"/>
      <c r="B3676" s="40"/>
    </row>
    <row r="3677" spans="1:2" x14ac:dyDescent="0.2">
      <c r="A3677" s="40"/>
      <c r="B3677" s="40"/>
    </row>
    <row r="3678" spans="1:2" x14ac:dyDescent="0.2">
      <c r="A3678" s="40"/>
      <c r="B3678" s="40"/>
    </row>
    <row r="3679" spans="1:2" x14ac:dyDescent="0.2">
      <c r="A3679" s="40"/>
      <c r="B3679" s="40"/>
    </row>
    <row r="3680" spans="1:2" x14ac:dyDescent="0.2">
      <c r="A3680" s="40"/>
      <c r="B3680" s="40"/>
    </row>
    <row r="3681" spans="1:2" x14ac:dyDescent="0.2">
      <c r="A3681" s="40"/>
      <c r="B3681" s="40"/>
    </row>
    <row r="3682" spans="1:2" x14ac:dyDescent="0.2">
      <c r="A3682" s="40"/>
      <c r="B3682" s="40"/>
    </row>
    <row r="3683" spans="1:2" x14ac:dyDescent="0.2">
      <c r="A3683" s="40"/>
      <c r="B3683" s="40"/>
    </row>
    <row r="3684" spans="1:2" x14ac:dyDescent="0.2">
      <c r="A3684" s="40"/>
      <c r="B3684" s="40"/>
    </row>
    <row r="3685" spans="1:2" x14ac:dyDescent="0.2">
      <c r="A3685" s="40"/>
      <c r="B3685" s="40"/>
    </row>
    <row r="3686" spans="1:2" x14ac:dyDescent="0.2">
      <c r="A3686" s="40"/>
      <c r="B3686" s="40"/>
    </row>
    <row r="3687" spans="1:2" x14ac:dyDescent="0.2">
      <c r="A3687" s="40"/>
      <c r="B3687" s="40"/>
    </row>
    <row r="3688" spans="1:2" x14ac:dyDescent="0.2">
      <c r="A3688" s="40"/>
      <c r="B3688" s="40"/>
    </row>
    <row r="3689" spans="1:2" x14ac:dyDescent="0.2">
      <c r="A3689" s="40"/>
      <c r="B3689" s="40"/>
    </row>
    <row r="3690" spans="1:2" x14ac:dyDescent="0.2">
      <c r="A3690" s="40"/>
      <c r="B3690" s="40"/>
    </row>
    <row r="3691" spans="1:2" x14ac:dyDescent="0.2">
      <c r="A3691" s="40"/>
      <c r="B3691" s="40"/>
    </row>
    <row r="3692" spans="1:2" x14ac:dyDescent="0.2">
      <c r="A3692" s="40"/>
      <c r="B3692" s="40"/>
    </row>
    <row r="3693" spans="1:2" x14ac:dyDescent="0.2">
      <c r="A3693" s="40"/>
      <c r="B3693" s="40"/>
    </row>
    <row r="3694" spans="1:2" x14ac:dyDescent="0.2">
      <c r="A3694" s="40"/>
      <c r="B3694" s="40"/>
    </row>
    <row r="3695" spans="1:2" x14ac:dyDescent="0.2">
      <c r="A3695" s="40"/>
      <c r="B3695" s="40"/>
    </row>
    <row r="3696" spans="1:2" x14ac:dyDescent="0.2">
      <c r="A3696" s="40"/>
      <c r="B3696" s="40"/>
    </row>
    <row r="3697" spans="1:2" x14ac:dyDescent="0.2">
      <c r="A3697" s="40"/>
      <c r="B3697" s="40"/>
    </row>
    <row r="3698" spans="1:2" x14ac:dyDescent="0.2">
      <c r="A3698" s="40"/>
      <c r="B3698" s="40"/>
    </row>
    <row r="3699" spans="1:2" x14ac:dyDescent="0.2">
      <c r="A3699" s="40"/>
      <c r="B3699" s="40"/>
    </row>
    <row r="3700" spans="1:2" x14ac:dyDescent="0.2">
      <c r="A3700" s="40"/>
      <c r="B3700" s="40"/>
    </row>
    <row r="3701" spans="1:2" x14ac:dyDescent="0.2">
      <c r="A3701" s="40"/>
      <c r="B3701" s="40"/>
    </row>
    <row r="3702" spans="1:2" x14ac:dyDescent="0.2">
      <c r="A3702" s="40"/>
      <c r="B3702" s="40"/>
    </row>
    <row r="3703" spans="1:2" x14ac:dyDescent="0.2">
      <c r="A3703" s="40"/>
      <c r="B3703" s="40"/>
    </row>
    <row r="3704" spans="1:2" x14ac:dyDescent="0.2">
      <c r="A3704" s="40"/>
      <c r="B3704" s="40"/>
    </row>
    <row r="3705" spans="1:2" x14ac:dyDescent="0.2">
      <c r="A3705" s="40"/>
      <c r="B3705" s="40"/>
    </row>
    <row r="3706" spans="1:2" x14ac:dyDescent="0.2">
      <c r="A3706" s="40"/>
      <c r="B3706" s="40"/>
    </row>
    <row r="3707" spans="1:2" x14ac:dyDescent="0.2">
      <c r="A3707" s="40"/>
      <c r="B3707" s="40"/>
    </row>
    <row r="3708" spans="1:2" x14ac:dyDescent="0.2">
      <c r="A3708" s="40"/>
      <c r="B3708" s="40"/>
    </row>
    <row r="3709" spans="1:2" x14ac:dyDescent="0.2">
      <c r="A3709" s="40"/>
      <c r="B3709" s="40"/>
    </row>
    <row r="3710" spans="1:2" x14ac:dyDescent="0.2">
      <c r="A3710" s="40"/>
      <c r="B3710" s="40"/>
    </row>
    <row r="3711" spans="1:2" x14ac:dyDescent="0.2">
      <c r="A3711" s="40"/>
      <c r="B3711" s="40"/>
    </row>
    <row r="3712" spans="1:2" x14ac:dyDescent="0.2">
      <c r="A3712" s="40"/>
      <c r="B3712" s="40"/>
    </row>
    <row r="3713" spans="1:2" x14ac:dyDescent="0.2">
      <c r="A3713" s="40"/>
      <c r="B3713" s="40"/>
    </row>
    <row r="3714" spans="1:2" x14ac:dyDescent="0.2">
      <c r="A3714" s="40"/>
      <c r="B3714" s="40"/>
    </row>
    <row r="3715" spans="1:2" x14ac:dyDescent="0.2">
      <c r="A3715" s="40"/>
      <c r="B3715" s="40"/>
    </row>
    <row r="3716" spans="1:2" x14ac:dyDescent="0.2">
      <c r="A3716" s="40"/>
      <c r="B3716" s="40"/>
    </row>
    <row r="3717" spans="1:2" x14ac:dyDescent="0.2">
      <c r="A3717" s="40"/>
      <c r="B3717" s="40"/>
    </row>
    <row r="3718" spans="1:2" x14ac:dyDescent="0.2">
      <c r="A3718" s="40"/>
      <c r="B3718" s="40"/>
    </row>
    <row r="3719" spans="1:2" x14ac:dyDescent="0.2">
      <c r="A3719" s="40"/>
      <c r="B3719" s="40"/>
    </row>
    <row r="3720" spans="1:2" x14ac:dyDescent="0.2">
      <c r="A3720" s="40"/>
      <c r="B3720" s="40"/>
    </row>
    <row r="3721" spans="1:2" x14ac:dyDescent="0.2">
      <c r="A3721" s="40"/>
      <c r="B3721" s="40"/>
    </row>
    <row r="3722" spans="1:2" x14ac:dyDescent="0.2">
      <c r="A3722" s="40"/>
      <c r="B3722" s="40"/>
    </row>
    <row r="3723" spans="1:2" x14ac:dyDescent="0.2">
      <c r="A3723" s="40"/>
      <c r="B3723" s="40"/>
    </row>
    <row r="3724" spans="1:2" x14ac:dyDescent="0.2">
      <c r="A3724" s="40"/>
      <c r="B3724" s="40"/>
    </row>
    <row r="3725" spans="1:2" x14ac:dyDescent="0.2">
      <c r="A3725" s="40"/>
      <c r="B3725" s="40"/>
    </row>
    <row r="3726" spans="1:2" x14ac:dyDescent="0.2">
      <c r="A3726" s="40"/>
      <c r="B3726" s="40"/>
    </row>
    <row r="3727" spans="1:2" x14ac:dyDescent="0.2">
      <c r="A3727" s="40"/>
      <c r="B3727" s="40"/>
    </row>
    <row r="3728" spans="1:2" x14ac:dyDescent="0.2">
      <c r="A3728" s="40"/>
      <c r="B3728" s="40"/>
    </row>
    <row r="3729" spans="1:2" x14ac:dyDescent="0.2">
      <c r="A3729" s="40"/>
      <c r="B3729" s="40"/>
    </row>
    <row r="3730" spans="1:2" x14ac:dyDescent="0.2">
      <c r="A3730" s="40"/>
      <c r="B3730" s="40"/>
    </row>
    <row r="3731" spans="1:2" x14ac:dyDescent="0.2">
      <c r="A3731" s="40"/>
      <c r="B3731" s="40"/>
    </row>
    <row r="3732" spans="1:2" x14ac:dyDescent="0.2">
      <c r="A3732" s="40"/>
      <c r="B3732" s="40"/>
    </row>
    <row r="3733" spans="1:2" x14ac:dyDescent="0.2">
      <c r="A3733" s="40"/>
      <c r="B3733" s="40"/>
    </row>
    <row r="3734" spans="1:2" x14ac:dyDescent="0.2">
      <c r="A3734" s="40"/>
      <c r="B3734" s="40"/>
    </row>
    <row r="3735" spans="1:2" x14ac:dyDescent="0.2">
      <c r="A3735" s="40"/>
      <c r="B3735" s="40"/>
    </row>
    <row r="3736" spans="1:2" x14ac:dyDescent="0.2">
      <c r="A3736" s="40"/>
      <c r="B3736" s="40"/>
    </row>
    <row r="3737" spans="1:2" x14ac:dyDescent="0.2">
      <c r="A3737" s="40"/>
      <c r="B3737" s="40"/>
    </row>
    <row r="3738" spans="1:2" x14ac:dyDescent="0.2">
      <c r="A3738" s="40"/>
      <c r="B3738" s="40"/>
    </row>
    <row r="3739" spans="1:2" x14ac:dyDescent="0.2">
      <c r="A3739" s="40"/>
      <c r="B3739" s="40"/>
    </row>
    <row r="3740" spans="1:2" x14ac:dyDescent="0.2">
      <c r="A3740" s="40"/>
      <c r="B3740" s="40"/>
    </row>
    <row r="3741" spans="1:2" x14ac:dyDescent="0.2">
      <c r="A3741" s="40"/>
      <c r="B3741" s="40"/>
    </row>
    <row r="3742" spans="1:2" x14ac:dyDescent="0.2">
      <c r="A3742" s="40"/>
      <c r="B3742" s="40"/>
    </row>
    <row r="3743" spans="1:2" x14ac:dyDescent="0.2">
      <c r="A3743" s="40"/>
      <c r="B3743" s="40"/>
    </row>
    <row r="3744" spans="1:2" x14ac:dyDescent="0.2">
      <c r="A3744" s="40"/>
      <c r="B3744" s="40"/>
    </row>
    <row r="3745" spans="1:2" x14ac:dyDescent="0.2">
      <c r="A3745" s="40"/>
      <c r="B3745" s="40"/>
    </row>
    <row r="3746" spans="1:2" x14ac:dyDescent="0.2">
      <c r="A3746" s="40"/>
      <c r="B3746" s="40"/>
    </row>
    <row r="3747" spans="1:2" x14ac:dyDescent="0.2">
      <c r="A3747" s="40"/>
      <c r="B3747" s="40"/>
    </row>
    <row r="3748" spans="1:2" x14ac:dyDescent="0.2">
      <c r="A3748" s="40"/>
      <c r="B3748" s="40"/>
    </row>
    <row r="3749" spans="1:2" x14ac:dyDescent="0.2">
      <c r="A3749" s="40"/>
      <c r="B3749" s="40"/>
    </row>
    <row r="3750" spans="1:2" x14ac:dyDescent="0.2">
      <c r="A3750" s="40"/>
      <c r="B3750" s="40"/>
    </row>
    <row r="3751" spans="1:2" x14ac:dyDescent="0.2">
      <c r="A3751" s="40"/>
      <c r="B3751" s="40"/>
    </row>
    <row r="3752" spans="1:2" x14ac:dyDescent="0.2">
      <c r="A3752" s="40"/>
      <c r="B3752" s="40"/>
    </row>
    <row r="3753" spans="1:2" x14ac:dyDescent="0.2">
      <c r="A3753" s="40"/>
      <c r="B3753" s="40"/>
    </row>
    <row r="3754" spans="1:2" x14ac:dyDescent="0.2">
      <c r="A3754" s="40"/>
      <c r="B3754" s="40"/>
    </row>
    <row r="3755" spans="1:2" x14ac:dyDescent="0.2">
      <c r="A3755" s="40"/>
      <c r="B3755" s="40"/>
    </row>
    <row r="3756" spans="1:2" x14ac:dyDescent="0.2">
      <c r="A3756" s="40"/>
      <c r="B3756" s="40"/>
    </row>
    <row r="3757" spans="1:2" x14ac:dyDescent="0.2">
      <c r="A3757" s="40"/>
      <c r="B3757" s="40"/>
    </row>
    <row r="3758" spans="1:2" x14ac:dyDescent="0.2">
      <c r="A3758" s="40"/>
      <c r="B3758" s="40"/>
    </row>
    <row r="3759" spans="1:2" x14ac:dyDescent="0.2">
      <c r="A3759" s="40"/>
      <c r="B3759" s="40"/>
    </row>
    <row r="3760" spans="1:2" x14ac:dyDescent="0.2">
      <c r="A3760" s="40"/>
      <c r="B3760" s="40"/>
    </row>
    <row r="3761" spans="1:2" x14ac:dyDescent="0.2">
      <c r="A3761" s="40"/>
      <c r="B3761" s="40"/>
    </row>
    <row r="3762" spans="1:2" x14ac:dyDescent="0.2">
      <c r="A3762" s="40"/>
      <c r="B3762" s="40"/>
    </row>
    <row r="3763" spans="1:2" x14ac:dyDescent="0.2">
      <c r="A3763" s="40"/>
      <c r="B3763" s="40"/>
    </row>
    <row r="3764" spans="1:2" x14ac:dyDescent="0.2">
      <c r="A3764" s="40"/>
      <c r="B3764" s="40"/>
    </row>
    <row r="3765" spans="1:2" x14ac:dyDescent="0.2">
      <c r="A3765" s="40"/>
      <c r="B3765" s="40"/>
    </row>
    <row r="3766" spans="1:2" x14ac:dyDescent="0.2">
      <c r="A3766" s="40"/>
      <c r="B3766" s="40"/>
    </row>
    <row r="3767" spans="1:2" x14ac:dyDescent="0.2">
      <c r="A3767" s="40"/>
      <c r="B3767" s="40"/>
    </row>
    <row r="3768" spans="1:2" x14ac:dyDescent="0.2">
      <c r="A3768" s="40"/>
      <c r="B3768" s="40"/>
    </row>
    <row r="3769" spans="1:2" x14ac:dyDescent="0.2">
      <c r="A3769" s="40"/>
      <c r="B3769" s="40"/>
    </row>
    <row r="3770" spans="1:2" x14ac:dyDescent="0.2">
      <c r="A3770" s="40"/>
      <c r="B3770" s="40"/>
    </row>
    <row r="3771" spans="1:2" x14ac:dyDescent="0.2">
      <c r="A3771" s="40"/>
      <c r="B3771" s="40"/>
    </row>
    <row r="3772" spans="1:2" x14ac:dyDescent="0.2">
      <c r="A3772" s="40"/>
      <c r="B3772" s="40"/>
    </row>
    <row r="3773" spans="1:2" x14ac:dyDescent="0.2">
      <c r="A3773" s="40"/>
      <c r="B3773" s="40"/>
    </row>
    <row r="3774" spans="1:2" x14ac:dyDescent="0.2">
      <c r="A3774" s="40"/>
      <c r="B3774" s="40"/>
    </row>
    <row r="3775" spans="1:2" x14ac:dyDescent="0.2">
      <c r="A3775" s="40"/>
      <c r="B3775" s="40"/>
    </row>
    <row r="3776" spans="1:2" x14ac:dyDescent="0.2">
      <c r="A3776" s="40"/>
      <c r="B3776" s="40"/>
    </row>
    <row r="3777" spans="1:2" x14ac:dyDescent="0.2">
      <c r="A3777" s="40"/>
      <c r="B3777" s="40"/>
    </row>
    <row r="3778" spans="1:2" x14ac:dyDescent="0.2">
      <c r="A3778" s="40"/>
      <c r="B3778" s="40"/>
    </row>
    <row r="3779" spans="1:2" x14ac:dyDescent="0.2">
      <c r="A3779" s="40"/>
      <c r="B3779" s="40"/>
    </row>
    <row r="3780" spans="1:2" x14ac:dyDescent="0.2">
      <c r="A3780" s="40"/>
      <c r="B3780" s="40"/>
    </row>
    <row r="3781" spans="1:2" x14ac:dyDescent="0.2">
      <c r="A3781" s="40"/>
      <c r="B3781" s="40"/>
    </row>
    <row r="3782" spans="1:2" x14ac:dyDescent="0.2">
      <c r="A3782" s="40"/>
      <c r="B3782" s="40"/>
    </row>
    <row r="3783" spans="1:2" x14ac:dyDescent="0.2">
      <c r="A3783" s="40"/>
      <c r="B3783" s="40"/>
    </row>
    <row r="3784" spans="1:2" x14ac:dyDescent="0.2">
      <c r="A3784" s="40"/>
      <c r="B3784" s="40"/>
    </row>
    <row r="3785" spans="1:2" x14ac:dyDescent="0.2">
      <c r="A3785" s="40"/>
      <c r="B3785" s="40"/>
    </row>
    <row r="3786" spans="1:2" x14ac:dyDescent="0.2">
      <c r="A3786" s="40"/>
      <c r="B3786" s="40"/>
    </row>
    <row r="3787" spans="1:2" x14ac:dyDescent="0.2">
      <c r="A3787" s="40"/>
      <c r="B3787" s="40"/>
    </row>
    <row r="3788" spans="1:2" x14ac:dyDescent="0.2">
      <c r="A3788" s="40"/>
      <c r="B3788" s="40"/>
    </row>
    <row r="3789" spans="1:2" x14ac:dyDescent="0.2">
      <c r="A3789" s="40"/>
      <c r="B3789" s="40"/>
    </row>
    <row r="3790" spans="1:2" x14ac:dyDescent="0.2">
      <c r="A3790" s="40"/>
      <c r="B3790" s="40"/>
    </row>
    <row r="3791" spans="1:2" x14ac:dyDescent="0.2">
      <c r="A3791" s="40"/>
      <c r="B3791" s="40"/>
    </row>
    <row r="3792" spans="1:2" x14ac:dyDescent="0.2">
      <c r="A3792" s="40"/>
      <c r="B3792" s="40"/>
    </row>
    <row r="3793" spans="1:2" x14ac:dyDescent="0.2">
      <c r="A3793" s="40"/>
      <c r="B3793" s="40"/>
    </row>
    <row r="3794" spans="1:2" x14ac:dyDescent="0.2">
      <c r="A3794" s="40"/>
      <c r="B3794" s="40"/>
    </row>
    <row r="3795" spans="1:2" x14ac:dyDescent="0.2">
      <c r="A3795" s="40"/>
      <c r="B3795" s="40"/>
    </row>
    <row r="3796" spans="1:2" x14ac:dyDescent="0.2">
      <c r="A3796" s="40"/>
      <c r="B3796" s="40"/>
    </row>
    <row r="3797" spans="1:2" x14ac:dyDescent="0.2">
      <c r="A3797" s="40"/>
      <c r="B3797" s="40"/>
    </row>
    <row r="3798" spans="1:2" x14ac:dyDescent="0.2">
      <c r="A3798" s="40"/>
      <c r="B3798" s="40"/>
    </row>
    <row r="3799" spans="1:2" x14ac:dyDescent="0.2">
      <c r="A3799" s="40"/>
      <c r="B3799" s="40"/>
    </row>
    <row r="3800" spans="1:2" x14ac:dyDescent="0.2">
      <c r="A3800" s="40"/>
      <c r="B3800" s="40"/>
    </row>
    <row r="3801" spans="1:2" x14ac:dyDescent="0.2">
      <c r="A3801" s="40"/>
      <c r="B3801" s="40"/>
    </row>
    <row r="3802" spans="1:2" x14ac:dyDescent="0.2">
      <c r="A3802" s="40"/>
      <c r="B3802" s="40"/>
    </row>
    <row r="3803" spans="1:2" x14ac:dyDescent="0.2">
      <c r="A3803" s="40"/>
      <c r="B3803" s="40"/>
    </row>
    <row r="3804" spans="1:2" x14ac:dyDescent="0.2">
      <c r="A3804" s="40"/>
      <c r="B3804" s="40"/>
    </row>
    <row r="3805" spans="1:2" x14ac:dyDescent="0.2">
      <c r="A3805" s="40"/>
      <c r="B3805" s="40"/>
    </row>
    <row r="3806" spans="1:2" x14ac:dyDescent="0.2">
      <c r="A3806" s="40"/>
      <c r="B3806" s="40"/>
    </row>
    <row r="3807" spans="1:2" x14ac:dyDescent="0.2">
      <c r="A3807" s="40"/>
      <c r="B3807" s="40"/>
    </row>
    <row r="3808" spans="1:2" x14ac:dyDescent="0.2">
      <c r="A3808" s="40"/>
      <c r="B3808" s="40"/>
    </row>
    <row r="3809" spans="1:2" x14ac:dyDescent="0.2">
      <c r="A3809" s="40"/>
      <c r="B3809" s="40"/>
    </row>
    <row r="3810" spans="1:2" x14ac:dyDescent="0.2">
      <c r="A3810" s="40"/>
      <c r="B3810" s="40"/>
    </row>
    <row r="3811" spans="1:2" x14ac:dyDescent="0.2">
      <c r="A3811" s="40"/>
      <c r="B3811" s="40"/>
    </row>
    <row r="3812" spans="1:2" x14ac:dyDescent="0.2">
      <c r="A3812" s="40"/>
      <c r="B3812" s="40"/>
    </row>
    <row r="3813" spans="1:2" x14ac:dyDescent="0.2">
      <c r="A3813" s="40"/>
      <c r="B3813" s="40"/>
    </row>
    <row r="3814" spans="1:2" x14ac:dyDescent="0.2">
      <c r="A3814" s="40"/>
      <c r="B3814" s="40"/>
    </row>
    <row r="3815" spans="1:2" x14ac:dyDescent="0.2">
      <c r="A3815" s="40"/>
      <c r="B3815" s="40"/>
    </row>
    <row r="3816" spans="1:2" x14ac:dyDescent="0.2">
      <c r="A3816" s="40"/>
      <c r="B3816" s="40"/>
    </row>
    <row r="3817" spans="1:2" x14ac:dyDescent="0.2">
      <c r="A3817" s="40"/>
      <c r="B3817" s="40"/>
    </row>
    <row r="3818" spans="1:2" x14ac:dyDescent="0.2">
      <c r="A3818" s="40"/>
      <c r="B3818" s="40"/>
    </row>
    <row r="3819" spans="1:2" x14ac:dyDescent="0.2">
      <c r="A3819" s="40"/>
      <c r="B3819" s="40"/>
    </row>
    <row r="3820" spans="1:2" x14ac:dyDescent="0.2">
      <c r="A3820" s="40"/>
      <c r="B3820" s="40"/>
    </row>
    <row r="3821" spans="1:2" x14ac:dyDescent="0.2">
      <c r="A3821" s="40"/>
      <c r="B3821" s="40"/>
    </row>
    <row r="3822" spans="1:2" x14ac:dyDescent="0.2">
      <c r="A3822" s="40"/>
      <c r="B3822" s="40"/>
    </row>
    <row r="3823" spans="1:2" x14ac:dyDescent="0.2">
      <c r="A3823" s="40"/>
      <c r="B3823" s="40"/>
    </row>
    <row r="3824" spans="1:2" x14ac:dyDescent="0.2">
      <c r="A3824" s="40"/>
      <c r="B3824" s="40"/>
    </row>
    <row r="3825" spans="1:2" x14ac:dyDescent="0.2">
      <c r="A3825" s="40"/>
      <c r="B3825" s="40"/>
    </row>
    <row r="3826" spans="1:2" x14ac:dyDescent="0.2">
      <c r="A3826" s="40"/>
      <c r="B3826" s="40"/>
    </row>
    <row r="3827" spans="1:2" x14ac:dyDescent="0.2">
      <c r="A3827" s="40"/>
      <c r="B3827" s="40"/>
    </row>
    <row r="3828" spans="1:2" x14ac:dyDescent="0.2">
      <c r="A3828" s="40"/>
      <c r="B3828" s="40"/>
    </row>
    <row r="3829" spans="1:2" x14ac:dyDescent="0.2">
      <c r="A3829" s="40"/>
      <c r="B3829" s="40"/>
    </row>
    <row r="3830" spans="1:2" x14ac:dyDescent="0.2">
      <c r="A3830" s="40"/>
      <c r="B3830" s="40"/>
    </row>
    <row r="3831" spans="1:2" x14ac:dyDescent="0.2">
      <c r="A3831" s="40"/>
      <c r="B3831" s="40"/>
    </row>
    <row r="3832" spans="1:2" x14ac:dyDescent="0.2">
      <c r="A3832" s="40"/>
      <c r="B3832" s="40"/>
    </row>
    <row r="3833" spans="1:2" x14ac:dyDescent="0.2">
      <c r="A3833" s="40"/>
      <c r="B3833" s="40"/>
    </row>
    <row r="3834" spans="1:2" x14ac:dyDescent="0.2">
      <c r="A3834" s="40"/>
      <c r="B3834" s="40"/>
    </row>
    <row r="3835" spans="1:2" x14ac:dyDescent="0.2">
      <c r="A3835" s="40"/>
      <c r="B3835" s="40"/>
    </row>
    <row r="3836" spans="1:2" x14ac:dyDescent="0.2">
      <c r="A3836" s="40"/>
      <c r="B3836" s="40"/>
    </row>
    <row r="3837" spans="1:2" x14ac:dyDescent="0.2">
      <c r="A3837" s="40"/>
      <c r="B3837" s="40"/>
    </row>
    <row r="3838" spans="1:2" x14ac:dyDescent="0.2">
      <c r="A3838" s="40"/>
      <c r="B3838" s="40"/>
    </row>
    <row r="3839" spans="1:2" x14ac:dyDescent="0.2">
      <c r="A3839" s="40"/>
      <c r="B3839" s="40"/>
    </row>
    <row r="3840" spans="1:2" x14ac:dyDescent="0.2">
      <c r="A3840" s="40"/>
      <c r="B3840" s="40"/>
    </row>
    <row r="3841" spans="1:2" x14ac:dyDescent="0.2">
      <c r="A3841" s="40"/>
      <c r="B3841" s="40"/>
    </row>
    <row r="3842" spans="1:2" x14ac:dyDescent="0.2">
      <c r="A3842" s="40"/>
      <c r="B3842" s="40"/>
    </row>
    <row r="3843" spans="1:2" x14ac:dyDescent="0.2">
      <c r="A3843" s="40"/>
      <c r="B3843" s="40"/>
    </row>
    <row r="3844" spans="1:2" x14ac:dyDescent="0.2">
      <c r="A3844" s="40"/>
      <c r="B3844" s="40"/>
    </row>
    <row r="3845" spans="1:2" x14ac:dyDescent="0.2">
      <c r="A3845" s="40"/>
      <c r="B3845" s="40"/>
    </row>
    <row r="3846" spans="1:2" x14ac:dyDescent="0.2">
      <c r="A3846" s="40"/>
      <c r="B3846" s="40"/>
    </row>
    <row r="3847" spans="1:2" x14ac:dyDescent="0.2">
      <c r="A3847" s="40"/>
      <c r="B3847" s="40"/>
    </row>
    <row r="3848" spans="1:2" x14ac:dyDescent="0.2">
      <c r="A3848" s="40"/>
      <c r="B3848" s="40"/>
    </row>
    <row r="3849" spans="1:2" x14ac:dyDescent="0.2">
      <c r="A3849" s="40"/>
      <c r="B3849" s="40"/>
    </row>
    <row r="3850" spans="1:2" x14ac:dyDescent="0.2">
      <c r="A3850" s="40"/>
      <c r="B3850" s="40"/>
    </row>
    <row r="3851" spans="1:2" x14ac:dyDescent="0.2">
      <c r="A3851" s="40"/>
      <c r="B3851" s="40"/>
    </row>
    <row r="3852" spans="1:2" x14ac:dyDescent="0.2">
      <c r="A3852" s="40"/>
      <c r="B3852" s="40"/>
    </row>
    <row r="3853" spans="1:2" x14ac:dyDescent="0.2">
      <c r="A3853" s="40"/>
      <c r="B3853" s="40"/>
    </row>
    <row r="3854" spans="1:2" x14ac:dyDescent="0.2">
      <c r="A3854" s="40"/>
      <c r="B3854" s="40"/>
    </row>
    <row r="3855" spans="1:2" x14ac:dyDescent="0.2">
      <c r="A3855" s="40"/>
      <c r="B3855" s="40"/>
    </row>
    <row r="3856" spans="1:2" x14ac:dyDescent="0.2">
      <c r="A3856" s="40"/>
      <c r="B3856" s="40"/>
    </row>
    <row r="3857" spans="1:2" x14ac:dyDescent="0.2">
      <c r="A3857" s="40"/>
      <c r="B3857" s="40"/>
    </row>
    <row r="3858" spans="1:2" x14ac:dyDescent="0.2">
      <c r="A3858" s="40"/>
      <c r="B3858" s="40"/>
    </row>
    <row r="3859" spans="1:2" x14ac:dyDescent="0.2">
      <c r="A3859" s="40"/>
      <c r="B3859" s="40"/>
    </row>
    <row r="3860" spans="1:2" x14ac:dyDescent="0.2">
      <c r="A3860" s="40"/>
      <c r="B3860" s="40"/>
    </row>
    <row r="3861" spans="1:2" x14ac:dyDescent="0.2">
      <c r="A3861" s="40"/>
      <c r="B3861" s="40"/>
    </row>
    <row r="3862" spans="1:2" x14ac:dyDescent="0.2">
      <c r="A3862" s="40"/>
      <c r="B3862" s="40"/>
    </row>
    <row r="3863" spans="1:2" x14ac:dyDescent="0.2">
      <c r="A3863" s="40"/>
      <c r="B3863" s="40"/>
    </row>
    <row r="3864" spans="1:2" x14ac:dyDescent="0.2">
      <c r="A3864" s="40"/>
      <c r="B3864" s="40"/>
    </row>
    <row r="3865" spans="1:2" x14ac:dyDescent="0.2">
      <c r="A3865" s="40"/>
      <c r="B3865" s="40"/>
    </row>
    <row r="3866" spans="1:2" x14ac:dyDescent="0.2">
      <c r="A3866" s="40"/>
      <c r="B3866" s="40"/>
    </row>
    <row r="3867" spans="1:2" x14ac:dyDescent="0.2">
      <c r="A3867" s="40"/>
      <c r="B3867" s="40"/>
    </row>
    <row r="3868" spans="1:2" x14ac:dyDescent="0.2">
      <c r="A3868" s="40"/>
      <c r="B3868" s="40"/>
    </row>
    <row r="3869" spans="1:2" x14ac:dyDescent="0.2">
      <c r="A3869" s="40"/>
      <c r="B3869" s="40"/>
    </row>
    <row r="3870" spans="1:2" x14ac:dyDescent="0.2">
      <c r="A3870" s="40"/>
      <c r="B3870" s="40"/>
    </row>
    <row r="3871" spans="1:2" x14ac:dyDescent="0.2">
      <c r="A3871" s="40"/>
      <c r="B3871" s="40"/>
    </row>
    <row r="3872" spans="1:2" x14ac:dyDescent="0.2">
      <c r="A3872" s="40"/>
      <c r="B3872" s="40"/>
    </row>
    <row r="3873" spans="1:2" x14ac:dyDescent="0.2">
      <c r="A3873" s="40"/>
      <c r="B3873" s="40"/>
    </row>
    <row r="3874" spans="1:2" x14ac:dyDescent="0.2">
      <c r="A3874" s="40"/>
      <c r="B3874" s="40"/>
    </row>
    <row r="3875" spans="1:2" x14ac:dyDescent="0.2">
      <c r="A3875" s="40"/>
      <c r="B3875" s="40"/>
    </row>
    <row r="3876" spans="1:2" x14ac:dyDescent="0.2">
      <c r="A3876" s="40"/>
      <c r="B3876" s="40"/>
    </row>
    <row r="3877" spans="1:2" x14ac:dyDescent="0.2">
      <c r="A3877" s="40"/>
      <c r="B3877" s="40"/>
    </row>
    <row r="3878" spans="1:2" x14ac:dyDescent="0.2">
      <c r="A3878" s="40"/>
      <c r="B3878" s="40"/>
    </row>
    <row r="3879" spans="1:2" x14ac:dyDescent="0.2">
      <c r="A3879" s="40"/>
      <c r="B3879" s="40"/>
    </row>
    <row r="3880" spans="1:2" x14ac:dyDescent="0.2">
      <c r="A3880" s="40"/>
      <c r="B3880" s="40"/>
    </row>
    <row r="3881" spans="1:2" x14ac:dyDescent="0.2">
      <c r="A3881" s="40"/>
      <c r="B3881" s="40"/>
    </row>
    <row r="3882" spans="1:2" x14ac:dyDescent="0.2">
      <c r="A3882" s="40"/>
      <c r="B3882" s="40"/>
    </row>
    <row r="3883" spans="1:2" x14ac:dyDescent="0.2">
      <c r="A3883" s="40"/>
      <c r="B3883" s="40"/>
    </row>
    <row r="3884" spans="1:2" x14ac:dyDescent="0.2">
      <c r="A3884" s="40"/>
      <c r="B3884" s="40"/>
    </row>
    <row r="3885" spans="1:2" x14ac:dyDescent="0.2">
      <c r="A3885" s="40"/>
      <c r="B3885" s="40"/>
    </row>
    <row r="3886" spans="1:2" x14ac:dyDescent="0.2">
      <c r="A3886" s="40"/>
      <c r="B3886" s="40"/>
    </row>
    <row r="3887" spans="1:2" x14ac:dyDescent="0.2">
      <c r="A3887" s="40"/>
      <c r="B3887" s="40"/>
    </row>
    <row r="3888" spans="1:2" x14ac:dyDescent="0.2">
      <c r="A3888" s="40"/>
      <c r="B3888" s="40"/>
    </row>
    <row r="3889" spans="1:2" x14ac:dyDescent="0.2">
      <c r="A3889" s="40"/>
      <c r="B3889" s="40"/>
    </row>
    <row r="3890" spans="1:2" x14ac:dyDescent="0.2">
      <c r="A3890" s="40"/>
      <c r="B3890" s="40"/>
    </row>
    <row r="3891" spans="1:2" x14ac:dyDescent="0.2">
      <c r="A3891" s="40"/>
      <c r="B3891" s="40"/>
    </row>
    <row r="3892" spans="1:2" x14ac:dyDescent="0.2">
      <c r="A3892" s="40"/>
      <c r="B3892" s="40"/>
    </row>
    <row r="3893" spans="1:2" x14ac:dyDescent="0.2">
      <c r="A3893" s="40"/>
      <c r="B3893" s="40"/>
    </row>
    <row r="3894" spans="1:2" x14ac:dyDescent="0.2">
      <c r="A3894" s="40"/>
      <c r="B3894" s="40"/>
    </row>
    <row r="3895" spans="1:2" x14ac:dyDescent="0.2">
      <c r="A3895" s="40"/>
      <c r="B3895" s="40"/>
    </row>
    <row r="3896" spans="1:2" x14ac:dyDescent="0.2">
      <c r="A3896" s="40"/>
      <c r="B3896" s="40"/>
    </row>
    <row r="3897" spans="1:2" x14ac:dyDescent="0.2">
      <c r="A3897" s="40"/>
      <c r="B3897" s="40"/>
    </row>
    <row r="3898" spans="1:2" x14ac:dyDescent="0.2">
      <c r="A3898" s="40"/>
      <c r="B3898" s="40"/>
    </row>
    <row r="3899" spans="1:2" x14ac:dyDescent="0.2">
      <c r="A3899" s="40"/>
      <c r="B3899" s="40"/>
    </row>
    <row r="3900" spans="1:2" x14ac:dyDescent="0.2">
      <c r="A3900" s="40"/>
      <c r="B3900" s="40"/>
    </row>
    <row r="3901" spans="1:2" x14ac:dyDescent="0.2">
      <c r="A3901" s="40"/>
      <c r="B3901" s="40"/>
    </row>
    <row r="3902" spans="1:2" x14ac:dyDescent="0.2">
      <c r="A3902" s="40"/>
      <c r="B3902" s="40"/>
    </row>
    <row r="3903" spans="1:2" x14ac:dyDescent="0.2">
      <c r="A3903" s="40"/>
      <c r="B3903" s="40"/>
    </row>
    <row r="3904" spans="1:2" x14ac:dyDescent="0.2">
      <c r="A3904" s="40"/>
      <c r="B3904" s="40"/>
    </row>
    <row r="3905" spans="1:2" x14ac:dyDescent="0.2">
      <c r="A3905" s="40"/>
      <c r="B3905" s="40"/>
    </row>
    <row r="3906" spans="1:2" x14ac:dyDescent="0.2">
      <c r="A3906" s="40"/>
      <c r="B3906" s="40"/>
    </row>
    <row r="3907" spans="1:2" x14ac:dyDescent="0.2">
      <c r="A3907" s="40"/>
      <c r="B3907" s="40"/>
    </row>
    <row r="3908" spans="1:2" x14ac:dyDescent="0.2">
      <c r="A3908" s="40"/>
      <c r="B3908" s="40"/>
    </row>
    <row r="3909" spans="1:2" x14ac:dyDescent="0.2">
      <c r="A3909" s="40"/>
      <c r="B3909" s="40"/>
    </row>
    <row r="3910" spans="1:2" x14ac:dyDescent="0.2">
      <c r="A3910" s="40"/>
      <c r="B3910" s="40"/>
    </row>
    <row r="3911" spans="1:2" x14ac:dyDescent="0.2">
      <c r="A3911" s="40"/>
      <c r="B3911" s="40"/>
    </row>
    <row r="3912" spans="1:2" x14ac:dyDescent="0.2">
      <c r="A3912" s="40"/>
      <c r="B3912" s="40"/>
    </row>
    <row r="3913" spans="1:2" x14ac:dyDescent="0.2">
      <c r="A3913" s="40"/>
      <c r="B3913" s="40"/>
    </row>
    <row r="3914" spans="1:2" x14ac:dyDescent="0.2">
      <c r="A3914" s="40"/>
      <c r="B3914" s="40"/>
    </row>
    <row r="3915" spans="1:2" x14ac:dyDescent="0.2">
      <c r="A3915" s="40"/>
      <c r="B3915" s="40"/>
    </row>
    <row r="3916" spans="1:2" x14ac:dyDescent="0.2">
      <c r="A3916" s="40"/>
      <c r="B3916" s="40"/>
    </row>
    <row r="3917" spans="1:2" x14ac:dyDescent="0.2">
      <c r="A3917" s="40"/>
      <c r="B3917" s="40"/>
    </row>
    <row r="3918" spans="1:2" x14ac:dyDescent="0.2">
      <c r="A3918" s="40"/>
      <c r="B3918" s="40"/>
    </row>
    <row r="3919" spans="1:2" x14ac:dyDescent="0.2">
      <c r="A3919" s="40"/>
      <c r="B3919" s="40"/>
    </row>
    <row r="3920" spans="1:2" x14ac:dyDescent="0.2">
      <c r="A3920" s="40"/>
      <c r="B3920" s="40"/>
    </row>
    <row r="3921" spans="1:2" x14ac:dyDescent="0.2">
      <c r="A3921" s="40"/>
      <c r="B3921" s="40"/>
    </row>
    <row r="3922" spans="1:2" x14ac:dyDescent="0.2">
      <c r="A3922" s="40"/>
      <c r="B3922" s="40"/>
    </row>
    <row r="3923" spans="1:2" x14ac:dyDescent="0.2">
      <c r="A3923" s="40"/>
      <c r="B3923" s="40"/>
    </row>
    <row r="3924" spans="1:2" x14ac:dyDescent="0.2">
      <c r="A3924" s="40"/>
      <c r="B3924" s="40"/>
    </row>
    <row r="3925" spans="1:2" x14ac:dyDescent="0.2">
      <c r="A3925" s="40"/>
      <c r="B3925" s="40"/>
    </row>
    <row r="3926" spans="1:2" x14ac:dyDescent="0.2">
      <c r="A3926" s="40"/>
      <c r="B3926" s="40"/>
    </row>
    <row r="3927" spans="1:2" x14ac:dyDescent="0.2">
      <c r="A3927" s="40"/>
      <c r="B3927" s="40"/>
    </row>
    <row r="3928" spans="1:2" x14ac:dyDescent="0.2">
      <c r="A3928" s="40"/>
      <c r="B3928" s="40"/>
    </row>
    <row r="3929" spans="1:2" x14ac:dyDescent="0.2">
      <c r="A3929" s="40"/>
      <c r="B3929" s="40"/>
    </row>
    <row r="3930" spans="1:2" x14ac:dyDescent="0.2">
      <c r="A3930" s="40"/>
      <c r="B3930" s="40"/>
    </row>
    <row r="3931" spans="1:2" x14ac:dyDescent="0.2">
      <c r="A3931" s="40"/>
      <c r="B3931" s="40"/>
    </row>
    <row r="3932" spans="1:2" x14ac:dyDescent="0.2">
      <c r="A3932" s="40"/>
      <c r="B3932" s="40"/>
    </row>
    <row r="3933" spans="1:2" x14ac:dyDescent="0.2">
      <c r="A3933" s="40"/>
      <c r="B3933" s="40"/>
    </row>
    <row r="3934" spans="1:2" x14ac:dyDescent="0.2">
      <c r="A3934" s="40"/>
      <c r="B3934" s="40"/>
    </row>
    <row r="3935" spans="1:2" x14ac:dyDescent="0.2">
      <c r="A3935" s="40"/>
      <c r="B3935" s="40"/>
    </row>
    <row r="3936" spans="1:2" x14ac:dyDescent="0.2">
      <c r="A3936" s="40"/>
      <c r="B3936" s="40"/>
    </row>
    <row r="3937" spans="1:2" x14ac:dyDescent="0.2">
      <c r="A3937" s="40"/>
      <c r="B3937" s="40"/>
    </row>
    <row r="3938" spans="1:2" x14ac:dyDescent="0.2">
      <c r="A3938" s="40"/>
      <c r="B3938" s="40"/>
    </row>
    <row r="3939" spans="1:2" x14ac:dyDescent="0.2">
      <c r="A3939" s="40"/>
      <c r="B3939" s="40"/>
    </row>
    <row r="3940" spans="1:2" x14ac:dyDescent="0.2">
      <c r="A3940" s="40"/>
      <c r="B3940" s="40"/>
    </row>
    <row r="3941" spans="1:2" x14ac:dyDescent="0.2">
      <c r="A3941" s="40"/>
      <c r="B3941" s="40"/>
    </row>
    <row r="3942" spans="1:2" x14ac:dyDescent="0.2">
      <c r="A3942" s="40"/>
      <c r="B3942" s="40"/>
    </row>
    <row r="3943" spans="1:2" x14ac:dyDescent="0.2">
      <c r="A3943" s="40"/>
      <c r="B3943" s="40"/>
    </row>
    <row r="3944" spans="1:2" x14ac:dyDescent="0.2">
      <c r="A3944" s="40"/>
      <c r="B3944" s="40"/>
    </row>
    <row r="3945" spans="1:2" x14ac:dyDescent="0.2">
      <c r="A3945" s="40"/>
      <c r="B3945" s="40"/>
    </row>
    <row r="3946" spans="1:2" x14ac:dyDescent="0.2">
      <c r="A3946" s="40"/>
      <c r="B3946" s="40"/>
    </row>
    <row r="3947" spans="1:2" x14ac:dyDescent="0.2">
      <c r="A3947" s="40"/>
      <c r="B3947" s="40"/>
    </row>
    <row r="3948" spans="1:2" x14ac:dyDescent="0.2">
      <c r="A3948" s="40"/>
      <c r="B3948" s="40"/>
    </row>
    <row r="3949" spans="1:2" x14ac:dyDescent="0.2">
      <c r="A3949" s="40"/>
      <c r="B3949" s="40"/>
    </row>
    <row r="3950" spans="1:2" x14ac:dyDescent="0.2">
      <c r="A3950" s="40"/>
      <c r="B3950" s="40"/>
    </row>
    <row r="3951" spans="1:2" x14ac:dyDescent="0.2">
      <c r="A3951" s="40"/>
      <c r="B3951" s="40"/>
    </row>
    <row r="3952" spans="1:2" x14ac:dyDescent="0.2">
      <c r="A3952" s="40"/>
      <c r="B3952" s="40"/>
    </row>
    <row r="3953" spans="1:2" x14ac:dyDescent="0.2">
      <c r="A3953" s="40"/>
      <c r="B3953" s="40"/>
    </row>
    <row r="3954" spans="1:2" x14ac:dyDescent="0.2">
      <c r="A3954" s="40"/>
      <c r="B3954" s="40"/>
    </row>
    <row r="3955" spans="1:2" x14ac:dyDescent="0.2">
      <c r="A3955" s="40"/>
      <c r="B3955" s="40"/>
    </row>
    <row r="3956" spans="1:2" x14ac:dyDescent="0.2">
      <c r="A3956" s="40"/>
      <c r="B3956" s="40"/>
    </row>
    <row r="3957" spans="1:2" x14ac:dyDescent="0.2">
      <c r="A3957" s="40"/>
      <c r="B3957" s="40"/>
    </row>
    <row r="3958" spans="1:2" x14ac:dyDescent="0.2">
      <c r="A3958" s="40"/>
      <c r="B3958" s="40"/>
    </row>
    <row r="3959" spans="1:2" x14ac:dyDescent="0.2">
      <c r="A3959" s="40"/>
      <c r="B3959" s="40"/>
    </row>
    <row r="3960" spans="1:2" x14ac:dyDescent="0.2">
      <c r="A3960" s="40"/>
      <c r="B3960" s="40"/>
    </row>
    <row r="3961" spans="1:2" x14ac:dyDescent="0.2">
      <c r="A3961" s="40"/>
      <c r="B3961" s="40"/>
    </row>
    <row r="3962" spans="1:2" x14ac:dyDescent="0.2">
      <c r="A3962" s="40"/>
      <c r="B3962" s="40"/>
    </row>
    <row r="3963" spans="1:2" x14ac:dyDescent="0.2">
      <c r="A3963" s="40"/>
      <c r="B3963" s="40"/>
    </row>
    <row r="3964" spans="1:2" x14ac:dyDescent="0.2">
      <c r="A3964" s="40"/>
      <c r="B3964" s="40"/>
    </row>
    <row r="3965" spans="1:2" x14ac:dyDescent="0.2">
      <c r="A3965" s="40"/>
      <c r="B3965" s="40"/>
    </row>
    <row r="3966" spans="1:2" x14ac:dyDescent="0.2">
      <c r="A3966" s="40"/>
      <c r="B3966" s="40"/>
    </row>
    <row r="3967" spans="1:2" x14ac:dyDescent="0.2">
      <c r="A3967" s="40"/>
      <c r="B3967" s="40"/>
    </row>
    <row r="3968" spans="1:2" x14ac:dyDescent="0.2">
      <c r="A3968" s="40"/>
      <c r="B3968" s="40"/>
    </row>
    <row r="3969" spans="1:2" x14ac:dyDescent="0.2">
      <c r="A3969" s="40"/>
      <c r="B3969" s="40"/>
    </row>
    <row r="3970" spans="1:2" x14ac:dyDescent="0.2">
      <c r="A3970" s="40"/>
      <c r="B3970" s="40"/>
    </row>
    <row r="3971" spans="1:2" x14ac:dyDescent="0.2">
      <c r="A3971" s="40"/>
      <c r="B3971" s="40"/>
    </row>
    <row r="3972" spans="1:2" x14ac:dyDescent="0.2">
      <c r="A3972" s="40"/>
      <c r="B3972" s="40"/>
    </row>
    <row r="3973" spans="1:2" x14ac:dyDescent="0.2">
      <c r="A3973" s="40"/>
      <c r="B3973" s="40"/>
    </row>
    <row r="3974" spans="1:2" x14ac:dyDescent="0.2">
      <c r="A3974" s="40"/>
      <c r="B3974" s="40"/>
    </row>
    <row r="3975" spans="1:2" x14ac:dyDescent="0.2">
      <c r="A3975" s="40"/>
      <c r="B3975" s="40"/>
    </row>
    <row r="3976" spans="1:2" x14ac:dyDescent="0.2">
      <c r="A3976" s="40"/>
      <c r="B3976" s="40"/>
    </row>
    <row r="3977" spans="1:2" x14ac:dyDescent="0.2">
      <c r="A3977" s="40"/>
      <c r="B3977" s="40"/>
    </row>
    <row r="3978" spans="1:2" x14ac:dyDescent="0.2">
      <c r="A3978" s="40"/>
      <c r="B3978" s="40"/>
    </row>
    <row r="3979" spans="1:2" x14ac:dyDescent="0.2">
      <c r="A3979" s="40"/>
      <c r="B3979" s="40"/>
    </row>
    <row r="3980" spans="1:2" x14ac:dyDescent="0.2">
      <c r="A3980" s="40"/>
      <c r="B3980" s="40"/>
    </row>
    <row r="3981" spans="1:2" x14ac:dyDescent="0.2">
      <c r="A3981" s="40"/>
      <c r="B3981" s="40"/>
    </row>
    <row r="3982" spans="1:2" x14ac:dyDescent="0.2">
      <c r="A3982" s="40"/>
      <c r="B3982" s="40"/>
    </row>
    <row r="3983" spans="1:2" x14ac:dyDescent="0.2">
      <c r="A3983" s="40"/>
      <c r="B3983" s="40"/>
    </row>
    <row r="3984" spans="1:2" x14ac:dyDescent="0.2">
      <c r="A3984" s="40"/>
      <c r="B3984" s="40"/>
    </row>
    <row r="3985" spans="1:2" x14ac:dyDescent="0.2">
      <c r="A3985" s="40"/>
      <c r="B3985" s="40"/>
    </row>
    <row r="3986" spans="1:2" x14ac:dyDescent="0.2">
      <c r="A3986" s="40"/>
      <c r="B3986" s="40"/>
    </row>
    <row r="3987" spans="1:2" x14ac:dyDescent="0.2">
      <c r="A3987" s="40"/>
      <c r="B3987" s="40"/>
    </row>
    <row r="3988" spans="1:2" x14ac:dyDescent="0.2">
      <c r="A3988" s="40"/>
      <c r="B3988" s="40"/>
    </row>
    <row r="3989" spans="1:2" x14ac:dyDescent="0.2">
      <c r="A3989" s="40"/>
      <c r="B3989" s="40"/>
    </row>
    <row r="3990" spans="1:2" x14ac:dyDescent="0.2">
      <c r="A3990" s="40"/>
      <c r="B3990" s="40"/>
    </row>
    <row r="3991" spans="1:2" x14ac:dyDescent="0.2">
      <c r="A3991" s="40"/>
      <c r="B3991" s="40"/>
    </row>
    <row r="3992" spans="1:2" x14ac:dyDescent="0.2">
      <c r="A3992" s="40"/>
      <c r="B3992" s="40"/>
    </row>
    <row r="3993" spans="1:2" x14ac:dyDescent="0.2">
      <c r="A3993" s="40"/>
      <c r="B3993" s="40"/>
    </row>
    <row r="3994" spans="1:2" x14ac:dyDescent="0.2">
      <c r="A3994" s="40"/>
      <c r="B3994" s="40"/>
    </row>
    <row r="3995" spans="1:2" x14ac:dyDescent="0.2">
      <c r="A3995" s="40"/>
      <c r="B3995" s="40"/>
    </row>
    <row r="3996" spans="1:2" x14ac:dyDescent="0.2">
      <c r="A3996" s="40"/>
      <c r="B3996" s="40"/>
    </row>
    <row r="3997" spans="1:2" x14ac:dyDescent="0.2">
      <c r="A3997" s="40"/>
      <c r="B3997" s="40"/>
    </row>
    <row r="3998" spans="1:2" x14ac:dyDescent="0.2">
      <c r="A3998" s="40"/>
      <c r="B3998" s="40"/>
    </row>
    <row r="3999" spans="1:2" x14ac:dyDescent="0.2">
      <c r="A3999" s="40"/>
      <c r="B3999" s="40"/>
    </row>
    <row r="4000" spans="1:2" x14ac:dyDescent="0.2">
      <c r="A4000" s="40"/>
      <c r="B4000" s="40"/>
    </row>
    <row r="4001" spans="1:2" x14ac:dyDescent="0.2">
      <c r="A4001" s="40"/>
      <c r="B4001" s="40"/>
    </row>
    <row r="4002" spans="1:2" x14ac:dyDescent="0.2">
      <c r="A4002" s="40"/>
      <c r="B4002" s="40"/>
    </row>
    <row r="4003" spans="1:2" x14ac:dyDescent="0.2">
      <c r="A4003" s="40"/>
      <c r="B4003" s="40"/>
    </row>
    <row r="4004" spans="1:2" x14ac:dyDescent="0.2">
      <c r="A4004" s="40"/>
      <c r="B4004" s="40"/>
    </row>
    <row r="4005" spans="1:2" x14ac:dyDescent="0.2">
      <c r="A4005" s="40"/>
      <c r="B4005" s="40"/>
    </row>
    <row r="4006" spans="1:2" x14ac:dyDescent="0.2">
      <c r="A4006" s="40"/>
      <c r="B4006" s="40"/>
    </row>
    <row r="4007" spans="1:2" x14ac:dyDescent="0.2">
      <c r="A4007" s="40"/>
      <c r="B4007" s="40"/>
    </row>
    <row r="4008" spans="1:2" x14ac:dyDescent="0.2">
      <c r="A4008" s="40"/>
      <c r="B4008" s="40"/>
    </row>
    <row r="4009" spans="1:2" x14ac:dyDescent="0.2">
      <c r="A4009" s="40"/>
      <c r="B4009" s="40"/>
    </row>
    <row r="4010" spans="1:2" x14ac:dyDescent="0.2">
      <c r="A4010" s="40"/>
      <c r="B4010" s="40"/>
    </row>
    <row r="4011" spans="1:2" x14ac:dyDescent="0.2">
      <c r="A4011" s="40"/>
      <c r="B4011" s="40"/>
    </row>
    <row r="4012" spans="1:2" x14ac:dyDescent="0.2">
      <c r="A4012" s="40"/>
      <c r="B4012" s="40"/>
    </row>
    <row r="4013" spans="1:2" x14ac:dyDescent="0.2">
      <c r="A4013" s="40"/>
      <c r="B4013" s="40"/>
    </row>
    <row r="4014" spans="1:2" x14ac:dyDescent="0.2">
      <c r="A4014" s="40"/>
      <c r="B4014" s="40"/>
    </row>
    <row r="4015" spans="1:2" x14ac:dyDescent="0.2">
      <c r="A4015" s="40"/>
      <c r="B4015" s="40"/>
    </row>
    <row r="4016" spans="1:2" x14ac:dyDescent="0.2">
      <c r="A4016" s="40"/>
      <c r="B4016" s="40"/>
    </row>
    <row r="4017" spans="1:2" x14ac:dyDescent="0.2">
      <c r="A4017" s="40"/>
      <c r="B4017" s="40"/>
    </row>
    <row r="4018" spans="1:2" x14ac:dyDescent="0.2">
      <c r="A4018" s="40"/>
      <c r="B4018" s="40"/>
    </row>
    <row r="4019" spans="1:2" x14ac:dyDescent="0.2">
      <c r="A4019" s="40"/>
      <c r="B4019" s="40"/>
    </row>
    <row r="4020" spans="1:2" x14ac:dyDescent="0.2">
      <c r="A4020" s="40"/>
      <c r="B4020" s="40"/>
    </row>
    <row r="4021" spans="1:2" x14ac:dyDescent="0.2">
      <c r="A4021" s="40"/>
      <c r="B4021" s="40"/>
    </row>
    <row r="4022" spans="1:2" x14ac:dyDescent="0.2">
      <c r="A4022" s="40"/>
      <c r="B4022" s="40"/>
    </row>
    <row r="4023" spans="1:2" x14ac:dyDescent="0.2">
      <c r="A4023" s="40"/>
      <c r="B4023" s="40"/>
    </row>
    <row r="4024" spans="1:2" x14ac:dyDescent="0.2">
      <c r="A4024" s="40"/>
      <c r="B4024" s="40"/>
    </row>
    <row r="4025" spans="1:2" x14ac:dyDescent="0.2">
      <c r="A4025" s="40"/>
      <c r="B4025" s="40"/>
    </row>
    <row r="4026" spans="1:2" x14ac:dyDescent="0.2">
      <c r="A4026" s="40"/>
      <c r="B4026" s="40"/>
    </row>
    <row r="4027" spans="1:2" x14ac:dyDescent="0.2">
      <c r="A4027" s="40"/>
      <c r="B4027" s="40"/>
    </row>
    <row r="4028" spans="1:2" x14ac:dyDescent="0.2">
      <c r="A4028" s="40"/>
      <c r="B4028" s="40"/>
    </row>
    <row r="4029" spans="1:2" x14ac:dyDescent="0.2">
      <c r="A4029" s="40"/>
      <c r="B4029" s="40"/>
    </row>
    <row r="4030" spans="1:2" x14ac:dyDescent="0.2">
      <c r="A4030" s="40"/>
      <c r="B4030" s="40"/>
    </row>
    <row r="4031" spans="1:2" x14ac:dyDescent="0.2">
      <c r="A4031" s="40"/>
      <c r="B4031" s="40"/>
    </row>
    <row r="4032" spans="1:2" x14ac:dyDescent="0.2">
      <c r="A4032" s="40"/>
      <c r="B4032" s="40"/>
    </row>
    <row r="4033" spans="1:2" x14ac:dyDescent="0.2">
      <c r="A4033" s="40"/>
      <c r="B4033" s="40"/>
    </row>
    <row r="4034" spans="1:2" x14ac:dyDescent="0.2">
      <c r="A4034" s="40"/>
      <c r="B4034" s="40"/>
    </row>
    <row r="4035" spans="1:2" x14ac:dyDescent="0.2">
      <c r="A4035" s="40"/>
      <c r="B4035" s="40"/>
    </row>
    <row r="4036" spans="1:2" x14ac:dyDescent="0.2">
      <c r="A4036" s="40"/>
      <c r="B4036" s="40"/>
    </row>
    <row r="4037" spans="1:2" x14ac:dyDescent="0.2">
      <c r="A4037" s="40"/>
      <c r="B4037" s="40"/>
    </row>
    <row r="4038" spans="1:2" x14ac:dyDescent="0.2">
      <c r="A4038" s="40"/>
      <c r="B4038" s="40"/>
    </row>
    <row r="4039" spans="1:2" x14ac:dyDescent="0.2">
      <c r="A4039" s="40"/>
      <c r="B4039" s="40"/>
    </row>
    <row r="4040" spans="1:2" x14ac:dyDescent="0.2">
      <c r="A4040" s="40"/>
      <c r="B4040" s="40"/>
    </row>
    <row r="4041" spans="1:2" x14ac:dyDescent="0.2">
      <c r="A4041" s="40"/>
      <c r="B4041" s="40"/>
    </row>
    <row r="4042" spans="1:2" x14ac:dyDescent="0.2">
      <c r="A4042" s="40"/>
      <c r="B4042" s="40"/>
    </row>
    <row r="4043" spans="1:2" x14ac:dyDescent="0.2">
      <c r="A4043" s="40"/>
      <c r="B4043" s="40"/>
    </row>
    <row r="4044" spans="1:2" x14ac:dyDescent="0.2">
      <c r="A4044" s="40"/>
      <c r="B4044" s="40"/>
    </row>
    <row r="4045" spans="1:2" x14ac:dyDescent="0.2">
      <c r="A4045" s="40"/>
      <c r="B4045" s="40"/>
    </row>
    <row r="4046" spans="1:2" x14ac:dyDescent="0.2">
      <c r="A4046" s="40"/>
      <c r="B4046" s="40"/>
    </row>
    <row r="4047" spans="1:2" x14ac:dyDescent="0.2">
      <c r="A4047" s="40"/>
      <c r="B4047" s="40"/>
    </row>
    <row r="4048" spans="1:2" x14ac:dyDescent="0.2">
      <c r="A4048" s="40"/>
      <c r="B4048" s="40"/>
    </row>
    <row r="4049" spans="1:2" x14ac:dyDescent="0.2">
      <c r="A4049" s="40"/>
      <c r="B4049" s="40"/>
    </row>
    <row r="4050" spans="1:2" x14ac:dyDescent="0.2">
      <c r="A4050" s="40"/>
      <c r="B4050" s="40"/>
    </row>
    <row r="4051" spans="1:2" x14ac:dyDescent="0.2">
      <c r="A4051" s="40"/>
      <c r="B4051" s="40"/>
    </row>
    <row r="4052" spans="1:2" x14ac:dyDescent="0.2">
      <c r="A4052" s="40"/>
      <c r="B4052" s="40"/>
    </row>
    <row r="4053" spans="1:2" x14ac:dyDescent="0.2">
      <c r="A4053" s="40"/>
      <c r="B4053" s="40"/>
    </row>
    <row r="4054" spans="1:2" x14ac:dyDescent="0.2">
      <c r="A4054" s="40"/>
      <c r="B4054" s="40"/>
    </row>
    <row r="4055" spans="1:2" x14ac:dyDescent="0.2">
      <c r="A4055" s="40"/>
      <c r="B4055" s="40"/>
    </row>
    <row r="4056" spans="1:2" x14ac:dyDescent="0.2">
      <c r="A4056" s="40"/>
      <c r="B4056" s="40"/>
    </row>
    <row r="4057" spans="1:2" x14ac:dyDescent="0.2">
      <c r="A4057" s="40"/>
      <c r="B4057" s="40"/>
    </row>
    <row r="4058" spans="1:2" x14ac:dyDescent="0.2">
      <c r="A4058" s="40"/>
      <c r="B4058" s="40"/>
    </row>
    <row r="4059" spans="1:2" x14ac:dyDescent="0.2">
      <c r="A4059" s="40"/>
      <c r="B4059" s="40"/>
    </row>
    <row r="4060" spans="1:2" x14ac:dyDescent="0.2">
      <c r="A4060" s="40"/>
      <c r="B4060" s="40"/>
    </row>
    <row r="4061" spans="1:2" x14ac:dyDescent="0.2">
      <c r="A4061" s="40"/>
      <c r="B4061" s="40"/>
    </row>
    <row r="4062" spans="1:2" x14ac:dyDescent="0.2">
      <c r="A4062" s="40"/>
      <c r="B4062" s="40"/>
    </row>
    <row r="4063" spans="1:2" x14ac:dyDescent="0.2">
      <c r="A4063" s="40"/>
      <c r="B4063" s="40"/>
    </row>
    <row r="4064" spans="1:2" x14ac:dyDescent="0.2">
      <c r="A4064" s="40"/>
      <c r="B4064" s="40"/>
    </row>
    <row r="4065" spans="1:2" x14ac:dyDescent="0.2">
      <c r="A4065" s="40"/>
      <c r="B4065" s="40"/>
    </row>
    <row r="4066" spans="1:2" x14ac:dyDescent="0.2">
      <c r="A4066" s="40"/>
      <c r="B4066" s="40"/>
    </row>
    <row r="4067" spans="1:2" x14ac:dyDescent="0.2">
      <c r="A4067" s="40"/>
      <c r="B4067" s="40"/>
    </row>
    <row r="4068" spans="1:2" x14ac:dyDescent="0.2">
      <c r="A4068" s="40"/>
      <c r="B4068" s="40"/>
    </row>
    <row r="4069" spans="1:2" x14ac:dyDescent="0.2">
      <c r="A4069" s="40"/>
      <c r="B4069" s="40"/>
    </row>
    <row r="4070" spans="1:2" x14ac:dyDescent="0.2">
      <c r="A4070" s="40"/>
      <c r="B4070" s="40"/>
    </row>
    <row r="4071" spans="1:2" x14ac:dyDescent="0.2">
      <c r="A4071" s="40"/>
      <c r="B4071" s="40"/>
    </row>
    <row r="4072" spans="1:2" x14ac:dyDescent="0.2">
      <c r="A4072" s="40"/>
      <c r="B4072" s="40"/>
    </row>
    <row r="4073" spans="1:2" x14ac:dyDescent="0.2">
      <c r="A4073" s="40"/>
      <c r="B4073" s="40"/>
    </row>
    <row r="4074" spans="1:2" x14ac:dyDescent="0.2">
      <c r="A4074" s="40"/>
      <c r="B4074" s="40"/>
    </row>
    <row r="4075" spans="1:2" x14ac:dyDescent="0.2">
      <c r="A4075" s="40"/>
      <c r="B4075" s="40"/>
    </row>
    <row r="4076" spans="1:2" x14ac:dyDescent="0.2">
      <c r="A4076" s="40"/>
      <c r="B4076" s="40"/>
    </row>
    <row r="4077" spans="1:2" x14ac:dyDescent="0.2">
      <c r="A4077" s="40"/>
      <c r="B4077" s="40"/>
    </row>
    <row r="4078" spans="1:2" x14ac:dyDescent="0.2">
      <c r="A4078" s="40"/>
      <c r="B4078" s="40"/>
    </row>
    <row r="4079" spans="1:2" x14ac:dyDescent="0.2">
      <c r="A4079" s="40"/>
      <c r="B4079" s="40"/>
    </row>
    <row r="4080" spans="1:2" x14ac:dyDescent="0.2">
      <c r="A4080" s="40"/>
      <c r="B4080" s="40"/>
    </row>
    <row r="4081" spans="1:2" x14ac:dyDescent="0.2">
      <c r="A4081" s="40"/>
      <c r="B4081" s="40"/>
    </row>
    <row r="4082" spans="1:2" x14ac:dyDescent="0.2">
      <c r="A4082" s="40"/>
      <c r="B4082" s="40"/>
    </row>
    <row r="4083" spans="1:2" x14ac:dyDescent="0.2">
      <c r="A4083" s="40"/>
      <c r="B4083" s="40"/>
    </row>
    <row r="4084" spans="1:2" x14ac:dyDescent="0.2">
      <c r="A4084" s="40"/>
      <c r="B4084" s="40"/>
    </row>
    <row r="4085" spans="1:2" x14ac:dyDescent="0.2">
      <c r="A4085" s="40"/>
      <c r="B4085" s="40"/>
    </row>
    <row r="4086" spans="1:2" x14ac:dyDescent="0.2">
      <c r="A4086" s="40"/>
      <c r="B4086" s="40"/>
    </row>
    <row r="4087" spans="1:2" x14ac:dyDescent="0.2">
      <c r="A4087" s="40"/>
      <c r="B4087" s="40"/>
    </row>
    <row r="4088" spans="1:2" x14ac:dyDescent="0.2">
      <c r="A4088" s="40"/>
      <c r="B4088" s="40"/>
    </row>
    <row r="4089" spans="1:2" x14ac:dyDescent="0.2">
      <c r="A4089" s="40"/>
      <c r="B4089" s="40"/>
    </row>
    <row r="4090" spans="1:2" x14ac:dyDescent="0.2">
      <c r="A4090" s="40"/>
      <c r="B4090" s="40"/>
    </row>
    <row r="4091" spans="1:2" x14ac:dyDescent="0.2">
      <c r="A4091" s="40"/>
      <c r="B4091" s="40"/>
    </row>
    <row r="4092" spans="1:2" x14ac:dyDescent="0.2">
      <c r="A4092" s="40"/>
      <c r="B4092" s="40"/>
    </row>
    <row r="4093" spans="1:2" x14ac:dyDescent="0.2">
      <c r="A4093" s="40"/>
      <c r="B4093" s="40"/>
    </row>
    <row r="4094" spans="1:2" x14ac:dyDescent="0.2">
      <c r="A4094" s="40"/>
      <c r="B4094" s="40"/>
    </row>
    <row r="4095" spans="1:2" x14ac:dyDescent="0.2">
      <c r="A4095" s="40"/>
      <c r="B4095" s="40"/>
    </row>
    <row r="4096" spans="1:2" x14ac:dyDescent="0.2">
      <c r="A4096" s="40"/>
      <c r="B4096" s="40"/>
    </row>
    <row r="4097" spans="1:2" x14ac:dyDescent="0.2">
      <c r="A4097" s="40"/>
      <c r="B4097" s="40"/>
    </row>
    <row r="4098" spans="1:2" x14ac:dyDescent="0.2">
      <c r="A4098" s="40"/>
      <c r="B4098" s="40"/>
    </row>
    <row r="4099" spans="1:2" x14ac:dyDescent="0.2">
      <c r="A4099" s="40"/>
      <c r="B4099" s="40"/>
    </row>
    <row r="4100" spans="1:2" x14ac:dyDescent="0.2">
      <c r="A4100" s="40"/>
      <c r="B4100" s="40"/>
    </row>
    <row r="4101" spans="1:2" x14ac:dyDescent="0.2">
      <c r="A4101" s="40"/>
      <c r="B4101" s="40"/>
    </row>
    <row r="4102" spans="1:2" x14ac:dyDescent="0.2">
      <c r="A4102" s="40"/>
      <c r="B4102" s="40"/>
    </row>
    <row r="4103" spans="1:2" x14ac:dyDescent="0.2">
      <c r="A4103" s="40"/>
      <c r="B4103" s="40"/>
    </row>
    <row r="4104" spans="1:2" x14ac:dyDescent="0.2">
      <c r="A4104" s="40"/>
      <c r="B4104" s="40"/>
    </row>
    <row r="4105" spans="1:2" x14ac:dyDescent="0.2">
      <c r="A4105" s="40"/>
      <c r="B4105" s="40"/>
    </row>
    <row r="4106" spans="1:2" x14ac:dyDescent="0.2">
      <c r="A4106" s="40"/>
      <c r="B4106" s="40"/>
    </row>
    <row r="4107" spans="1:2" x14ac:dyDescent="0.2">
      <c r="A4107" s="40"/>
      <c r="B4107" s="40"/>
    </row>
    <row r="4108" spans="1:2" x14ac:dyDescent="0.2">
      <c r="A4108" s="40"/>
      <c r="B4108" s="40"/>
    </row>
    <row r="4109" spans="1:2" x14ac:dyDescent="0.2">
      <c r="A4109" s="40"/>
      <c r="B4109" s="40"/>
    </row>
    <row r="4110" spans="1:2" x14ac:dyDescent="0.2">
      <c r="A4110" s="40"/>
      <c r="B4110" s="40"/>
    </row>
    <row r="4111" spans="1:2" x14ac:dyDescent="0.2">
      <c r="A4111" s="40"/>
      <c r="B4111" s="40"/>
    </row>
    <row r="4112" spans="1:2" x14ac:dyDescent="0.2">
      <c r="A4112" s="40"/>
      <c r="B4112" s="40"/>
    </row>
    <row r="4113" spans="1:2" x14ac:dyDescent="0.2">
      <c r="A4113" s="40"/>
      <c r="B4113" s="40"/>
    </row>
    <row r="4114" spans="1:2" x14ac:dyDescent="0.2">
      <c r="A4114" s="40"/>
      <c r="B4114" s="40"/>
    </row>
    <row r="4115" spans="1:2" x14ac:dyDescent="0.2">
      <c r="A4115" s="40"/>
      <c r="B4115" s="40"/>
    </row>
    <row r="4116" spans="1:2" x14ac:dyDescent="0.2">
      <c r="A4116" s="40"/>
      <c r="B4116" s="40"/>
    </row>
    <row r="4117" spans="1:2" x14ac:dyDescent="0.2">
      <c r="A4117" s="40"/>
      <c r="B4117" s="40"/>
    </row>
    <row r="4118" spans="1:2" x14ac:dyDescent="0.2">
      <c r="A4118" s="40"/>
      <c r="B4118" s="40"/>
    </row>
    <row r="4119" spans="1:2" x14ac:dyDescent="0.2">
      <c r="A4119" s="40"/>
      <c r="B4119" s="40"/>
    </row>
    <row r="4120" spans="1:2" x14ac:dyDescent="0.2">
      <c r="A4120" s="40"/>
      <c r="B4120" s="40"/>
    </row>
    <row r="4121" spans="1:2" x14ac:dyDescent="0.2">
      <c r="A4121" s="40"/>
      <c r="B4121" s="40"/>
    </row>
    <row r="4122" spans="1:2" x14ac:dyDescent="0.2">
      <c r="A4122" s="40"/>
      <c r="B4122" s="40"/>
    </row>
    <row r="4123" spans="1:2" x14ac:dyDescent="0.2">
      <c r="A4123" s="40"/>
      <c r="B4123" s="40"/>
    </row>
    <row r="4124" spans="1:2" x14ac:dyDescent="0.2">
      <c r="A4124" s="40"/>
      <c r="B4124" s="40"/>
    </row>
    <row r="4125" spans="1:2" x14ac:dyDescent="0.2">
      <c r="A4125" s="40"/>
      <c r="B4125" s="40"/>
    </row>
    <row r="4126" spans="1:2" x14ac:dyDescent="0.2">
      <c r="A4126" s="40"/>
      <c r="B4126" s="40"/>
    </row>
    <row r="4127" spans="1:2" x14ac:dyDescent="0.2">
      <c r="A4127" s="40"/>
      <c r="B4127" s="40"/>
    </row>
    <row r="4128" spans="1:2" x14ac:dyDescent="0.2">
      <c r="A4128" s="40"/>
      <c r="B4128" s="40"/>
    </row>
    <row r="4129" spans="1:2" x14ac:dyDescent="0.2">
      <c r="A4129" s="40"/>
      <c r="B4129" s="40"/>
    </row>
    <row r="4130" spans="1:2" x14ac:dyDescent="0.2">
      <c r="A4130" s="40"/>
      <c r="B4130" s="40"/>
    </row>
    <row r="4131" spans="1:2" x14ac:dyDescent="0.2">
      <c r="A4131" s="40"/>
      <c r="B4131" s="40"/>
    </row>
    <row r="4132" spans="1:2" x14ac:dyDescent="0.2">
      <c r="A4132" s="40"/>
      <c r="B4132" s="40"/>
    </row>
    <row r="4133" spans="1:2" x14ac:dyDescent="0.2">
      <c r="A4133" s="40"/>
      <c r="B4133" s="40"/>
    </row>
    <row r="4134" spans="1:2" x14ac:dyDescent="0.2">
      <c r="A4134" s="40"/>
      <c r="B4134" s="40"/>
    </row>
    <row r="4135" spans="1:2" x14ac:dyDescent="0.2">
      <c r="A4135" s="40"/>
      <c r="B4135" s="40"/>
    </row>
    <row r="4136" spans="1:2" x14ac:dyDescent="0.2">
      <c r="A4136" s="40"/>
      <c r="B4136" s="40"/>
    </row>
    <row r="4137" spans="1:2" x14ac:dyDescent="0.2">
      <c r="A4137" s="40"/>
      <c r="B4137" s="40"/>
    </row>
    <row r="4138" spans="1:2" x14ac:dyDescent="0.2">
      <c r="A4138" s="40"/>
      <c r="B4138" s="40"/>
    </row>
    <row r="4139" spans="1:2" x14ac:dyDescent="0.2">
      <c r="A4139" s="40"/>
      <c r="B4139" s="40"/>
    </row>
    <row r="4140" spans="1:2" x14ac:dyDescent="0.2">
      <c r="A4140" s="40"/>
      <c r="B4140" s="40"/>
    </row>
    <row r="4141" spans="1:2" x14ac:dyDescent="0.2">
      <c r="A4141" s="40"/>
      <c r="B4141" s="40"/>
    </row>
    <row r="4142" spans="1:2" x14ac:dyDescent="0.2">
      <c r="A4142" s="40"/>
      <c r="B4142" s="40"/>
    </row>
    <row r="4143" spans="1:2" x14ac:dyDescent="0.2">
      <c r="A4143" s="40"/>
      <c r="B4143" s="40"/>
    </row>
    <row r="4144" spans="1:2" x14ac:dyDescent="0.2">
      <c r="A4144" s="40"/>
      <c r="B4144" s="40"/>
    </row>
    <row r="4145" spans="1:2" x14ac:dyDescent="0.2">
      <c r="A4145" s="40"/>
      <c r="B4145" s="40"/>
    </row>
    <row r="4146" spans="1:2" x14ac:dyDescent="0.2">
      <c r="A4146" s="40"/>
      <c r="B4146" s="40"/>
    </row>
    <row r="4147" spans="1:2" x14ac:dyDescent="0.2">
      <c r="A4147" s="40"/>
      <c r="B4147" s="40"/>
    </row>
    <row r="4148" spans="1:2" x14ac:dyDescent="0.2">
      <c r="A4148" s="40"/>
      <c r="B4148" s="40"/>
    </row>
    <row r="4149" spans="1:2" x14ac:dyDescent="0.2">
      <c r="A4149" s="40"/>
      <c r="B4149" s="40"/>
    </row>
    <row r="4150" spans="1:2" x14ac:dyDescent="0.2">
      <c r="A4150" s="40"/>
      <c r="B4150" s="40"/>
    </row>
    <row r="4151" spans="1:2" x14ac:dyDescent="0.2">
      <c r="A4151" s="40"/>
      <c r="B4151" s="40"/>
    </row>
    <row r="4152" spans="1:2" x14ac:dyDescent="0.2">
      <c r="A4152" s="40"/>
      <c r="B4152" s="40"/>
    </row>
    <row r="4153" spans="1:2" x14ac:dyDescent="0.2">
      <c r="A4153" s="40"/>
      <c r="B4153" s="40"/>
    </row>
    <row r="4154" spans="1:2" x14ac:dyDescent="0.2">
      <c r="A4154" s="40"/>
      <c r="B4154" s="40"/>
    </row>
    <row r="4155" spans="1:2" x14ac:dyDescent="0.2">
      <c r="A4155" s="40"/>
      <c r="B4155" s="40"/>
    </row>
    <row r="4156" spans="1:2" x14ac:dyDescent="0.2">
      <c r="A4156" s="40"/>
      <c r="B4156" s="40"/>
    </row>
    <row r="4157" spans="1:2" x14ac:dyDescent="0.2">
      <c r="A4157" s="40"/>
      <c r="B4157" s="40"/>
    </row>
    <row r="4158" spans="1:2" x14ac:dyDescent="0.2">
      <c r="A4158" s="40"/>
      <c r="B4158" s="40"/>
    </row>
    <row r="4159" spans="1:2" x14ac:dyDescent="0.2">
      <c r="A4159" s="40"/>
      <c r="B4159" s="40"/>
    </row>
    <row r="4160" spans="1:2" x14ac:dyDescent="0.2">
      <c r="A4160" s="40"/>
      <c r="B4160" s="40"/>
    </row>
    <row r="4161" spans="1:2" x14ac:dyDescent="0.2">
      <c r="A4161" s="40"/>
      <c r="B4161" s="40"/>
    </row>
    <row r="4162" spans="1:2" x14ac:dyDescent="0.2">
      <c r="A4162" s="40"/>
      <c r="B4162" s="40"/>
    </row>
    <row r="4163" spans="1:2" x14ac:dyDescent="0.2">
      <c r="A4163" s="40"/>
      <c r="B4163" s="40"/>
    </row>
    <row r="4164" spans="1:2" x14ac:dyDescent="0.2">
      <c r="A4164" s="40"/>
      <c r="B4164" s="40"/>
    </row>
    <row r="4165" spans="1:2" x14ac:dyDescent="0.2">
      <c r="A4165" s="40"/>
      <c r="B4165" s="40"/>
    </row>
    <row r="4166" spans="1:2" x14ac:dyDescent="0.2">
      <c r="A4166" s="40"/>
      <c r="B4166" s="40"/>
    </row>
    <row r="4167" spans="1:2" x14ac:dyDescent="0.2">
      <c r="A4167" s="40"/>
      <c r="B4167" s="40"/>
    </row>
    <row r="4168" spans="1:2" x14ac:dyDescent="0.2">
      <c r="A4168" s="40"/>
      <c r="B4168" s="40"/>
    </row>
    <row r="4169" spans="1:2" x14ac:dyDescent="0.2">
      <c r="A4169" s="40"/>
      <c r="B4169" s="40"/>
    </row>
    <row r="4170" spans="1:2" x14ac:dyDescent="0.2">
      <c r="A4170" s="40"/>
      <c r="B4170" s="40"/>
    </row>
    <row r="4171" spans="1:2" x14ac:dyDescent="0.2">
      <c r="A4171" s="40"/>
      <c r="B4171" s="40"/>
    </row>
    <row r="4172" spans="1:2" x14ac:dyDescent="0.2">
      <c r="A4172" s="40"/>
      <c r="B4172" s="40"/>
    </row>
    <row r="4173" spans="1:2" x14ac:dyDescent="0.2">
      <c r="A4173" s="40"/>
      <c r="B4173" s="40"/>
    </row>
    <row r="4174" spans="1:2" x14ac:dyDescent="0.2">
      <c r="A4174" s="40"/>
      <c r="B4174" s="40"/>
    </row>
    <row r="4175" spans="1:2" x14ac:dyDescent="0.2">
      <c r="A4175" s="40"/>
      <c r="B4175" s="40"/>
    </row>
    <row r="4176" spans="1:2" x14ac:dyDescent="0.2">
      <c r="A4176" s="40"/>
      <c r="B4176" s="40"/>
    </row>
    <row r="4177" spans="1:2" x14ac:dyDescent="0.2">
      <c r="A4177" s="40"/>
      <c r="B4177" s="40"/>
    </row>
    <row r="4178" spans="1:2" x14ac:dyDescent="0.2">
      <c r="A4178" s="40"/>
      <c r="B4178" s="40"/>
    </row>
    <row r="4179" spans="1:2" x14ac:dyDescent="0.2">
      <c r="A4179" s="40"/>
      <c r="B4179" s="40"/>
    </row>
    <row r="4180" spans="1:2" x14ac:dyDescent="0.2">
      <c r="A4180" s="40"/>
      <c r="B4180" s="40"/>
    </row>
    <row r="4181" spans="1:2" x14ac:dyDescent="0.2">
      <c r="A4181" s="40"/>
      <c r="B4181" s="40"/>
    </row>
    <row r="4182" spans="1:2" x14ac:dyDescent="0.2">
      <c r="A4182" s="40"/>
      <c r="B4182" s="40"/>
    </row>
    <row r="4183" spans="1:2" x14ac:dyDescent="0.2">
      <c r="A4183" s="40"/>
      <c r="B4183" s="40"/>
    </row>
    <row r="4184" spans="1:2" x14ac:dyDescent="0.2">
      <c r="A4184" s="40"/>
      <c r="B4184" s="40"/>
    </row>
    <row r="4185" spans="1:2" x14ac:dyDescent="0.2">
      <c r="A4185" s="40"/>
      <c r="B4185" s="40"/>
    </row>
    <row r="4186" spans="1:2" x14ac:dyDescent="0.2">
      <c r="A4186" s="40"/>
      <c r="B4186" s="40"/>
    </row>
    <row r="4187" spans="1:2" x14ac:dyDescent="0.2">
      <c r="A4187" s="40"/>
      <c r="B4187" s="40"/>
    </row>
    <row r="4188" spans="1:2" x14ac:dyDescent="0.2">
      <c r="A4188" s="40"/>
      <c r="B4188" s="40"/>
    </row>
    <row r="4189" spans="1:2" x14ac:dyDescent="0.2">
      <c r="A4189" s="40"/>
      <c r="B4189" s="40"/>
    </row>
    <row r="4190" spans="1:2" x14ac:dyDescent="0.2">
      <c r="A4190" s="40"/>
      <c r="B4190" s="40"/>
    </row>
    <row r="4191" spans="1:2" x14ac:dyDescent="0.2">
      <c r="A4191" s="40"/>
      <c r="B4191" s="40"/>
    </row>
    <row r="4192" spans="1:2" x14ac:dyDescent="0.2">
      <c r="A4192" s="40"/>
      <c r="B4192" s="40"/>
    </row>
    <row r="4193" spans="1:2" x14ac:dyDescent="0.2">
      <c r="A4193" s="40"/>
      <c r="B4193" s="40"/>
    </row>
    <row r="4194" spans="1:2" x14ac:dyDescent="0.2">
      <c r="A4194" s="40"/>
      <c r="B4194" s="40"/>
    </row>
    <row r="4195" spans="1:2" x14ac:dyDescent="0.2">
      <c r="A4195" s="40"/>
      <c r="B4195" s="40"/>
    </row>
    <row r="4196" spans="1:2" x14ac:dyDescent="0.2">
      <c r="A4196" s="40"/>
      <c r="B4196" s="40"/>
    </row>
    <row r="4197" spans="1:2" x14ac:dyDescent="0.2">
      <c r="A4197" s="40"/>
      <c r="B4197" s="40"/>
    </row>
    <row r="4198" spans="1:2" x14ac:dyDescent="0.2">
      <c r="A4198" s="40"/>
      <c r="B4198" s="40"/>
    </row>
    <row r="4199" spans="1:2" x14ac:dyDescent="0.2">
      <c r="A4199" s="40"/>
      <c r="B4199" s="40"/>
    </row>
    <row r="4200" spans="1:2" x14ac:dyDescent="0.2">
      <c r="A4200" s="40"/>
      <c r="B4200" s="40"/>
    </row>
    <row r="4201" spans="1:2" x14ac:dyDescent="0.2">
      <c r="A4201" s="40"/>
      <c r="B4201" s="40"/>
    </row>
    <row r="4202" spans="1:2" x14ac:dyDescent="0.2">
      <c r="A4202" s="40"/>
      <c r="B4202" s="40"/>
    </row>
    <row r="4203" spans="1:2" x14ac:dyDescent="0.2">
      <c r="A4203" s="40"/>
      <c r="B4203" s="40"/>
    </row>
    <row r="4204" spans="1:2" x14ac:dyDescent="0.2">
      <c r="A4204" s="40"/>
      <c r="B4204" s="40"/>
    </row>
    <row r="4205" spans="1:2" x14ac:dyDescent="0.2">
      <c r="A4205" s="40"/>
      <c r="B4205" s="40"/>
    </row>
    <row r="4206" spans="1:2" x14ac:dyDescent="0.2">
      <c r="A4206" s="40"/>
      <c r="B4206" s="40"/>
    </row>
    <row r="4207" spans="1:2" x14ac:dyDescent="0.2">
      <c r="A4207" s="40"/>
      <c r="B4207" s="40"/>
    </row>
    <row r="4208" spans="1:2" x14ac:dyDescent="0.2">
      <c r="A4208" s="40"/>
      <c r="B4208" s="40"/>
    </row>
    <row r="4209" spans="1:2" x14ac:dyDescent="0.2">
      <c r="A4209" s="40"/>
      <c r="B4209" s="40"/>
    </row>
    <row r="4210" spans="1:2" x14ac:dyDescent="0.2">
      <c r="A4210" s="40"/>
      <c r="B4210" s="40"/>
    </row>
    <row r="4211" spans="1:2" x14ac:dyDescent="0.2">
      <c r="A4211" s="40"/>
      <c r="B4211" s="40"/>
    </row>
    <row r="4212" spans="1:2" x14ac:dyDescent="0.2">
      <c r="A4212" s="40"/>
      <c r="B4212" s="40"/>
    </row>
    <row r="4213" spans="1:2" x14ac:dyDescent="0.2">
      <c r="A4213" s="40"/>
      <c r="B4213" s="40"/>
    </row>
    <row r="4214" spans="1:2" x14ac:dyDescent="0.2">
      <c r="A4214" s="40"/>
      <c r="B4214" s="40"/>
    </row>
    <row r="4215" spans="1:2" x14ac:dyDescent="0.2">
      <c r="A4215" s="40"/>
      <c r="B4215" s="40"/>
    </row>
    <row r="4216" spans="1:2" x14ac:dyDescent="0.2">
      <c r="A4216" s="40"/>
      <c r="B4216" s="40"/>
    </row>
    <row r="4217" spans="1:2" x14ac:dyDescent="0.2">
      <c r="A4217" s="40"/>
      <c r="B4217" s="40"/>
    </row>
    <row r="4218" spans="1:2" x14ac:dyDescent="0.2">
      <c r="A4218" s="40"/>
      <c r="B4218" s="40"/>
    </row>
    <row r="4219" spans="1:2" x14ac:dyDescent="0.2">
      <c r="A4219" s="40"/>
      <c r="B4219" s="40"/>
    </row>
    <row r="4220" spans="1:2" x14ac:dyDescent="0.2">
      <c r="A4220" s="40"/>
      <c r="B4220" s="40"/>
    </row>
    <row r="4221" spans="1:2" x14ac:dyDescent="0.2">
      <c r="A4221" s="40"/>
      <c r="B4221" s="40"/>
    </row>
    <row r="4222" spans="1:2" x14ac:dyDescent="0.2">
      <c r="A4222" s="40"/>
      <c r="B4222" s="40"/>
    </row>
    <row r="4223" spans="1:2" x14ac:dyDescent="0.2">
      <c r="A4223" s="40"/>
      <c r="B4223" s="40"/>
    </row>
    <row r="4224" spans="1:2" x14ac:dyDescent="0.2">
      <c r="A4224" s="40"/>
      <c r="B4224" s="40"/>
    </row>
    <row r="4225" spans="1:2" x14ac:dyDescent="0.2">
      <c r="A4225" s="40"/>
      <c r="B4225" s="40"/>
    </row>
    <row r="4226" spans="1:2" x14ac:dyDescent="0.2">
      <c r="A4226" s="40"/>
      <c r="B4226" s="40"/>
    </row>
    <row r="4227" spans="1:2" x14ac:dyDescent="0.2">
      <c r="A4227" s="40"/>
      <c r="B4227" s="40"/>
    </row>
    <row r="4228" spans="1:2" x14ac:dyDescent="0.2">
      <c r="A4228" s="40"/>
      <c r="B4228" s="40"/>
    </row>
    <row r="4229" spans="1:2" x14ac:dyDescent="0.2">
      <c r="A4229" s="40"/>
      <c r="B4229" s="40"/>
    </row>
    <row r="4230" spans="1:2" x14ac:dyDescent="0.2">
      <c r="A4230" s="40"/>
      <c r="B4230" s="40"/>
    </row>
    <row r="4231" spans="1:2" x14ac:dyDescent="0.2">
      <c r="A4231" s="40"/>
      <c r="B4231" s="40"/>
    </row>
    <row r="4232" spans="1:2" x14ac:dyDescent="0.2">
      <c r="A4232" s="40"/>
      <c r="B4232" s="40"/>
    </row>
    <row r="4233" spans="1:2" x14ac:dyDescent="0.2">
      <c r="A4233" s="40"/>
      <c r="B4233" s="40"/>
    </row>
    <row r="4234" spans="1:2" x14ac:dyDescent="0.2">
      <c r="A4234" s="40"/>
      <c r="B4234" s="40"/>
    </row>
    <row r="4235" spans="1:2" x14ac:dyDescent="0.2">
      <c r="A4235" s="40"/>
      <c r="B4235" s="40"/>
    </row>
    <row r="4236" spans="1:2" x14ac:dyDescent="0.2">
      <c r="A4236" s="40"/>
      <c r="B4236" s="40"/>
    </row>
    <row r="4237" spans="1:2" x14ac:dyDescent="0.2">
      <c r="A4237" s="40"/>
      <c r="B4237" s="40"/>
    </row>
    <row r="4238" spans="1:2" x14ac:dyDescent="0.2">
      <c r="A4238" s="40"/>
      <c r="B4238" s="40"/>
    </row>
    <row r="4239" spans="1:2" x14ac:dyDescent="0.2">
      <c r="A4239" s="40"/>
      <c r="B4239" s="40"/>
    </row>
    <row r="4240" spans="1:2" x14ac:dyDescent="0.2">
      <c r="A4240" s="40"/>
      <c r="B4240" s="40"/>
    </row>
    <row r="4241" spans="1:2" x14ac:dyDescent="0.2">
      <c r="A4241" s="40"/>
      <c r="B4241" s="40"/>
    </row>
    <row r="4242" spans="1:2" x14ac:dyDescent="0.2">
      <c r="A4242" s="40"/>
      <c r="B4242" s="40"/>
    </row>
    <row r="4243" spans="1:2" x14ac:dyDescent="0.2">
      <c r="A4243" s="40"/>
      <c r="B4243" s="40"/>
    </row>
    <row r="4244" spans="1:2" x14ac:dyDescent="0.2">
      <c r="A4244" s="40"/>
      <c r="B4244" s="40"/>
    </row>
    <row r="4245" spans="1:2" x14ac:dyDescent="0.2">
      <c r="A4245" s="40"/>
      <c r="B4245" s="40"/>
    </row>
    <row r="4246" spans="1:2" x14ac:dyDescent="0.2">
      <c r="A4246" s="40"/>
      <c r="B4246" s="40"/>
    </row>
    <row r="4247" spans="1:2" x14ac:dyDescent="0.2">
      <c r="A4247" s="40"/>
      <c r="B4247" s="40"/>
    </row>
    <row r="4248" spans="1:2" x14ac:dyDescent="0.2">
      <c r="A4248" s="40"/>
      <c r="B4248" s="40"/>
    </row>
    <row r="4249" spans="1:2" x14ac:dyDescent="0.2">
      <c r="A4249" s="40"/>
      <c r="B4249" s="40"/>
    </row>
    <row r="4250" spans="1:2" x14ac:dyDescent="0.2">
      <c r="A4250" s="40"/>
      <c r="B4250" s="40"/>
    </row>
    <row r="4251" spans="1:2" x14ac:dyDescent="0.2">
      <c r="A4251" s="40"/>
      <c r="B4251" s="40"/>
    </row>
    <row r="4252" spans="1:2" x14ac:dyDescent="0.2">
      <c r="A4252" s="40"/>
      <c r="B4252" s="40"/>
    </row>
    <row r="4253" spans="1:2" x14ac:dyDescent="0.2">
      <c r="A4253" s="40"/>
      <c r="B4253" s="40"/>
    </row>
    <row r="4254" spans="1:2" x14ac:dyDescent="0.2">
      <c r="A4254" s="40"/>
      <c r="B4254" s="40"/>
    </row>
    <row r="4255" spans="1:2" x14ac:dyDescent="0.2">
      <c r="A4255" s="40"/>
      <c r="B4255" s="40"/>
    </row>
    <row r="4256" spans="1:2" x14ac:dyDescent="0.2">
      <c r="A4256" s="40"/>
      <c r="B4256" s="40"/>
    </row>
    <row r="4257" spans="1:2" x14ac:dyDescent="0.2">
      <c r="A4257" s="40"/>
      <c r="B4257" s="40"/>
    </row>
    <row r="4258" spans="1:2" x14ac:dyDescent="0.2">
      <c r="A4258" s="40"/>
      <c r="B4258" s="40"/>
    </row>
    <row r="4259" spans="1:2" x14ac:dyDescent="0.2">
      <c r="A4259" s="40"/>
      <c r="B4259" s="40"/>
    </row>
    <row r="4260" spans="1:2" x14ac:dyDescent="0.2">
      <c r="A4260" s="40"/>
      <c r="B4260" s="40"/>
    </row>
    <row r="4261" spans="1:2" x14ac:dyDescent="0.2">
      <c r="A4261" s="40"/>
      <c r="B4261" s="40"/>
    </row>
    <row r="4262" spans="1:2" x14ac:dyDescent="0.2">
      <c r="A4262" s="40"/>
      <c r="B4262" s="40"/>
    </row>
    <row r="4263" spans="1:2" x14ac:dyDescent="0.2">
      <c r="A4263" s="40"/>
      <c r="B4263" s="40"/>
    </row>
    <row r="4264" spans="1:2" x14ac:dyDescent="0.2">
      <c r="A4264" s="40"/>
      <c r="B4264" s="40"/>
    </row>
    <row r="4265" spans="1:2" x14ac:dyDescent="0.2">
      <c r="A4265" s="40"/>
      <c r="B4265" s="40"/>
    </row>
    <row r="4266" spans="1:2" x14ac:dyDescent="0.2">
      <c r="A4266" s="40"/>
      <c r="B4266" s="40"/>
    </row>
    <row r="4267" spans="1:2" x14ac:dyDescent="0.2">
      <c r="A4267" s="40"/>
      <c r="B4267" s="40"/>
    </row>
    <row r="4268" spans="1:2" x14ac:dyDescent="0.2">
      <c r="A4268" s="40"/>
      <c r="B4268" s="40"/>
    </row>
    <row r="4269" spans="1:2" x14ac:dyDescent="0.2">
      <c r="A4269" s="40"/>
      <c r="B4269" s="40"/>
    </row>
    <row r="4270" spans="1:2" x14ac:dyDescent="0.2">
      <c r="A4270" s="40"/>
      <c r="B4270" s="40"/>
    </row>
    <row r="4271" spans="1:2" x14ac:dyDescent="0.2">
      <c r="A4271" s="40"/>
      <c r="B4271" s="40"/>
    </row>
    <row r="4272" spans="1:2" x14ac:dyDescent="0.2">
      <c r="A4272" s="40"/>
      <c r="B4272" s="40"/>
    </row>
    <row r="4273" spans="1:2" x14ac:dyDescent="0.2">
      <c r="A4273" s="40"/>
      <c r="B4273" s="40"/>
    </row>
    <row r="4274" spans="1:2" x14ac:dyDescent="0.2">
      <c r="A4274" s="40"/>
      <c r="B4274" s="40"/>
    </row>
    <row r="4275" spans="1:2" x14ac:dyDescent="0.2">
      <c r="A4275" s="40"/>
      <c r="B4275" s="40"/>
    </row>
    <row r="4276" spans="1:2" x14ac:dyDescent="0.2">
      <c r="A4276" s="40"/>
      <c r="B4276" s="40"/>
    </row>
    <row r="4277" spans="1:2" x14ac:dyDescent="0.2">
      <c r="A4277" s="40"/>
      <c r="B4277" s="40"/>
    </row>
    <row r="4278" spans="1:2" x14ac:dyDescent="0.2">
      <c r="A4278" s="40"/>
      <c r="B4278" s="40"/>
    </row>
    <row r="4279" spans="1:2" x14ac:dyDescent="0.2">
      <c r="A4279" s="40"/>
      <c r="B4279" s="40"/>
    </row>
    <row r="4280" spans="1:2" x14ac:dyDescent="0.2">
      <c r="A4280" s="40"/>
      <c r="B4280" s="40"/>
    </row>
    <row r="4281" spans="1:2" x14ac:dyDescent="0.2">
      <c r="A4281" s="40"/>
      <c r="B4281" s="40"/>
    </row>
    <row r="4282" spans="1:2" x14ac:dyDescent="0.2">
      <c r="A4282" s="40"/>
      <c r="B4282" s="40"/>
    </row>
    <row r="4283" spans="1:2" x14ac:dyDescent="0.2">
      <c r="A4283" s="40"/>
      <c r="B4283" s="40"/>
    </row>
    <row r="4284" spans="1:2" x14ac:dyDescent="0.2">
      <c r="A4284" s="40"/>
      <c r="B4284" s="40"/>
    </row>
    <row r="4285" spans="1:2" x14ac:dyDescent="0.2">
      <c r="A4285" s="40"/>
      <c r="B4285" s="40"/>
    </row>
    <row r="4286" spans="1:2" x14ac:dyDescent="0.2">
      <c r="A4286" s="40"/>
      <c r="B4286" s="40"/>
    </row>
    <row r="4287" spans="1:2" x14ac:dyDescent="0.2">
      <c r="A4287" s="40"/>
      <c r="B4287" s="40"/>
    </row>
    <row r="4288" spans="1:2" x14ac:dyDescent="0.2">
      <c r="A4288" s="40"/>
      <c r="B4288" s="40"/>
    </row>
    <row r="4289" spans="1:2" x14ac:dyDescent="0.2">
      <c r="A4289" s="40"/>
      <c r="B4289" s="40"/>
    </row>
    <row r="4290" spans="1:2" x14ac:dyDescent="0.2">
      <c r="A4290" s="40"/>
      <c r="B4290" s="40"/>
    </row>
    <row r="4291" spans="1:2" x14ac:dyDescent="0.2">
      <c r="A4291" s="40"/>
      <c r="B4291" s="40"/>
    </row>
    <row r="4292" spans="1:2" x14ac:dyDescent="0.2">
      <c r="A4292" s="40"/>
      <c r="B4292" s="40"/>
    </row>
    <row r="4293" spans="1:2" x14ac:dyDescent="0.2">
      <c r="A4293" s="40"/>
      <c r="B4293" s="40"/>
    </row>
    <row r="4294" spans="1:2" x14ac:dyDescent="0.2">
      <c r="A4294" s="40"/>
      <c r="B4294" s="40"/>
    </row>
    <row r="4295" spans="1:2" x14ac:dyDescent="0.2">
      <c r="A4295" s="40"/>
      <c r="B4295" s="40"/>
    </row>
    <row r="4296" spans="1:2" x14ac:dyDescent="0.2">
      <c r="A4296" s="40"/>
      <c r="B4296" s="40"/>
    </row>
    <row r="4297" spans="1:2" x14ac:dyDescent="0.2">
      <c r="A4297" s="40"/>
      <c r="B4297" s="40"/>
    </row>
    <row r="4298" spans="1:2" x14ac:dyDescent="0.2">
      <c r="A4298" s="40"/>
      <c r="B4298" s="40"/>
    </row>
    <row r="4299" spans="1:2" x14ac:dyDescent="0.2">
      <c r="A4299" s="40"/>
      <c r="B4299" s="40"/>
    </row>
    <row r="4300" spans="1:2" x14ac:dyDescent="0.2">
      <c r="A4300" s="40"/>
      <c r="B4300" s="40"/>
    </row>
    <row r="4301" spans="1:2" x14ac:dyDescent="0.2">
      <c r="A4301" s="40"/>
      <c r="B4301" s="40"/>
    </row>
    <row r="4302" spans="1:2" x14ac:dyDescent="0.2">
      <c r="A4302" s="40"/>
      <c r="B4302" s="40"/>
    </row>
    <row r="4303" spans="1:2" x14ac:dyDescent="0.2">
      <c r="A4303" s="40"/>
      <c r="B4303" s="40"/>
    </row>
    <row r="4304" spans="1:2" x14ac:dyDescent="0.2">
      <c r="A4304" s="40"/>
      <c r="B4304" s="40"/>
    </row>
    <row r="4305" spans="1:2" x14ac:dyDescent="0.2">
      <c r="A4305" s="40"/>
      <c r="B4305" s="40"/>
    </row>
    <row r="4306" spans="1:2" x14ac:dyDescent="0.2">
      <c r="A4306" s="40"/>
      <c r="B4306" s="40"/>
    </row>
    <row r="4307" spans="1:2" x14ac:dyDescent="0.2">
      <c r="A4307" s="40"/>
      <c r="B4307" s="40"/>
    </row>
    <row r="4308" spans="1:2" x14ac:dyDescent="0.2">
      <c r="A4308" s="40"/>
      <c r="B4308" s="40"/>
    </row>
    <row r="4309" spans="1:2" x14ac:dyDescent="0.2">
      <c r="A4309" s="40"/>
      <c r="B4309" s="40"/>
    </row>
    <row r="4310" spans="1:2" x14ac:dyDescent="0.2">
      <c r="A4310" s="40"/>
      <c r="B4310" s="40"/>
    </row>
    <row r="4311" spans="1:2" x14ac:dyDescent="0.2">
      <c r="A4311" s="40"/>
      <c r="B4311" s="40"/>
    </row>
    <row r="4312" spans="1:2" x14ac:dyDescent="0.2">
      <c r="A4312" s="40"/>
      <c r="B4312" s="40"/>
    </row>
    <row r="4313" spans="1:2" x14ac:dyDescent="0.2">
      <c r="A4313" s="40"/>
      <c r="B4313" s="40"/>
    </row>
    <row r="4314" spans="1:2" x14ac:dyDescent="0.2">
      <c r="A4314" s="40"/>
      <c r="B4314" s="40"/>
    </row>
    <row r="4315" spans="1:2" x14ac:dyDescent="0.2">
      <c r="A4315" s="40"/>
      <c r="B4315" s="40"/>
    </row>
    <row r="4316" spans="1:2" x14ac:dyDescent="0.2">
      <c r="A4316" s="40"/>
      <c r="B4316" s="40"/>
    </row>
    <row r="4317" spans="1:2" x14ac:dyDescent="0.2">
      <c r="A4317" s="40"/>
      <c r="B4317" s="40"/>
    </row>
    <row r="4318" spans="1:2" x14ac:dyDescent="0.2">
      <c r="A4318" s="40"/>
      <c r="B4318" s="40"/>
    </row>
    <row r="4319" spans="1:2" x14ac:dyDescent="0.2">
      <c r="A4319" s="40"/>
      <c r="B4319" s="40"/>
    </row>
    <row r="4320" spans="1:2" x14ac:dyDescent="0.2">
      <c r="A4320" s="40"/>
      <c r="B4320" s="40"/>
    </row>
    <row r="4321" spans="1:2" x14ac:dyDescent="0.2">
      <c r="A4321" s="40"/>
      <c r="B4321" s="40"/>
    </row>
    <row r="4322" spans="1:2" x14ac:dyDescent="0.2">
      <c r="A4322" s="40"/>
      <c r="B4322" s="40"/>
    </row>
    <row r="4323" spans="1:2" x14ac:dyDescent="0.2">
      <c r="A4323" s="40"/>
      <c r="B4323" s="40"/>
    </row>
    <row r="4324" spans="1:2" x14ac:dyDescent="0.2">
      <c r="A4324" s="40"/>
      <c r="B4324" s="40"/>
    </row>
    <row r="4325" spans="1:2" x14ac:dyDescent="0.2">
      <c r="A4325" s="40"/>
      <c r="B4325" s="40"/>
    </row>
    <row r="4326" spans="1:2" x14ac:dyDescent="0.2">
      <c r="A4326" s="40"/>
      <c r="B4326" s="40"/>
    </row>
    <row r="4327" spans="1:2" x14ac:dyDescent="0.2">
      <c r="A4327" s="40"/>
      <c r="B4327" s="40"/>
    </row>
    <row r="4328" spans="1:2" x14ac:dyDescent="0.2">
      <c r="A4328" s="40"/>
      <c r="B4328" s="40"/>
    </row>
    <row r="4329" spans="1:2" x14ac:dyDescent="0.2">
      <c r="A4329" s="40"/>
      <c r="B4329" s="40"/>
    </row>
    <row r="4330" spans="1:2" x14ac:dyDescent="0.2">
      <c r="A4330" s="40"/>
      <c r="B4330" s="40"/>
    </row>
    <row r="4331" spans="1:2" x14ac:dyDescent="0.2">
      <c r="A4331" s="40"/>
      <c r="B4331" s="40"/>
    </row>
    <row r="4332" spans="1:2" x14ac:dyDescent="0.2">
      <c r="A4332" s="40"/>
      <c r="B4332" s="40"/>
    </row>
    <row r="4333" spans="1:2" x14ac:dyDescent="0.2">
      <c r="A4333" s="40"/>
      <c r="B4333" s="40"/>
    </row>
    <row r="4334" spans="1:2" x14ac:dyDescent="0.2">
      <c r="A4334" s="40"/>
      <c r="B4334" s="40"/>
    </row>
    <row r="4335" spans="1:2" x14ac:dyDescent="0.2">
      <c r="A4335" s="40"/>
      <c r="B4335" s="40"/>
    </row>
    <row r="4336" spans="1:2" x14ac:dyDescent="0.2">
      <c r="A4336" s="40"/>
      <c r="B4336" s="40"/>
    </row>
    <row r="4337" spans="1:2" x14ac:dyDescent="0.2">
      <c r="A4337" s="40"/>
      <c r="B4337" s="40"/>
    </row>
    <row r="4338" spans="1:2" x14ac:dyDescent="0.2">
      <c r="A4338" s="40"/>
      <c r="B4338" s="40"/>
    </row>
    <row r="4339" spans="1:2" x14ac:dyDescent="0.2">
      <c r="A4339" s="40"/>
      <c r="B4339" s="40"/>
    </row>
    <row r="4340" spans="1:2" x14ac:dyDescent="0.2">
      <c r="A4340" s="40"/>
      <c r="B4340" s="40"/>
    </row>
    <row r="4341" spans="1:2" x14ac:dyDescent="0.2">
      <c r="A4341" s="40"/>
      <c r="B4341" s="40"/>
    </row>
    <row r="4342" spans="1:2" x14ac:dyDescent="0.2">
      <c r="A4342" s="40"/>
      <c r="B4342" s="40"/>
    </row>
    <row r="4343" spans="1:2" x14ac:dyDescent="0.2">
      <c r="A4343" s="40"/>
      <c r="B4343" s="40"/>
    </row>
    <row r="4344" spans="1:2" x14ac:dyDescent="0.2">
      <c r="A4344" s="40"/>
      <c r="B4344" s="40"/>
    </row>
    <row r="4345" spans="1:2" x14ac:dyDescent="0.2">
      <c r="A4345" s="40"/>
      <c r="B4345" s="40"/>
    </row>
    <row r="4346" spans="1:2" x14ac:dyDescent="0.2">
      <c r="A4346" s="40"/>
      <c r="B4346" s="40"/>
    </row>
    <row r="4347" spans="1:2" x14ac:dyDescent="0.2">
      <c r="A4347" s="40"/>
      <c r="B4347" s="40"/>
    </row>
    <row r="4348" spans="1:2" x14ac:dyDescent="0.2">
      <c r="A4348" s="40"/>
      <c r="B4348" s="40"/>
    </row>
    <row r="4349" spans="1:2" x14ac:dyDescent="0.2">
      <c r="A4349" s="40"/>
      <c r="B4349" s="40"/>
    </row>
    <row r="4350" spans="1:2" x14ac:dyDescent="0.2">
      <c r="A4350" s="40"/>
      <c r="B4350" s="40"/>
    </row>
    <row r="4351" spans="1:2" x14ac:dyDescent="0.2">
      <c r="A4351" s="40"/>
      <c r="B4351" s="40"/>
    </row>
    <row r="4352" spans="1:2" x14ac:dyDescent="0.2">
      <c r="A4352" s="40"/>
      <c r="B4352" s="40"/>
    </row>
    <row r="4353" spans="1:2" x14ac:dyDescent="0.2">
      <c r="A4353" s="40"/>
      <c r="B4353" s="40"/>
    </row>
    <row r="4354" spans="1:2" x14ac:dyDescent="0.2">
      <c r="A4354" s="40"/>
      <c r="B4354" s="40"/>
    </row>
    <row r="4355" spans="1:2" x14ac:dyDescent="0.2">
      <c r="A4355" s="40"/>
      <c r="B4355" s="40"/>
    </row>
    <row r="4356" spans="1:2" x14ac:dyDescent="0.2">
      <c r="A4356" s="40"/>
      <c r="B4356" s="40"/>
    </row>
    <row r="4357" spans="1:2" x14ac:dyDescent="0.2">
      <c r="A4357" s="40"/>
      <c r="B4357" s="40"/>
    </row>
    <row r="4358" spans="1:2" x14ac:dyDescent="0.2">
      <c r="A4358" s="40"/>
      <c r="B4358" s="40"/>
    </row>
    <row r="4359" spans="1:2" x14ac:dyDescent="0.2">
      <c r="A4359" s="40"/>
      <c r="B4359" s="40"/>
    </row>
    <row r="4360" spans="1:2" x14ac:dyDescent="0.2">
      <c r="A4360" s="40"/>
      <c r="B4360" s="40"/>
    </row>
    <row r="4361" spans="1:2" x14ac:dyDescent="0.2">
      <c r="A4361" s="40"/>
      <c r="B4361" s="40"/>
    </row>
    <row r="4362" spans="1:2" x14ac:dyDescent="0.2">
      <c r="A4362" s="40"/>
      <c r="B4362" s="40"/>
    </row>
    <row r="4363" spans="1:2" x14ac:dyDescent="0.2">
      <c r="A4363" s="40"/>
      <c r="B4363" s="40"/>
    </row>
    <row r="4364" spans="1:2" x14ac:dyDescent="0.2">
      <c r="A4364" s="40"/>
      <c r="B4364" s="40"/>
    </row>
    <row r="4365" spans="1:2" x14ac:dyDescent="0.2">
      <c r="A4365" s="40"/>
      <c r="B4365" s="40"/>
    </row>
    <row r="4366" spans="1:2" x14ac:dyDescent="0.2">
      <c r="A4366" s="40"/>
      <c r="B4366" s="40"/>
    </row>
    <row r="4367" spans="1:2" x14ac:dyDescent="0.2">
      <c r="A4367" s="40"/>
      <c r="B4367" s="40"/>
    </row>
    <row r="4368" spans="1:2" x14ac:dyDescent="0.2">
      <c r="A4368" s="40"/>
      <c r="B4368" s="40"/>
    </row>
    <row r="4369" spans="1:2" x14ac:dyDescent="0.2">
      <c r="A4369" s="40"/>
      <c r="B4369" s="40"/>
    </row>
    <row r="4370" spans="1:2" x14ac:dyDescent="0.2">
      <c r="A4370" s="40"/>
      <c r="B4370" s="40"/>
    </row>
    <row r="4371" spans="1:2" x14ac:dyDescent="0.2">
      <c r="A4371" s="40"/>
      <c r="B4371" s="40"/>
    </row>
    <row r="4372" spans="1:2" x14ac:dyDescent="0.2">
      <c r="A4372" s="40"/>
      <c r="B4372" s="40"/>
    </row>
    <row r="4373" spans="1:2" x14ac:dyDescent="0.2">
      <c r="A4373" s="40"/>
      <c r="B4373" s="40"/>
    </row>
    <row r="4374" spans="1:2" x14ac:dyDescent="0.2">
      <c r="A4374" s="40"/>
      <c r="B4374" s="40"/>
    </row>
    <row r="4375" spans="1:2" x14ac:dyDescent="0.2">
      <c r="A4375" s="40"/>
      <c r="B4375" s="40"/>
    </row>
    <row r="4376" spans="1:2" x14ac:dyDescent="0.2">
      <c r="A4376" s="40"/>
      <c r="B4376" s="40"/>
    </row>
    <row r="4377" spans="1:2" x14ac:dyDescent="0.2">
      <c r="A4377" s="40"/>
      <c r="B4377" s="40"/>
    </row>
    <row r="4378" spans="1:2" x14ac:dyDescent="0.2">
      <c r="A4378" s="40"/>
      <c r="B4378" s="40"/>
    </row>
    <row r="4379" spans="1:2" x14ac:dyDescent="0.2">
      <c r="A4379" s="40"/>
      <c r="B4379" s="40"/>
    </row>
    <row r="4380" spans="1:2" x14ac:dyDescent="0.2">
      <c r="A4380" s="40"/>
      <c r="B4380" s="40"/>
    </row>
    <row r="4381" spans="1:2" x14ac:dyDescent="0.2">
      <c r="A4381" s="40"/>
      <c r="B4381" s="40"/>
    </row>
    <row r="4382" spans="1:2" x14ac:dyDescent="0.2">
      <c r="A4382" s="40"/>
      <c r="B4382" s="40"/>
    </row>
    <row r="4383" spans="1:2" x14ac:dyDescent="0.2">
      <c r="A4383" s="40"/>
      <c r="B4383" s="40"/>
    </row>
    <row r="4384" spans="1:2" x14ac:dyDescent="0.2">
      <c r="A4384" s="40"/>
      <c r="B4384" s="40"/>
    </row>
    <row r="4385" spans="1:2" x14ac:dyDescent="0.2">
      <c r="A4385" s="40"/>
      <c r="B4385" s="40"/>
    </row>
    <row r="4386" spans="1:2" x14ac:dyDescent="0.2">
      <c r="A4386" s="40"/>
      <c r="B4386" s="40"/>
    </row>
    <row r="4387" spans="1:2" x14ac:dyDescent="0.2">
      <c r="A4387" s="40"/>
      <c r="B4387" s="40"/>
    </row>
    <row r="4388" spans="1:2" x14ac:dyDescent="0.2">
      <c r="A4388" s="40"/>
      <c r="B4388" s="40"/>
    </row>
    <row r="4389" spans="1:2" x14ac:dyDescent="0.2">
      <c r="A4389" s="40"/>
      <c r="B4389" s="40"/>
    </row>
    <row r="4390" spans="1:2" x14ac:dyDescent="0.2">
      <c r="A4390" s="40"/>
      <c r="B4390" s="40"/>
    </row>
    <row r="4391" spans="1:2" x14ac:dyDescent="0.2">
      <c r="A4391" s="40"/>
      <c r="B4391" s="40"/>
    </row>
    <row r="4392" spans="1:2" x14ac:dyDescent="0.2">
      <c r="A4392" s="40"/>
      <c r="B4392" s="40"/>
    </row>
    <row r="4393" spans="1:2" x14ac:dyDescent="0.2">
      <c r="A4393" s="40"/>
      <c r="B4393" s="40"/>
    </row>
    <row r="4394" spans="1:2" x14ac:dyDescent="0.2">
      <c r="A4394" s="40"/>
      <c r="B4394" s="40"/>
    </row>
    <row r="4395" spans="1:2" x14ac:dyDescent="0.2">
      <c r="A4395" s="40"/>
      <c r="B4395" s="40"/>
    </row>
    <row r="4396" spans="1:2" x14ac:dyDescent="0.2">
      <c r="A4396" s="40"/>
      <c r="B4396" s="40"/>
    </row>
    <row r="4397" spans="1:2" x14ac:dyDescent="0.2">
      <c r="A4397" s="40"/>
      <c r="B4397" s="40"/>
    </row>
    <row r="4398" spans="1:2" x14ac:dyDescent="0.2">
      <c r="A4398" s="40"/>
      <c r="B4398" s="40"/>
    </row>
    <row r="4399" spans="1:2" x14ac:dyDescent="0.2">
      <c r="A4399" s="40"/>
      <c r="B4399" s="40"/>
    </row>
    <row r="4400" spans="1:2" x14ac:dyDescent="0.2">
      <c r="A4400" s="40"/>
      <c r="B4400" s="40"/>
    </row>
    <row r="4401" spans="1:2" x14ac:dyDescent="0.2">
      <c r="A4401" s="40"/>
      <c r="B4401" s="40"/>
    </row>
    <row r="4402" spans="1:2" x14ac:dyDescent="0.2">
      <c r="A4402" s="40"/>
      <c r="B4402" s="40"/>
    </row>
    <row r="4403" spans="1:2" x14ac:dyDescent="0.2">
      <c r="A4403" s="40"/>
      <c r="B4403" s="40"/>
    </row>
    <row r="4404" spans="1:2" x14ac:dyDescent="0.2">
      <c r="A4404" s="40"/>
      <c r="B4404" s="40"/>
    </row>
    <row r="4405" spans="1:2" x14ac:dyDescent="0.2">
      <c r="A4405" s="40"/>
      <c r="B4405" s="40"/>
    </row>
    <row r="4406" spans="1:2" x14ac:dyDescent="0.2">
      <c r="A4406" s="40"/>
      <c r="B4406" s="40"/>
    </row>
    <row r="4407" spans="1:2" x14ac:dyDescent="0.2">
      <c r="A4407" s="40"/>
      <c r="B4407" s="40"/>
    </row>
    <row r="4408" spans="1:2" x14ac:dyDescent="0.2">
      <c r="A4408" s="40"/>
      <c r="B4408" s="40"/>
    </row>
    <row r="4409" spans="1:2" x14ac:dyDescent="0.2">
      <c r="A4409" s="40"/>
      <c r="B4409" s="40"/>
    </row>
    <row r="4410" spans="1:2" x14ac:dyDescent="0.2">
      <c r="A4410" s="40"/>
      <c r="B4410" s="40"/>
    </row>
    <row r="4411" spans="1:2" x14ac:dyDescent="0.2">
      <c r="A4411" s="40"/>
      <c r="B4411" s="40"/>
    </row>
    <row r="4412" spans="1:2" x14ac:dyDescent="0.2">
      <c r="A4412" s="40"/>
      <c r="B4412" s="40"/>
    </row>
    <row r="4413" spans="1:2" x14ac:dyDescent="0.2">
      <c r="A4413" s="40"/>
      <c r="B4413" s="40"/>
    </row>
    <row r="4414" spans="1:2" x14ac:dyDescent="0.2">
      <c r="A4414" s="40"/>
      <c r="B4414" s="40"/>
    </row>
    <row r="4415" spans="1:2" x14ac:dyDescent="0.2">
      <c r="A4415" s="40"/>
      <c r="B4415" s="40"/>
    </row>
    <row r="4416" spans="1:2" x14ac:dyDescent="0.2">
      <c r="A4416" s="40"/>
      <c r="B4416" s="40"/>
    </row>
    <row r="4417" spans="1:2" x14ac:dyDescent="0.2">
      <c r="A4417" s="40"/>
      <c r="B4417" s="40"/>
    </row>
    <row r="4418" spans="1:2" x14ac:dyDescent="0.2">
      <c r="A4418" s="40"/>
      <c r="B4418" s="40"/>
    </row>
    <row r="4419" spans="1:2" x14ac:dyDescent="0.2">
      <c r="A4419" s="40"/>
      <c r="B4419" s="40"/>
    </row>
    <row r="4420" spans="1:2" x14ac:dyDescent="0.2">
      <c r="A4420" s="40"/>
      <c r="B4420" s="40"/>
    </row>
    <row r="4421" spans="1:2" x14ac:dyDescent="0.2">
      <c r="A4421" s="40"/>
      <c r="B4421" s="40"/>
    </row>
    <row r="4422" spans="1:2" x14ac:dyDescent="0.2">
      <c r="A4422" s="40"/>
      <c r="B4422" s="40"/>
    </row>
    <row r="4423" spans="1:2" x14ac:dyDescent="0.2">
      <c r="A4423" s="40"/>
      <c r="B4423" s="40"/>
    </row>
    <row r="4424" spans="1:2" x14ac:dyDescent="0.2">
      <c r="A4424" s="40"/>
      <c r="B4424" s="40"/>
    </row>
    <row r="4425" spans="1:2" x14ac:dyDescent="0.2">
      <c r="A4425" s="40"/>
      <c r="B4425" s="40"/>
    </row>
    <row r="4426" spans="1:2" x14ac:dyDescent="0.2">
      <c r="A4426" s="40"/>
      <c r="B4426" s="40"/>
    </row>
    <row r="4427" spans="1:2" x14ac:dyDescent="0.2">
      <c r="A4427" s="40"/>
      <c r="B4427" s="40"/>
    </row>
    <row r="4428" spans="1:2" x14ac:dyDescent="0.2">
      <c r="A4428" s="40"/>
      <c r="B4428" s="40"/>
    </row>
    <row r="4429" spans="1:2" x14ac:dyDescent="0.2">
      <c r="A4429" s="40"/>
      <c r="B4429" s="40"/>
    </row>
    <row r="4430" spans="1:2" x14ac:dyDescent="0.2">
      <c r="A4430" s="40"/>
      <c r="B4430" s="40"/>
    </row>
    <row r="4431" spans="1:2" x14ac:dyDescent="0.2">
      <c r="A4431" s="40"/>
      <c r="B4431" s="40"/>
    </row>
    <row r="4432" spans="1:2" x14ac:dyDescent="0.2">
      <c r="A4432" s="40"/>
      <c r="B4432" s="40"/>
    </row>
    <row r="4433" spans="1:2" x14ac:dyDescent="0.2">
      <c r="A4433" s="40"/>
      <c r="B4433" s="40"/>
    </row>
    <row r="4434" spans="1:2" x14ac:dyDescent="0.2">
      <c r="A4434" s="40"/>
      <c r="B4434" s="40"/>
    </row>
    <row r="4435" spans="1:2" x14ac:dyDescent="0.2">
      <c r="A4435" s="40"/>
      <c r="B4435" s="40"/>
    </row>
    <row r="4436" spans="1:2" x14ac:dyDescent="0.2">
      <c r="A4436" s="40"/>
      <c r="B4436" s="40"/>
    </row>
    <row r="4437" spans="1:2" x14ac:dyDescent="0.2">
      <c r="A4437" s="40"/>
      <c r="B4437" s="40"/>
    </row>
    <row r="4438" spans="1:2" x14ac:dyDescent="0.2">
      <c r="A4438" s="40"/>
      <c r="B4438" s="40"/>
    </row>
    <row r="4439" spans="1:2" x14ac:dyDescent="0.2">
      <c r="A4439" s="40"/>
      <c r="B4439" s="40"/>
    </row>
    <row r="4440" spans="1:2" x14ac:dyDescent="0.2">
      <c r="A4440" s="40"/>
      <c r="B4440" s="40"/>
    </row>
    <row r="4441" spans="1:2" x14ac:dyDescent="0.2">
      <c r="A4441" s="40"/>
      <c r="B4441" s="40"/>
    </row>
    <row r="4442" spans="1:2" x14ac:dyDescent="0.2">
      <c r="A4442" s="40"/>
      <c r="B4442" s="40"/>
    </row>
    <row r="4443" spans="1:2" x14ac:dyDescent="0.2">
      <c r="A4443" s="40"/>
      <c r="B4443" s="40"/>
    </row>
    <row r="4444" spans="1:2" x14ac:dyDescent="0.2">
      <c r="A4444" s="40"/>
      <c r="B4444" s="40"/>
    </row>
    <row r="4445" spans="1:2" x14ac:dyDescent="0.2">
      <c r="A4445" s="40"/>
      <c r="B4445" s="40"/>
    </row>
    <row r="4446" spans="1:2" x14ac:dyDescent="0.2">
      <c r="A4446" s="40"/>
      <c r="B4446" s="40"/>
    </row>
    <row r="4447" spans="1:2" x14ac:dyDescent="0.2">
      <c r="A4447" s="40"/>
      <c r="B4447" s="40"/>
    </row>
    <row r="4448" spans="1:2" x14ac:dyDescent="0.2">
      <c r="A4448" s="40"/>
      <c r="B4448" s="40"/>
    </row>
    <row r="4449" spans="1:2" x14ac:dyDescent="0.2">
      <c r="A4449" s="40"/>
      <c r="B4449" s="40"/>
    </row>
    <row r="4450" spans="1:2" x14ac:dyDescent="0.2">
      <c r="A4450" s="40"/>
      <c r="B4450" s="40"/>
    </row>
    <row r="4451" spans="1:2" x14ac:dyDescent="0.2">
      <c r="A4451" s="40"/>
      <c r="B4451" s="40"/>
    </row>
    <row r="4452" spans="1:2" x14ac:dyDescent="0.2">
      <c r="A4452" s="40"/>
      <c r="B4452" s="40"/>
    </row>
    <row r="4453" spans="1:2" x14ac:dyDescent="0.2">
      <c r="A4453" s="40"/>
      <c r="B4453" s="40"/>
    </row>
    <row r="4454" spans="1:2" x14ac:dyDescent="0.2">
      <c r="A4454" s="40"/>
      <c r="B4454" s="40"/>
    </row>
    <row r="4455" spans="1:2" x14ac:dyDescent="0.2">
      <c r="A4455" s="40"/>
      <c r="B4455" s="40"/>
    </row>
    <row r="4456" spans="1:2" x14ac:dyDescent="0.2">
      <c r="A4456" s="40"/>
      <c r="B4456" s="40"/>
    </row>
    <row r="4457" spans="1:2" x14ac:dyDescent="0.2">
      <c r="A4457" s="40"/>
      <c r="B4457" s="40"/>
    </row>
    <row r="4458" spans="1:2" x14ac:dyDescent="0.2">
      <c r="A4458" s="40"/>
      <c r="B4458" s="40"/>
    </row>
    <row r="4459" spans="1:2" x14ac:dyDescent="0.2">
      <c r="A4459" s="40"/>
      <c r="B4459" s="40"/>
    </row>
    <row r="4460" spans="1:2" x14ac:dyDescent="0.2">
      <c r="A4460" s="40"/>
      <c r="B4460" s="40"/>
    </row>
    <row r="4461" spans="1:2" x14ac:dyDescent="0.2">
      <c r="A4461" s="40"/>
      <c r="B4461" s="40"/>
    </row>
    <row r="4462" spans="1:2" x14ac:dyDescent="0.2">
      <c r="A4462" s="40"/>
      <c r="B4462" s="40"/>
    </row>
    <row r="4463" spans="1:2" x14ac:dyDescent="0.2">
      <c r="A4463" s="40"/>
      <c r="B4463" s="40"/>
    </row>
    <row r="4464" spans="1:2" x14ac:dyDescent="0.2">
      <c r="A4464" s="40"/>
      <c r="B4464" s="40"/>
    </row>
    <row r="4465" spans="1:2" x14ac:dyDescent="0.2">
      <c r="A4465" s="40"/>
      <c r="B4465" s="40"/>
    </row>
    <row r="4466" spans="1:2" x14ac:dyDescent="0.2">
      <c r="A4466" s="40"/>
      <c r="B4466" s="40"/>
    </row>
    <row r="4467" spans="1:2" x14ac:dyDescent="0.2">
      <c r="A4467" s="40"/>
      <c r="B4467" s="40"/>
    </row>
    <row r="4468" spans="1:2" x14ac:dyDescent="0.2">
      <c r="A4468" s="40"/>
      <c r="B4468" s="40"/>
    </row>
    <row r="4469" spans="1:2" x14ac:dyDescent="0.2">
      <c r="A4469" s="40"/>
      <c r="B4469" s="40"/>
    </row>
    <row r="4470" spans="1:2" x14ac:dyDescent="0.2">
      <c r="A4470" s="40"/>
      <c r="B4470" s="40"/>
    </row>
    <row r="4471" spans="1:2" x14ac:dyDescent="0.2">
      <c r="A4471" s="40"/>
      <c r="B4471" s="40"/>
    </row>
    <row r="4472" spans="1:2" x14ac:dyDescent="0.2">
      <c r="A4472" s="40"/>
      <c r="B4472" s="40"/>
    </row>
    <row r="4473" spans="1:2" x14ac:dyDescent="0.2">
      <c r="A4473" s="40"/>
      <c r="B4473" s="40"/>
    </row>
    <row r="4474" spans="1:2" x14ac:dyDescent="0.2">
      <c r="A4474" s="40"/>
      <c r="B4474" s="40"/>
    </row>
    <row r="4475" spans="1:2" x14ac:dyDescent="0.2">
      <c r="A4475" s="40"/>
      <c r="B4475" s="40"/>
    </row>
    <row r="4476" spans="1:2" x14ac:dyDescent="0.2">
      <c r="A4476" s="40"/>
      <c r="B4476" s="40"/>
    </row>
    <row r="4477" spans="1:2" x14ac:dyDescent="0.2">
      <c r="A4477" s="40"/>
      <c r="B4477" s="40"/>
    </row>
    <row r="4478" spans="1:2" x14ac:dyDescent="0.2">
      <c r="A4478" s="40"/>
      <c r="B4478" s="40"/>
    </row>
    <row r="4479" spans="1:2" x14ac:dyDescent="0.2">
      <c r="A4479" s="40"/>
      <c r="B4479" s="40"/>
    </row>
    <row r="4480" spans="1:2" x14ac:dyDescent="0.2">
      <c r="A4480" s="40"/>
      <c r="B4480" s="40"/>
    </row>
    <row r="4481" spans="1:2" x14ac:dyDescent="0.2">
      <c r="A4481" s="40"/>
      <c r="B4481" s="40"/>
    </row>
    <row r="4482" spans="1:2" x14ac:dyDescent="0.2">
      <c r="A4482" s="40"/>
      <c r="B4482" s="40"/>
    </row>
    <row r="4483" spans="1:2" x14ac:dyDescent="0.2">
      <c r="A4483" s="40"/>
      <c r="B4483" s="40"/>
    </row>
    <row r="4484" spans="1:2" x14ac:dyDescent="0.2">
      <c r="A4484" s="40"/>
      <c r="B4484" s="40"/>
    </row>
    <row r="4485" spans="1:2" x14ac:dyDescent="0.2">
      <c r="A4485" s="40"/>
      <c r="B4485" s="40"/>
    </row>
    <row r="4486" spans="1:2" x14ac:dyDescent="0.2">
      <c r="A4486" s="40"/>
      <c r="B4486" s="40"/>
    </row>
    <row r="4487" spans="1:2" x14ac:dyDescent="0.2">
      <c r="A4487" s="40"/>
      <c r="B4487" s="40"/>
    </row>
    <row r="4488" spans="1:2" x14ac:dyDescent="0.2">
      <c r="A4488" s="40"/>
      <c r="B4488" s="40"/>
    </row>
    <row r="4489" spans="1:2" x14ac:dyDescent="0.2">
      <c r="A4489" s="40"/>
      <c r="B4489" s="40"/>
    </row>
    <row r="4490" spans="1:2" x14ac:dyDescent="0.2">
      <c r="A4490" s="40"/>
      <c r="B4490" s="40"/>
    </row>
    <row r="4491" spans="1:2" x14ac:dyDescent="0.2">
      <c r="A4491" s="40"/>
      <c r="B4491" s="40"/>
    </row>
    <row r="4492" spans="1:2" x14ac:dyDescent="0.2">
      <c r="A4492" s="40"/>
      <c r="B4492" s="40"/>
    </row>
    <row r="4493" spans="1:2" x14ac:dyDescent="0.2">
      <c r="A4493" s="40"/>
      <c r="B4493" s="40"/>
    </row>
    <row r="4494" spans="1:2" x14ac:dyDescent="0.2">
      <c r="A4494" s="40"/>
      <c r="B4494" s="40"/>
    </row>
    <row r="4495" spans="1:2" x14ac:dyDescent="0.2">
      <c r="A4495" s="40"/>
      <c r="B4495" s="40"/>
    </row>
    <row r="4496" spans="1:2" x14ac:dyDescent="0.2">
      <c r="A4496" s="40"/>
      <c r="B4496" s="40"/>
    </row>
    <row r="4497" spans="1:2" x14ac:dyDescent="0.2">
      <c r="A4497" s="40"/>
      <c r="B4497" s="40"/>
    </row>
    <row r="4498" spans="1:2" x14ac:dyDescent="0.2">
      <c r="A4498" s="40"/>
      <c r="B4498" s="40"/>
    </row>
    <row r="4499" spans="1:2" x14ac:dyDescent="0.2">
      <c r="A4499" s="40"/>
      <c r="B4499" s="40"/>
    </row>
    <row r="4500" spans="1:2" x14ac:dyDescent="0.2">
      <c r="A4500" s="40"/>
      <c r="B4500" s="40"/>
    </row>
    <row r="4501" spans="1:2" x14ac:dyDescent="0.2">
      <c r="A4501" s="40"/>
      <c r="B4501" s="40"/>
    </row>
    <row r="4502" spans="1:2" x14ac:dyDescent="0.2">
      <c r="A4502" s="40"/>
      <c r="B4502" s="40"/>
    </row>
    <row r="4503" spans="1:2" x14ac:dyDescent="0.2">
      <c r="A4503" s="40"/>
      <c r="B4503" s="40"/>
    </row>
    <row r="4504" spans="1:2" x14ac:dyDescent="0.2">
      <c r="A4504" s="40"/>
      <c r="B4504" s="40"/>
    </row>
    <row r="4505" spans="1:2" x14ac:dyDescent="0.2">
      <c r="A4505" s="40"/>
      <c r="B4505" s="40"/>
    </row>
    <row r="4506" spans="1:2" x14ac:dyDescent="0.2">
      <c r="A4506" s="40"/>
      <c r="B4506" s="40"/>
    </row>
    <row r="4507" spans="1:2" x14ac:dyDescent="0.2">
      <c r="A4507" s="40"/>
      <c r="B4507" s="40"/>
    </row>
    <row r="4508" spans="1:2" x14ac:dyDescent="0.2">
      <c r="A4508" s="40"/>
      <c r="B4508" s="40"/>
    </row>
    <row r="4509" spans="1:2" x14ac:dyDescent="0.2">
      <c r="A4509" s="40"/>
      <c r="B4509" s="40"/>
    </row>
    <row r="4510" spans="1:2" x14ac:dyDescent="0.2">
      <c r="A4510" s="40"/>
      <c r="B4510" s="40"/>
    </row>
    <row r="4511" spans="1:2" x14ac:dyDescent="0.2">
      <c r="A4511" s="40"/>
      <c r="B4511" s="40"/>
    </row>
    <row r="4512" spans="1:2" x14ac:dyDescent="0.2">
      <c r="A4512" s="40"/>
      <c r="B4512" s="40"/>
    </row>
    <row r="4513" spans="1:2" x14ac:dyDescent="0.2">
      <c r="A4513" s="40"/>
      <c r="B4513" s="40"/>
    </row>
    <row r="4514" spans="1:2" x14ac:dyDescent="0.2">
      <c r="A4514" s="40"/>
      <c r="B4514" s="40"/>
    </row>
    <row r="4515" spans="1:2" x14ac:dyDescent="0.2">
      <c r="A4515" s="40"/>
      <c r="B4515" s="40"/>
    </row>
    <row r="4516" spans="1:2" x14ac:dyDescent="0.2">
      <c r="A4516" s="40"/>
      <c r="B4516" s="40"/>
    </row>
    <row r="4517" spans="1:2" x14ac:dyDescent="0.2">
      <c r="A4517" s="40"/>
      <c r="B4517" s="40"/>
    </row>
    <row r="4518" spans="1:2" x14ac:dyDescent="0.2">
      <c r="A4518" s="40"/>
      <c r="B4518" s="40"/>
    </row>
    <row r="4519" spans="1:2" x14ac:dyDescent="0.2">
      <c r="A4519" s="40"/>
      <c r="B4519" s="40"/>
    </row>
    <row r="4520" spans="1:2" x14ac:dyDescent="0.2">
      <c r="A4520" s="40"/>
      <c r="B4520" s="40"/>
    </row>
    <row r="4521" spans="1:2" x14ac:dyDescent="0.2">
      <c r="A4521" s="40"/>
      <c r="B4521" s="40"/>
    </row>
    <row r="4522" spans="1:2" x14ac:dyDescent="0.2">
      <c r="A4522" s="40"/>
      <c r="B4522" s="40"/>
    </row>
    <row r="4523" spans="1:2" x14ac:dyDescent="0.2">
      <c r="A4523" s="40"/>
      <c r="B4523" s="40"/>
    </row>
    <row r="4524" spans="1:2" x14ac:dyDescent="0.2">
      <c r="A4524" s="40"/>
      <c r="B4524" s="40"/>
    </row>
    <row r="4525" spans="1:2" x14ac:dyDescent="0.2">
      <c r="A4525" s="40"/>
      <c r="B4525" s="40"/>
    </row>
    <row r="4526" spans="1:2" x14ac:dyDescent="0.2">
      <c r="A4526" s="40"/>
      <c r="B4526" s="40"/>
    </row>
    <row r="4527" spans="1:2" x14ac:dyDescent="0.2">
      <c r="A4527" s="40"/>
      <c r="B4527" s="40"/>
    </row>
    <row r="4528" spans="1:2" x14ac:dyDescent="0.2">
      <c r="A4528" s="40"/>
      <c r="B4528" s="40"/>
    </row>
    <row r="4529" spans="1:2" x14ac:dyDescent="0.2">
      <c r="A4529" s="40"/>
      <c r="B4529" s="40"/>
    </row>
    <row r="4530" spans="1:2" x14ac:dyDescent="0.2">
      <c r="A4530" s="40"/>
      <c r="B4530" s="40"/>
    </row>
    <row r="4531" spans="1:2" x14ac:dyDescent="0.2">
      <c r="A4531" s="40"/>
      <c r="B4531" s="40"/>
    </row>
    <row r="4532" spans="1:2" x14ac:dyDescent="0.2">
      <c r="A4532" s="40"/>
      <c r="B4532" s="40"/>
    </row>
    <row r="4533" spans="1:2" x14ac:dyDescent="0.2">
      <c r="A4533" s="40"/>
      <c r="B4533" s="40"/>
    </row>
    <row r="4534" spans="1:2" x14ac:dyDescent="0.2">
      <c r="A4534" s="40"/>
      <c r="B4534" s="40"/>
    </row>
    <row r="4535" spans="1:2" x14ac:dyDescent="0.2">
      <c r="A4535" s="40"/>
      <c r="B4535" s="40"/>
    </row>
    <row r="4536" spans="1:2" x14ac:dyDescent="0.2">
      <c r="A4536" s="40"/>
      <c r="B4536" s="40"/>
    </row>
    <row r="4537" spans="1:2" x14ac:dyDescent="0.2">
      <c r="A4537" s="40"/>
      <c r="B4537" s="40"/>
    </row>
    <row r="4538" spans="1:2" x14ac:dyDescent="0.2">
      <c r="A4538" s="40"/>
      <c r="B4538" s="40"/>
    </row>
    <row r="4539" spans="1:2" x14ac:dyDescent="0.2">
      <c r="A4539" s="40"/>
      <c r="B4539" s="40"/>
    </row>
    <row r="4540" spans="1:2" x14ac:dyDescent="0.2">
      <c r="A4540" s="40"/>
      <c r="B4540" s="40"/>
    </row>
    <row r="4541" spans="1:2" x14ac:dyDescent="0.2">
      <c r="A4541" s="40"/>
      <c r="B4541" s="40"/>
    </row>
    <row r="4542" spans="1:2" x14ac:dyDescent="0.2">
      <c r="A4542" s="40"/>
      <c r="B4542" s="40"/>
    </row>
    <row r="4543" spans="1:2" x14ac:dyDescent="0.2">
      <c r="A4543" s="40"/>
      <c r="B4543" s="40"/>
    </row>
    <row r="4544" spans="1:2" x14ac:dyDescent="0.2">
      <c r="A4544" s="40"/>
      <c r="B4544" s="40"/>
    </row>
    <row r="4545" spans="1:2" x14ac:dyDescent="0.2">
      <c r="A4545" s="40"/>
      <c r="B4545" s="40"/>
    </row>
    <row r="4546" spans="1:2" x14ac:dyDescent="0.2">
      <c r="A4546" s="40"/>
      <c r="B4546" s="40"/>
    </row>
    <row r="4547" spans="1:2" x14ac:dyDescent="0.2">
      <c r="A4547" s="40"/>
      <c r="B4547" s="40"/>
    </row>
    <row r="4548" spans="1:2" x14ac:dyDescent="0.2">
      <c r="A4548" s="40"/>
      <c r="B4548" s="40"/>
    </row>
    <row r="4549" spans="1:2" x14ac:dyDescent="0.2">
      <c r="A4549" s="40"/>
      <c r="B4549" s="40"/>
    </row>
    <row r="4550" spans="1:2" x14ac:dyDescent="0.2">
      <c r="A4550" s="40"/>
      <c r="B4550" s="40"/>
    </row>
    <row r="4551" spans="1:2" x14ac:dyDescent="0.2">
      <c r="A4551" s="40"/>
      <c r="B4551" s="40"/>
    </row>
    <row r="4552" spans="1:2" x14ac:dyDescent="0.2">
      <c r="A4552" s="40"/>
      <c r="B4552" s="40"/>
    </row>
    <row r="4553" spans="1:2" x14ac:dyDescent="0.2">
      <c r="A4553" s="40"/>
      <c r="B4553" s="40"/>
    </row>
    <row r="4554" spans="1:2" x14ac:dyDescent="0.2">
      <c r="A4554" s="40"/>
      <c r="B4554" s="40"/>
    </row>
    <row r="4555" spans="1:2" x14ac:dyDescent="0.2">
      <c r="A4555" s="40"/>
      <c r="B4555" s="40"/>
    </row>
    <row r="4556" spans="1:2" x14ac:dyDescent="0.2">
      <c r="A4556" s="40"/>
      <c r="B4556" s="40"/>
    </row>
    <row r="4557" spans="1:2" x14ac:dyDescent="0.2">
      <c r="A4557" s="40"/>
      <c r="B4557" s="40"/>
    </row>
    <row r="4558" spans="1:2" x14ac:dyDescent="0.2">
      <c r="A4558" s="40"/>
      <c r="B4558" s="40"/>
    </row>
    <row r="4559" spans="1:2" x14ac:dyDescent="0.2">
      <c r="A4559" s="40"/>
      <c r="B4559" s="40"/>
    </row>
    <row r="4560" spans="1:2" x14ac:dyDescent="0.2">
      <c r="A4560" s="40"/>
      <c r="B4560" s="40"/>
    </row>
    <row r="4561" spans="1:2" x14ac:dyDescent="0.2">
      <c r="A4561" s="40"/>
      <c r="B4561" s="40"/>
    </row>
    <row r="4562" spans="1:2" x14ac:dyDescent="0.2">
      <c r="A4562" s="40"/>
      <c r="B4562" s="40"/>
    </row>
    <row r="4563" spans="1:2" x14ac:dyDescent="0.2">
      <c r="A4563" s="40"/>
      <c r="B4563" s="40"/>
    </row>
    <row r="4564" spans="1:2" x14ac:dyDescent="0.2">
      <c r="A4564" s="40"/>
      <c r="B4564" s="40"/>
    </row>
    <row r="4565" spans="1:2" x14ac:dyDescent="0.2">
      <c r="A4565" s="40"/>
      <c r="B4565" s="40"/>
    </row>
    <row r="4566" spans="1:2" x14ac:dyDescent="0.2">
      <c r="A4566" s="40"/>
      <c r="B4566" s="40"/>
    </row>
    <row r="4567" spans="1:2" x14ac:dyDescent="0.2">
      <c r="A4567" s="40"/>
      <c r="B4567" s="40"/>
    </row>
    <row r="4568" spans="1:2" x14ac:dyDescent="0.2">
      <c r="A4568" s="40"/>
      <c r="B4568" s="40"/>
    </row>
    <row r="4569" spans="1:2" x14ac:dyDescent="0.2">
      <c r="A4569" s="40"/>
      <c r="B4569" s="40"/>
    </row>
    <row r="4570" spans="1:2" x14ac:dyDescent="0.2">
      <c r="A4570" s="40"/>
      <c r="B4570" s="40"/>
    </row>
    <row r="4571" spans="1:2" x14ac:dyDescent="0.2">
      <c r="A4571" s="40"/>
      <c r="B4571" s="40"/>
    </row>
    <row r="4572" spans="1:2" x14ac:dyDescent="0.2">
      <c r="A4572" s="40"/>
      <c r="B4572" s="40"/>
    </row>
    <row r="4573" spans="1:2" x14ac:dyDescent="0.2">
      <c r="A4573" s="40"/>
      <c r="B4573" s="40"/>
    </row>
    <row r="4574" spans="1:2" x14ac:dyDescent="0.2">
      <c r="A4574" s="40"/>
      <c r="B4574" s="40"/>
    </row>
    <row r="4575" spans="1:2" x14ac:dyDescent="0.2">
      <c r="A4575" s="40"/>
      <c r="B4575" s="40"/>
    </row>
    <row r="4576" spans="1:2" x14ac:dyDescent="0.2">
      <c r="A4576" s="40"/>
      <c r="B4576" s="40"/>
    </row>
    <row r="4577" spans="1:2" x14ac:dyDescent="0.2">
      <c r="A4577" s="40"/>
      <c r="B4577" s="40"/>
    </row>
    <row r="4578" spans="1:2" x14ac:dyDescent="0.2">
      <c r="A4578" s="40"/>
      <c r="B4578" s="40"/>
    </row>
    <row r="4579" spans="1:2" x14ac:dyDescent="0.2">
      <c r="A4579" s="40"/>
      <c r="B4579" s="40"/>
    </row>
    <row r="4580" spans="1:2" x14ac:dyDescent="0.2">
      <c r="A4580" s="40"/>
      <c r="B4580" s="40"/>
    </row>
    <row r="4581" spans="1:2" x14ac:dyDescent="0.2">
      <c r="A4581" s="40"/>
      <c r="B4581" s="40"/>
    </row>
    <row r="4582" spans="1:2" x14ac:dyDescent="0.2">
      <c r="A4582" s="40"/>
      <c r="B4582" s="40"/>
    </row>
    <row r="4583" spans="1:2" x14ac:dyDescent="0.2">
      <c r="A4583" s="40"/>
      <c r="B4583" s="40"/>
    </row>
    <row r="4584" spans="1:2" x14ac:dyDescent="0.2">
      <c r="A4584" s="40"/>
      <c r="B4584" s="40"/>
    </row>
    <row r="4585" spans="1:2" x14ac:dyDescent="0.2">
      <c r="A4585" s="40"/>
      <c r="B4585" s="40"/>
    </row>
    <row r="4586" spans="1:2" x14ac:dyDescent="0.2">
      <c r="A4586" s="40"/>
      <c r="B4586" s="40"/>
    </row>
    <row r="4587" spans="1:2" x14ac:dyDescent="0.2">
      <c r="A4587" s="40"/>
      <c r="B4587" s="40"/>
    </row>
    <row r="4588" spans="1:2" x14ac:dyDescent="0.2">
      <c r="A4588" s="40"/>
      <c r="B4588" s="40"/>
    </row>
    <row r="4589" spans="1:2" x14ac:dyDescent="0.2">
      <c r="A4589" s="40"/>
      <c r="B4589" s="40"/>
    </row>
    <row r="4590" spans="1:2" x14ac:dyDescent="0.2">
      <c r="A4590" s="40"/>
      <c r="B4590" s="40"/>
    </row>
    <row r="4591" spans="1:2" x14ac:dyDescent="0.2">
      <c r="A4591" s="40"/>
      <c r="B4591" s="40"/>
    </row>
    <row r="4592" spans="1:2" x14ac:dyDescent="0.2">
      <c r="A4592" s="40"/>
      <c r="B4592" s="40"/>
    </row>
    <row r="4593" spans="1:2" x14ac:dyDescent="0.2">
      <c r="A4593" s="40"/>
      <c r="B4593" s="40"/>
    </row>
    <row r="4594" spans="1:2" x14ac:dyDescent="0.2">
      <c r="A4594" s="40"/>
      <c r="B4594" s="40"/>
    </row>
    <row r="4595" spans="1:2" x14ac:dyDescent="0.2">
      <c r="A4595" s="40"/>
      <c r="B4595" s="40"/>
    </row>
    <row r="4596" spans="1:2" x14ac:dyDescent="0.2">
      <c r="A4596" s="40"/>
      <c r="B4596" s="40"/>
    </row>
    <row r="4597" spans="1:2" x14ac:dyDescent="0.2">
      <c r="A4597" s="40"/>
      <c r="B4597" s="40"/>
    </row>
    <row r="4598" spans="1:2" x14ac:dyDescent="0.2">
      <c r="A4598" s="40"/>
      <c r="B4598" s="40"/>
    </row>
    <row r="4599" spans="1:2" x14ac:dyDescent="0.2">
      <c r="A4599" s="40"/>
      <c r="B4599" s="40"/>
    </row>
    <row r="4600" spans="1:2" x14ac:dyDescent="0.2">
      <c r="A4600" s="40"/>
      <c r="B4600" s="40"/>
    </row>
    <row r="4601" spans="1:2" x14ac:dyDescent="0.2">
      <c r="A4601" s="40"/>
      <c r="B4601" s="40"/>
    </row>
    <row r="4602" spans="1:2" x14ac:dyDescent="0.2">
      <c r="A4602" s="40"/>
      <c r="B4602" s="40"/>
    </row>
    <row r="4603" spans="1:2" x14ac:dyDescent="0.2">
      <c r="A4603" s="40"/>
      <c r="B4603" s="40"/>
    </row>
    <row r="4604" spans="1:2" x14ac:dyDescent="0.2">
      <c r="A4604" s="40"/>
      <c r="B4604" s="40"/>
    </row>
    <row r="4605" spans="1:2" x14ac:dyDescent="0.2">
      <c r="A4605" s="40"/>
      <c r="B4605" s="40"/>
    </row>
    <row r="4606" spans="1:2" x14ac:dyDescent="0.2">
      <c r="A4606" s="40"/>
      <c r="B4606" s="40"/>
    </row>
    <row r="4607" spans="1:2" x14ac:dyDescent="0.2">
      <c r="A4607" s="40"/>
      <c r="B4607" s="40"/>
    </row>
    <row r="4608" spans="1:2" x14ac:dyDescent="0.2">
      <c r="A4608" s="40"/>
      <c r="B4608" s="40"/>
    </row>
    <row r="4609" spans="1:2" x14ac:dyDescent="0.2">
      <c r="A4609" s="40"/>
      <c r="B4609" s="40"/>
    </row>
    <row r="4610" spans="1:2" x14ac:dyDescent="0.2">
      <c r="A4610" s="40"/>
      <c r="B4610" s="40"/>
    </row>
    <row r="4611" spans="1:2" x14ac:dyDescent="0.2">
      <c r="A4611" s="40"/>
      <c r="B4611" s="40"/>
    </row>
    <row r="4612" spans="1:2" x14ac:dyDescent="0.2">
      <c r="A4612" s="40"/>
      <c r="B4612" s="40"/>
    </row>
    <row r="4613" spans="1:2" x14ac:dyDescent="0.2">
      <c r="A4613" s="40"/>
      <c r="B4613" s="40"/>
    </row>
    <row r="4614" spans="1:2" x14ac:dyDescent="0.2">
      <c r="A4614" s="40"/>
      <c r="B4614" s="40"/>
    </row>
    <row r="4615" spans="1:2" x14ac:dyDescent="0.2">
      <c r="A4615" s="40"/>
      <c r="B4615" s="40"/>
    </row>
    <row r="4616" spans="1:2" x14ac:dyDescent="0.2">
      <c r="A4616" s="40"/>
      <c r="B4616" s="40"/>
    </row>
    <row r="4617" spans="1:2" x14ac:dyDescent="0.2">
      <c r="A4617" s="40"/>
      <c r="B4617" s="40"/>
    </row>
    <row r="4618" spans="1:2" x14ac:dyDescent="0.2">
      <c r="A4618" s="40"/>
      <c r="B4618" s="40"/>
    </row>
    <row r="4619" spans="1:2" x14ac:dyDescent="0.2">
      <c r="A4619" s="40"/>
      <c r="B4619" s="40"/>
    </row>
    <row r="4620" spans="1:2" x14ac:dyDescent="0.2">
      <c r="A4620" s="40"/>
      <c r="B4620" s="40"/>
    </row>
    <row r="4621" spans="1:2" x14ac:dyDescent="0.2">
      <c r="A4621" s="40"/>
      <c r="B4621" s="40"/>
    </row>
    <row r="4622" spans="1:2" x14ac:dyDescent="0.2">
      <c r="A4622" s="40"/>
      <c r="B4622" s="40"/>
    </row>
    <row r="4623" spans="1:2" x14ac:dyDescent="0.2">
      <c r="A4623" s="40"/>
      <c r="B4623" s="40"/>
    </row>
    <row r="4624" spans="1:2" x14ac:dyDescent="0.2">
      <c r="A4624" s="40"/>
      <c r="B4624" s="40"/>
    </row>
    <row r="4625" spans="1:2" x14ac:dyDescent="0.2">
      <c r="A4625" s="40"/>
      <c r="B4625" s="40"/>
    </row>
    <row r="4626" spans="1:2" x14ac:dyDescent="0.2">
      <c r="A4626" s="40"/>
      <c r="B4626" s="40"/>
    </row>
    <row r="4627" spans="1:2" x14ac:dyDescent="0.2">
      <c r="A4627" s="40"/>
      <c r="B4627" s="40"/>
    </row>
    <row r="4628" spans="1:2" x14ac:dyDescent="0.2">
      <c r="A4628" s="40"/>
      <c r="B4628" s="40"/>
    </row>
    <row r="4629" spans="1:2" x14ac:dyDescent="0.2">
      <c r="A4629" s="40"/>
      <c r="B4629" s="40"/>
    </row>
    <row r="4630" spans="1:2" x14ac:dyDescent="0.2">
      <c r="A4630" s="40"/>
      <c r="B4630" s="40"/>
    </row>
    <row r="4631" spans="1:2" x14ac:dyDescent="0.2">
      <c r="A4631" s="40"/>
      <c r="B4631" s="40"/>
    </row>
    <row r="4632" spans="1:2" x14ac:dyDescent="0.2">
      <c r="A4632" s="40"/>
      <c r="B4632" s="40"/>
    </row>
    <row r="4633" spans="1:2" x14ac:dyDescent="0.2">
      <c r="A4633" s="40"/>
      <c r="B4633" s="40"/>
    </row>
    <row r="4634" spans="1:2" x14ac:dyDescent="0.2">
      <c r="A4634" s="40"/>
      <c r="B4634" s="40"/>
    </row>
    <row r="4635" spans="1:2" x14ac:dyDescent="0.2">
      <c r="A4635" s="40"/>
      <c r="B4635" s="40"/>
    </row>
    <row r="4636" spans="1:2" x14ac:dyDescent="0.2">
      <c r="A4636" s="40"/>
      <c r="B4636" s="40"/>
    </row>
    <row r="4637" spans="1:2" x14ac:dyDescent="0.2">
      <c r="A4637" s="40"/>
      <c r="B4637" s="40"/>
    </row>
    <row r="4638" spans="1:2" x14ac:dyDescent="0.2">
      <c r="A4638" s="40"/>
      <c r="B4638" s="40"/>
    </row>
    <row r="4639" spans="1:2" x14ac:dyDescent="0.2">
      <c r="A4639" s="40"/>
      <c r="B4639" s="40"/>
    </row>
    <row r="4640" spans="1:2" x14ac:dyDescent="0.2">
      <c r="A4640" s="40"/>
      <c r="B4640" s="40"/>
    </row>
    <row r="4641" spans="1:2" x14ac:dyDescent="0.2">
      <c r="A4641" s="40"/>
      <c r="B4641" s="40"/>
    </row>
    <row r="4642" spans="1:2" x14ac:dyDescent="0.2">
      <c r="A4642" s="40"/>
      <c r="B4642" s="40"/>
    </row>
    <row r="4643" spans="1:2" x14ac:dyDescent="0.2">
      <c r="A4643" s="40"/>
      <c r="B4643" s="40"/>
    </row>
    <row r="4644" spans="1:2" x14ac:dyDescent="0.2">
      <c r="A4644" s="40"/>
      <c r="B4644" s="40"/>
    </row>
    <row r="4645" spans="1:2" x14ac:dyDescent="0.2">
      <c r="A4645" s="40"/>
      <c r="B4645" s="40"/>
    </row>
    <row r="4646" spans="1:2" x14ac:dyDescent="0.2">
      <c r="A4646" s="40"/>
      <c r="B4646" s="40"/>
    </row>
    <row r="4647" spans="1:2" x14ac:dyDescent="0.2">
      <c r="A4647" s="40"/>
      <c r="B4647" s="40"/>
    </row>
    <row r="4648" spans="1:2" x14ac:dyDescent="0.2">
      <c r="A4648" s="40"/>
      <c r="B4648" s="40"/>
    </row>
    <row r="4649" spans="1:2" x14ac:dyDescent="0.2">
      <c r="A4649" s="40"/>
      <c r="B4649" s="40"/>
    </row>
    <row r="4650" spans="1:2" x14ac:dyDescent="0.2">
      <c r="A4650" s="40"/>
      <c r="B4650" s="40"/>
    </row>
    <row r="4651" spans="1:2" x14ac:dyDescent="0.2">
      <c r="A4651" s="40"/>
      <c r="B4651" s="40"/>
    </row>
    <row r="4652" spans="1:2" x14ac:dyDescent="0.2">
      <c r="A4652" s="40"/>
      <c r="B4652" s="40"/>
    </row>
    <row r="4653" spans="1:2" x14ac:dyDescent="0.2">
      <c r="A4653" s="40"/>
      <c r="B4653" s="40"/>
    </row>
    <row r="4654" spans="1:2" x14ac:dyDescent="0.2">
      <c r="A4654" s="40"/>
      <c r="B4654" s="40"/>
    </row>
    <row r="4655" spans="1:2" x14ac:dyDescent="0.2">
      <c r="A4655" s="40"/>
      <c r="B4655" s="40"/>
    </row>
    <row r="4656" spans="1:2" x14ac:dyDescent="0.2">
      <c r="A4656" s="40"/>
      <c r="B4656" s="40"/>
    </row>
    <row r="4657" spans="1:2" x14ac:dyDescent="0.2">
      <c r="A4657" s="40"/>
      <c r="B4657" s="40"/>
    </row>
    <row r="4658" spans="1:2" x14ac:dyDescent="0.2">
      <c r="A4658" s="40"/>
      <c r="B4658" s="40"/>
    </row>
    <row r="4659" spans="1:2" x14ac:dyDescent="0.2">
      <c r="A4659" s="40"/>
      <c r="B4659" s="40"/>
    </row>
    <row r="4660" spans="1:2" x14ac:dyDescent="0.2">
      <c r="A4660" s="40"/>
      <c r="B4660" s="40"/>
    </row>
    <row r="4661" spans="1:2" x14ac:dyDescent="0.2">
      <c r="A4661" s="40"/>
      <c r="B4661" s="40"/>
    </row>
    <row r="4662" spans="1:2" x14ac:dyDescent="0.2">
      <c r="A4662" s="40"/>
      <c r="B4662" s="40"/>
    </row>
    <row r="4663" spans="1:2" x14ac:dyDescent="0.2">
      <c r="A4663" s="40"/>
      <c r="B4663" s="40"/>
    </row>
    <row r="4664" spans="1:2" x14ac:dyDescent="0.2">
      <c r="A4664" s="40"/>
      <c r="B4664" s="40"/>
    </row>
    <row r="4665" spans="1:2" x14ac:dyDescent="0.2">
      <c r="A4665" s="40"/>
      <c r="B4665" s="40"/>
    </row>
    <row r="4666" spans="1:2" x14ac:dyDescent="0.2">
      <c r="A4666" s="40"/>
      <c r="B4666" s="40"/>
    </row>
    <row r="4667" spans="1:2" x14ac:dyDescent="0.2">
      <c r="A4667" s="40"/>
      <c r="B4667" s="40"/>
    </row>
    <row r="4668" spans="1:2" x14ac:dyDescent="0.2">
      <c r="A4668" s="40"/>
      <c r="B4668" s="40"/>
    </row>
    <row r="4669" spans="1:2" x14ac:dyDescent="0.2">
      <c r="A4669" s="40"/>
      <c r="B4669" s="40"/>
    </row>
    <row r="4670" spans="1:2" x14ac:dyDescent="0.2">
      <c r="A4670" s="40"/>
      <c r="B4670" s="40"/>
    </row>
    <row r="4671" spans="1:2" x14ac:dyDescent="0.2">
      <c r="A4671" s="40"/>
      <c r="B4671" s="40"/>
    </row>
    <row r="4672" spans="1:2" x14ac:dyDescent="0.2">
      <c r="A4672" s="40"/>
      <c r="B4672" s="40"/>
    </row>
    <row r="4673" spans="1:2" x14ac:dyDescent="0.2">
      <c r="A4673" s="40"/>
      <c r="B4673" s="40"/>
    </row>
    <row r="4674" spans="1:2" x14ac:dyDescent="0.2">
      <c r="A4674" s="40"/>
      <c r="B4674" s="40"/>
    </row>
    <row r="4675" spans="1:2" x14ac:dyDescent="0.2">
      <c r="A4675" s="40"/>
      <c r="B4675" s="40"/>
    </row>
    <row r="4676" spans="1:2" x14ac:dyDescent="0.2">
      <c r="A4676" s="40"/>
      <c r="B4676" s="40"/>
    </row>
    <row r="4677" spans="1:2" x14ac:dyDescent="0.2">
      <c r="A4677" s="40"/>
      <c r="B4677" s="40"/>
    </row>
    <row r="4678" spans="1:2" x14ac:dyDescent="0.2">
      <c r="A4678" s="40"/>
      <c r="B4678" s="40"/>
    </row>
    <row r="4679" spans="1:2" x14ac:dyDescent="0.2">
      <c r="A4679" s="40"/>
      <c r="B4679" s="40"/>
    </row>
    <row r="4680" spans="1:2" x14ac:dyDescent="0.2">
      <c r="A4680" s="40"/>
      <c r="B4680" s="40"/>
    </row>
    <row r="4681" spans="1:2" x14ac:dyDescent="0.2">
      <c r="A4681" s="40"/>
      <c r="B4681" s="40"/>
    </row>
    <row r="4682" spans="1:2" x14ac:dyDescent="0.2">
      <c r="A4682" s="40"/>
      <c r="B4682" s="40"/>
    </row>
    <row r="4683" spans="1:2" x14ac:dyDescent="0.2">
      <c r="A4683" s="40"/>
      <c r="B4683" s="40"/>
    </row>
    <row r="4684" spans="1:2" x14ac:dyDescent="0.2">
      <c r="A4684" s="40"/>
      <c r="B4684" s="40"/>
    </row>
    <row r="4685" spans="1:2" x14ac:dyDescent="0.2">
      <c r="A4685" s="40"/>
      <c r="B4685" s="40"/>
    </row>
    <row r="4686" spans="1:2" x14ac:dyDescent="0.2">
      <c r="A4686" s="40"/>
      <c r="B4686" s="40"/>
    </row>
    <row r="4687" spans="1:2" x14ac:dyDescent="0.2">
      <c r="A4687" s="40"/>
      <c r="B4687" s="40"/>
    </row>
    <row r="4688" spans="1:2" x14ac:dyDescent="0.2">
      <c r="A4688" s="40"/>
      <c r="B4688" s="40"/>
    </row>
    <row r="4689" spans="1:2" x14ac:dyDescent="0.2">
      <c r="A4689" s="40"/>
      <c r="B4689" s="40"/>
    </row>
    <row r="4690" spans="1:2" x14ac:dyDescent="0.2">
      <c r="A4690" s="40"/>
      <c r="B4690" s="40"/>
    </row>
    <row r="4691" spans="1:2" x14ac:dyDescent="0.2">
      <c r="A4691" s="40"/>
      <c r="B4691" s="40"/>
    </row>
    <row r="4692" spans="1:2" x14ac:dyDescent="0.2">
      <c r="A4692" s="40"/>
      <c r="B4692" s="40"/>
    </row>
    <row r="4693" spans="1:2" x14ac:dyDescent="0.2">
      <c r="A4693" s="40"/>
      <c r="B4693" s="40"/>
    </row>
    <row r="4694" spans="1:2" x14ac:dyDescent="0.2">
      <c r="A4694" s="40"/>
      <c r="B4694" s="40"/>
    </row>
    <row r="4695" spans="1:2" x14ac:dyDescent="0.2">
      <c r="A4695" s="40"/>
      <c r="B4695" s="40"/>
    </row>
    <row r="4696" spans="1:2" x14ac:dyDescent="0.2">
      <c r="A4696" s="40"/>
      <c r="B4696" s="40"/>
    </row>
    <row r="4697" spans="1:2" x14ac:dyDescent="0.2">
      <c r="A4697" s="40"/>
      <c r="B4697" s="40"/>
    </row>
    <row r="4698" spans="1:2" x14ac:dyDescent="0.2">
      <c r="A4698" s="40"/>
      <c r="B4698" s="40"/>
    </row>
    <row r="4699" spans="1:2" x14ac:dyDescent="0.2">
      <c r="A4699" s="40"/>
      <c r="B4699" s="40"/>
    </row>
    <row r="4700" spans="1:2" x14ac:dyDescent="0.2">
      <c r="A4700" s="40"/>
      <c r="B4700" s="40"/>
    </row>
    <row r="4701" spans="1:2" x14ac:dyDescent="0.2">
      <c r="A4701" s="40"/>
      <c r="B4701" s="40"/>
    </row>
    <row r="4702" spans="1:2" x14ac:dyDescent="0.2">
      <c r="A4702" s="40"/>
      <c r="B4702" s="40"/>
    </row>
    <row r="4703" spans="1:2" x14ac:dyDescent="0.2">
      <c r="A4703" s="40"/>
      <c r="B4703" s="40"/>
    </row>
    <row r="4704" spans="1:2" x14ac:dyDescent="0.2">
      <c r="A4704" s="40"/>
      <c r="B4704" s="40"/>
    </row>
    <row r="4705" spans="1:2" x14ac:dyDescent="0.2">
      <c r="A4705" s="40"/>
      <c r="B4705" s="40"/>
    </row>
    <row r="4706" spans="1:2" x14ac:dyDescent="0.2">
      <c r="A4706" s="40"/>
      <c r="B4706" s="40"/>
    </row>
    <row r="4707" spans="1:2" x14ac:dyDescent="0.2">
      <c r="A4707" s="40"/>
      <c r="B4707" s="40"/>
    </row>
    <row r="4708" spans="1:2" x14ac:dyDescent="0.2">
      <c r="A4708" s="40"/>
      <c r="B4708" s="40"/>
    </row>
    <row r="4709" spans="1:2" x14ac:dyDescent="0.2">
      <c r="A4709" s="40"/>
      <c r="B4709" s="40"/>
    </row>
    <row r="4710" spans="1:2" x14ac:dyDescent="0.2">
      <c r="A4710" s="40"/>
      <c r="B4710" s="40"/>
    </row>
    <row r="4711" spans="1:2" x14ac:dyDescent="0.2">
      <c r="A4711" s="40"/>
      <c r="B4711" s="40"/>
    </row>
    <row r="4712" spans="1:2" x14ac:dyDescent="0.2">
      <c r="A4712" s="40"/>
      <c r="B4712" s="40"/>
    </row>
    <row r="4713" spans="1:2" x14ac:dyDescent="0.2">
      <c r="A4713" s="40"/>
      <c r="B4713" s="40"/>
    </row>
    <row r="4714" spans="1:2" x14ac:dyDescent="0.2">
      <c r="A4714" s="40"/>
      <c r="B4714" s="40"/>
    </row>
    <row r="4715" spans="1:2" x14ac:dyDescent="0.2">
      <c r="A4715" s="40"/>
      <c r="B4715" s="40"/>
    </row>
    <row r="4716" spans="1:2" x14ac:dyDescent="0.2">
      <c r="A4716" s="40"/>
      <c r="B4716" s="40"/>
    </row>
    <row r="4717" spans="1:2" x14ac:dyDescent="0.2">
      <c r="A4717" s="40"/>
      <c r="B4717" s="40"/>
    </row>
    <row r="4718" spans="1:2" x14ac:dyDescent="0.2">
      <c r="A4718" s="40"/>
      <c r="B4718" s="40"/>
    </row>
    <row r="4719" spans="1:2" x14ac:dyDescent="0.2">
      <c r="A4719" s="40"/>
      <c r="B4719" s="40"/>
    </row>
    <row r="4720" spans="1:2" x14ac:dyDescent="0.2">
      <c r="A4720" s="40"/>
      <c r="B4720" s="40"/>
    </row>
    <row r="4721" spans="1:2" x14ac:dyDescent="0.2">
      <c r="A4721" s="40"/>
      <c r="B4721" s="40"/>
    </row>
    <row r="4722" spans="1:2" x14ac:dyDescent="0.2">
      <c r="A4722" s="40"/>
      <c r="B4722" s="40"/>
    </row>
    <row r="4723" spans="1:2" x14ac:dyDescent="0.2">
      <c r="A4723" s="40"/>
      <c r="B4723" s="40"/>
    </row>
    <row r="4724" spans="1:2" x14ac:dyDescent="0.2">
      <c r="A4724" s="40"/>
      <c r="B4724" s="40"/>
    </row>
    <row r="4725" spans="1:2" x14ac:dyDescent="0.2">
      <c r="A4725" s="40"/>
      <c r="B4725" s="40"/>
    </row>
    <row r="4726" spans="1:2" x14ac:dyDescent="0.2">
      <c r="A4726" s="40"/>
      <c r="B4726" s="40"/>
    </row>
    <row r="4727" spans="1:2" x14ac:dyDescent="0.2">
      <c r="A4727" s="40"/>
      <c r="B4727" s="40"/>
    </row>
    <row r="4728" spans="1:2" x14ac:dyDescent="0.2">
      <c r="A4728" s="40"/>
      <c r="B4728" s="40"/>
    </row>
    <row r="4729" spans="1:2" x14ac:dyDescent="0.2">
      <c r="A4729" s="40"/>
      <c r="B4729" s="40"/>
    </row>
    <row r="4730" spans="1:2" x14ac:dyDescent="0.2">
      <c r="A4730" s="40"/>
      <c r="B4730" s="40"/>
    </row>
    <row r="4731" spans="1:2" x14ac:dyDescent="0.2">
      <c r="A4731" s="40"/>
      <c r="B4731" s="40"/>
    </row>
    <row r="4732" spans="1:2" x14ac:dyDescent="0.2">
      <c r="A4732" s="40"/>
      <c r="B4732" s="40"/>
    </row>
    <row r="4733" spans="1:2" x14ac:dyDescent="0.2">
      <c r="A4733" s="40"/>
      <c r="B4733" s="40"/>
    </row>
    <row r="4734" spans="1:2" x14ac:dyDescent="0.2">
      <c r="A4734" s="40"/>
      <c r="B4734" s="40"/>
    </row>
    <row r="4735" spans="1:2" x14ac:dyDescent="0.2">
      <c r="A4735" s="40"/>
      <c r="B4735" s="40"/>
    </row>
    <row r="4736" spans="1:2" x14ac:dyDescent="0.2">
      <c r="A4736" s="40"/>
      <c r="B4736" s="40"/>
    </row>
    <row r="4737" spans="1:2" x14ac:dyDescent="0.2">
      <c r="A4737" s="40"/>
      <c r="B4737" s="40"/>
    </row>
    <row r="4738" spans="1:2" x14ac:dyDescent="0.2">
      <c r="A4738" s="40"/>
      <c r="B4738" s="40"/>
    </row>
    <row r="4739" spans="1:2" x14ac:dyDescent="0.2">
      <c r="A4739" s="40"/>
      <c r="B4739" s="40"/>
    </row>
    <row r="4740" spans="1:2" x14ac:dyDescent="0.2">
      <c r="A4740" s="40"/>
      <c r="B4740" s="40"/>
    </row>
    <row r="4741" spans="1:2" x14ac:dyDescent="0.2">
      <c r="A4741" s="40"/>
      <c r="B4741" s="40"/>
    </row>
    <row r="4742" spans="1:2" x14ac:dyDescent="0.2">
      <c r="A4742" s="40"/>
      <c r="B4742" s="40"/>
    </row>
    <row r="4743" spans="1:2" x14ac:dyDescent="0.2">
      <c r="A4743" s="40"/>
      <c r="B4743" s="40"/>
    </row>
    <row r="4744" spans="1:2" x14ac:dyDescent="0.2">
      <c r="A4744" s="40"/>
      <c r="B4744" s="40"/>
    </row>
    <row r="4745" spans="1:2" x14ac:dyDescent="0.2">
      <c r="A4745" s="40"/>
      <c r="B4745" s="40"/>
    </row>
    <row r="4746" spans="1:2" x14ac:dyDescent="0.2">
      <c r="A4746" s="40"/>
      <c r="B4746" s="40"/>
    </row>
    <row r="4747" spans="1:2" x14ac:dyDescent="0.2">
      <c r="A4747" s="40"/>
      <c r="B4747" s="40"/>
    </row>
    <row r="4748" spans="1:2" x14ac:dyDescent="0.2">
      <c r="A4748" s="40"/>
      <c r="B4748" s="40"/>
    </row>
    <row r="4749" spans="1:2" x14ac:dyDescent="0.2">
      <c r="A4749" s="40"/>
      <c r="B4749" s="40"/>
    </row>
    <row r="4750" spans="1:2" x14ac:dyDescent="0.2">
      <c r="A4750" s="40"/>
      <c r="B4750" s="40"/>
    </row>
    <row r="4751" spans="1:2" x14ac:dyDescent="0.2">
      <c r="A4751" s="40"/>
      <c r="B4751" s="40"/>
    </row>
    <row r="4752" spans="1:2" x14ac:dyDescent="0.2">
      <c r="A4752" s="40"/>
      <c r="B4752" s="40"/>
    </row>
    <row r="4753" spans="1:2" x14ac:dyDescent="0.2">
      <c r="A4753" s="40"/>
      <c r="B4753" s="40"/>
    </row>
    <row r="4754" spans="1:2" x14ac:dyDescent="0.2">
      <c r="A4754" s="40"/>
      <c r="B4754" s="40"/>
    </row>
    <row r="4755" spans="1:2" x14ac:dyDescent="0.2">
      <c r="A4755" s="40"/>
      <c r="B4755" s="40"/>
    </row>
    <row r="4756" spans="1:2" x14ac:dyDescent="0.2">
      <c r="A4756" s="40"/>
      <c r="B4756" s="40"/>
    </row>
    <row r="4757" spans="1:2" x14ac:dyDescent="0.2">
      <c r="A4757" s="40"/>
      <c r="B4757" s="40"/>
    </row>
    <row r="4758" spans="1:2" x14ac:dyDescent="0.2">
      <c r="A4758" s="40"/>
      <c r="B4758" s="40"/>
    </row>
    <row r="4759" spans="1:2" x14ac:dyDescent="0.2">
      <c r="A4759" s="40"/>
      <c r="B4759" s="40"/>
    </row>
    <row r="4760" spans="1:2" x14ac:dyDescent="0.2">
      <c r="A4760" s="40"/>
      <c r="B4760" s="40"/>
    </row>
    <row r="4761" spans="1:2" x14ac:dyDescent="0.2">
      <c r="A4761" s="40"/>
      <c r="B4761" s="40"/>
    </row>
    <row r="4762" spans="1:2" x14ac:dyDescent="0.2">
      <c r="A4762" s="40"/>
      <c r="B4762" s="40"/>
    </row>
    <row r="4763" spans="1:2" x14ac:dyDescent="0.2">
      <c r="A4763" s="40"/>
      <c r="B4763" s="40"/>
    </row>
    <row r="4764" spans="1:2" x14ac:dyDescent="0.2">
      <c r="A4764" s="40"/>
      <c r="B4764" s="40"/>
    </row>
    <row r="4765" spans="1:2" x14ac:dyDescent="0.2">
      <c r="A4765" s="40"/>
      <c r="B4765" s="40"/>
    </row>
    <row r="4766" spans="1:2" x14ac:dyDescent="0.2">
      <c r="A4766" s="40"/>
      <c r="B4766" s="40"/>
    </row>
    <row r="4767" spans="1:2" x14ac:dyDescent="0.2">
      <c r="A4767" s="40"/>
      <c r="B4767" s="40"/>
    </row>
    <row r="4768" spans="1:2" x14ac:dyDescent="0.2">
      <c r="A4768" s="40"/>
      <c r="B4768" s="40"/>
    </row>
    <row r="4769" spans="1:2" x14ac:dyDescent="0.2">
      <c r="A4769" s="40"/>
      <c r="B4769" s="40"/>
    </row>
    <row r="4770" spans="1:2" x14ac:dyDescent="0.2">
      <c r="A4770" s="40"/>
      <c r="B4770" s="40"/>
    </row>
    <row r="4771" spans="1:2" x14ac:dyDescent="0.2">
      <c r="A4771" s="40"/>
      <c r="B4771" s="40"/>
    </row>
    <row r="4772" spans="1:2" x14ac:dyDescent="0.2">
      <c r="A4772" s="40"/>
      <c r="B4772" s="40"/>
    </row>
    <row r="4773" spans="1:2" x14ac:dyDescent="0.2">
      <c r="A4773" s="40"/>
      <c r="B4773" s="40"/>
    </row>
    <row r="4774" spans="1:2" x14ac:dyDescent="0.2">
      <c r="A4774" s="40"/>
      <c r="B4774" s="40"/>
    </row>
    <row r="4775" spans="1:2" x14ac:dyDescent="0.2">
      <c r="A4775" s="40"/>
      <c r="B4775" s="40"/>
    </row>
    <row r="4776" spans="1:2" x14ac:dyDescent="0.2">
      <c r="A4776" s="40"/>
      <c r="B4776" s="40"/>
    </row>
    <row r="4777" spans="1:2" x14ac:dyDescent="0.2">
      <c r="A4777" s="40"/>
      <c r="B4777" s="40"/>
    </row>
    <row r="4778" spans="1:2" x14ac:dyDescent="0.2">
      <c r="A4778" s="40"/>
      <c r="B4778" s="40"/>
    </row>
    <row r="4779" spans="1:2" x14ac:dyDescent="0.2">
      <c r="A4779" s="40"/>
      <c r="B4779" s="40"/>
    </row>
    <row r="4780" spans="1:2" x14ac:dyDescent="0.2">
      <c r="A4780" s="40"/>
      <c r="B4780" s="40"/>
    </row>
    <row r="4781" spans="1:2" x14ac:dyDescent="0.2">
      <c r="A4781" s="40"/>
      <c r="B4781" s="40"/>
    </row>
    <row r="4782" spans="1:2" x14ac:dyDescent="0.2">
      <c r="A4782" s="40"/>
      <c r="B4782" s="40"/>
    </row>
    <row r="4783" spans="1:2" x14ac:dyDescent="0.2">
      <c r="A4783" s="40"/>
      <c r="B4783" s="40"/>
    </row>
    <row r="4784" spans="1:2" x14ac:dyDescent="0.2">
      <c r="A4784" s="40"/>
      <c r="B4784" s="40"/>
    </row>
    <row r="4785" spans="1:2" x14ac:dyDescent="0.2">
      <c r="A4785" s="40"/>
      <c r="B4785" s="40"/>
    </row>
    <row r="4786" spans="1:2" x14ac:dyDescent="0.2">
      <c r="A4786" s="40"/>
      <c r="B4786" s="40"/>
    </row>
    <row r="4787" spans="1:2" x14ac:dyDescent="0.2">
      <c r="A4787" s="40"/>
      <c r="B4787" s="40"/>
    </row>
    <row r="4788" spans="1:2" x14ac:dyDescent="0.2">
      <c r="A4788" s="40"/>
      <c r="B4788" s="40"/>
    </row>
    <row r="4789" spans="1:2" x14ac:dyDescent="0.2">
      <c r="A4789" s="40"/>
      <c r="B4789" s="40"/>
    </row>
    <row r="4790" spans="1:2" x14ac:dyDescent="0.2">
      <c r="A4790" s="40"/>
      <c r="B4790" s="40"/>
    </row>
    <row r="4791" spans="1:2" x14ac:dyDescent="0.2">
      <c r="A4791" s="40"/>
      <c r="B4791" s="40"/>
    </row>
    <row r="4792" spans="1:2" x14ac:dyDescent="0.2">
      <c r="A4792" s="40"/>
      <c r="B4792" s="40"/>
    </row>
    <row r="4793" spans="1:2" x14ac:dyDescent="0.2">
      <c r="A4793" s="40"/>
      <c r="B4793" s="40"/>
    </row>
    <row r="4794" spans="1:2" x14ac:dyDescent="0.2">
      <c r="A4794" s="40"/>
      <c r="B4794" s="40"/>
    </row>
    <row r="4795" spans="1:2" x14ac:dyDescent="0.2">
      <c r="A4795" s="40"/>
      <c r="B4795" s="40"/>
    </row>
    <row r="4796" spans="1:2" x14ac:dyDescent="0.2">
      <c r="A4796" s="40"/>
      <c r="B4796" s="40"/>
    </row>
    <row r="4797" spans="1:2" x14ac:dyDescent="0.2">
      <c r="A4797" s="40"/>
      <c r="B4797" s="40"/>
    </row>
    <row r="4798" spans="1:2" x14ac:dyDescent="0.2">
      <c r="A4798" s="40"/>
      <c r="B4798" s="40"/>
    </row>
    <row r="4799" spans="1:2" x14ac:dyDescent="0.2">
      <c r="A4799" s="40"/>
      <c r="B4799" s="40"/>
    </row>
    <row r="4800" spans="1:2" x14ac:dyDescent="0.2">
      <c r="A4800" s="40"/>
      <c r="B4800" s="40"/>
    </row>
    <row r="4801" spans="1:2" x14ac:dyDescent="0.2">
      <c r="A4801" s="40"/>
      <c r="B4801" s="40"/>
    </row>
    <row r="4802" spans="1:2" x14ac:dyDescent="0.2">
      <c r="A4802" s="40"/>
      <c r="B4802" s="40"/>
    </row>
    <row r="4803" spans="1:2" x14ac:dyDescent="0.2">
      <c r="A4803" s="40"/>
      <c r="B4803" s="40"/>
    </row>
    <row r="4804" spans="1:2" x14ac:dyDescent="0.2">
      <c r="A4804" s="40"/>
      <c r="B4804" s="40"/>
    </row>
    <row r="4805" spans="1:2" x14ac:dyDescent="0.2">
      <c r="A4805" s="40"/>
      <c r="B4805" s="40"/>
    </row>
    <row r="4806" spans="1:2" x14ac:dyDescent="0.2">
      <c r="A4806" s="40"/>
      <c r="B4806" s="40"/>
    </row>
    <row r="4807" spans="1:2" x14ac:dyDescent="0.2">
      <c r="A4807" s="40"/>
      <c r="B4807" s="40"/>
    </row>
    <row r="4808" spans="1:2" x14ac:dyDescent="0.2">
      <c r="A4808" s="40"/>
      <c r="B4808" s="40"/>
    </row>
    <row r="4809" spans="1:2" x14ac:dyDescent="0.2">
      <c r="A4809" s="40"/>
      <c r="B4809" s="40"/>
    </row>
    <row r="4810" spans="1:2" x14ac:dyDescent="0.2">
      <c r="A4810" s="40"/>
      <c r="B4810" s="40"/>
    </row>
    <row r="4811" spans="1:2" x14ac:dyDescent="0.2">
      <c r="A4811" s="40"/>
      <c r="B4811" s="40"/>
    </row>
    <row r="4812" spans="1:2" x14ac:dyDescent="0.2">
      <c r="A4812" s="40"/>
      <c r="B4812" s="40"/>
    </row>
    <row r="4813" spans="1:2" x14ac:dyDescent="0.2">
      <c r="A4813" s="40"/>
      <c r="B4813" s="40"/>
    </row>
    <row r="4814" spans="1:2" x14ac:dyDescent="0.2">
      <c r="A4814" s="40"/>
      <c r="B4814" s="40"/>
    </row>
    <row r="4815" spans="1:2" x14ac:dyDescent="0.2">
      <c r="A4815" s="40"/>
      <c r="B4815" s="40"/>
    </row>
    <row r="4816" spans="1:2" x14ac:dyDescent="0.2">
      <c r="A4816" s="40"/>
      <c r="B4816" s="40"/>
    </row>
    <row r="4817" spans="1:2" x14ac:dyDescent="0.2">
      <c r="A4817" s="40"/>
      <c r="B4817" s="40"/>
    </row>
    <row r="4818" spans="1:2" x14ac:dyDescent="0.2">
      <c r="A4818" s="40"/>
      <c r="B4818" s="40"/>
    </row>
    <row r="4819" spans="1:2" x14ac:dyDescent="0.2">
      <c r="A4819" s="40"/>
      <c r="B4819" s="40"/>
    </row>
    <row r="4820" spans="1:2" x14ac:dyDescent="0.2">
      <c r="A4820" s="40"/>
      <c r="B4820" s="40"/>
    </row>
    <row r="4821" spans="1:2" x14ac:dyDescent="0.2">
      <c r="A4821" s="40"/>
      <c r="B4821" s="40"/>
    </row>
    <row r="4822" spans="1:2" x14ac:dyDescent="0.2">
      <c r="A4822" s="40"/>
      <c r="B4822" s="40"/>
    </row>
    <row r="4823" spans="1:2" x14ac:dyDescent="0.2">
      <c r="A4823" s="40"/>
      <c r="B4823" s="40"/>
    </row>
    <row r="4824" spans="1:2" x14ac:dyDescent="0.2">
      <c r="A4824" s="40"/>
      <c r="B4824" s="40"/>
    </row>
    <row r="4825" spans="1:2" x14ac:dyDescent="0.2">
      <c r="A4825" s="40"/>
      <c r="B4825" s="40"/>
    </row>
    <row r="4826" spans="1:2" x14ac:dyDescent="0.2">
      <c r="A4826" s="40"/>
      <c r="B4826" s="40"/>
    </row>
    <row r="4827" spans="1:2" x14ac:dyDescent="0.2">
      <c r="A4827" s="40"/>
      <c r="B4827" s="40"/>
    </row>
    <row r="4828" spans="1:2" x14ac:dyDescent="0.2">
      <c r="A4828" s="40"/>
      <c r="B4828" s="40"/>
    </row>
    <row r="4829" spans="1:2" x14ac:dyDescent="0.2">
      <c r="A4829" s="40"/>
      <c r="B4829" s="40"/>
    </row>
    <row r="4830" spans="1:2" x14ac:dyDescent="0.2">
      <c r="A4830" s="40"/>
      <c r="B4830" s="40"/>
    </row>
    <row r="4831" spans="1:2" x14ac:dyDescent="0.2">
      <c r="A4831" s="40"/>
      <c r="B4831" s="40"/>
    </row>
    <row r="4832" spans="1:2" x14ac:dyDescent="0.2">
      <c r="A4832" s="40"/>
      <c r="B4832" s="40"/>
    </row>
    <row r="4833" spans="1:2" x14ac:dyDescent="0.2">
      <c r="A4833" s="40"/>
      <c r="B4833" s="40"/>
    </row>
    <row r="4834" spans="1:2" x14ac:dyDescent="0.2">
      <c r="A4834" s="40"/>
      <c r="B4834" s="40"/>
    </row>
    <row r="4835" spans="1:2" x14ac:dyDescent="0.2">
      <c r="A4835" s="40"/>
      <c r="B4835" s="40"/>
    </row>
    <row r="4836" spans="1:2" x14ac:dyDescent="0.2">
      <c r="A4836" s="40"/>
      <c r="B4836" s="40"/>
    </row>
    <row r="4837" spans="1:2" x14ac:dyDescent="0.2">
      <c r="A4837" s="40"/>
      <c r="B4837" s="40"/>
    </row>
    <row r="4838" spans="1:2" x14ac:dyDescent="0.2">
      <c r="A4838" s="40"/>
      <c r="B4838" s="40"/>
    </row>
    <row r="4839" spans="1:2" x14ac:dyDescent="0.2">
      <c r="A4839" s="40"/>
      <c r="B4839" s="40"/>
    </row>
    <row r="4840" spans="1:2" x14ac:dyDescent="0.2">
      <c r="A4840" s="40"/>
      <c r="B4840" s="40"/>
    </row>
    <row r="4841" spans="1:2" x14ac:dyDescent="0.2">
      <c r="A4841" s="40"/>
      <c r="B4841" s="40"/>
    </row>
    <row r="4842" spans="1:2" x14ac:dyDescent="0.2">
      <c r="A4842" s="40"/>
      <c r="B4842" s="40"/>
    </row>
    <row r="4843" spans="1:2" x14ac:dyDescent="0.2">
      <c r="A4843" s="40"/>
      <c r="B4843" s="40"/>
    </row>
    <row r="4844" spans="1:2" x14ac:dyDescent="0.2">
      <c r="A4844" s="40"/>
      <c r="B4844" s="40"/>
    </row>
    <row r="4845" spans="1:2" x14ac:dyDescent="0.2">
      <c r="A4845" s="40"/>
      <c r="B4845" s="40"/>
    </row>
    <row r="4846" spans="1:2" x14ac:dyDescent="0.2">
      <c r="A4846" s="40"/>
      <c r="B4846" s="40"/>
    </row>
    <row r="4847" spans="1:2" x14ac:dyDescent="0.2">
      <c r="A4847" s="40"/>
      <c r="B4847" s="40"/>
    </row>
    <row r="4848" spans="1:2" x14ac:dyDescent="0.2">
      <c r="A4848" s="40"/>
      <c r="B4848" s="40"/>
    </row>
    <row r="4849" spans="1:2" x14ac:dyDescent="0.2">
      <c r="A4849" s="40"/>
      <c r="B4849" s="40"/>
    </row>
    <row r="4850" spans="1:2" x14ac:dyDescent="0.2">
      <c r="A4850" s="40"/>
      <c r="B4850" s="40"/>
    </row>
    <row r="4851" spans="1:2" x14ac:dyDescent="0.2">
      <c r="A4851" s="40"/>
      <c r="B4851" s="40"/>
    </row>
    <row r="4852" spans="1:2" x14ac:dyDescent="0.2">
      <c r="A4852" s="40"/>
      <c r="B4852" s="40"/>
    </row>
    <row r="4853" spans="1:2" x14ac:dyDescent="0.2">
      <c r="A4853" s="40"/>
      <c r="B4853" s="40"/>
    </row>
    <row r="4854" spans="1:2" x14ac:dyDescent="0.2">
      <c r="A4854" s="40"/>
      <c r="B4854" s="40"/>
    </row>
    <row r="4855" spans="1:2" x14ac:dyDescent="0.2">
      <c r="A4855" s="40"/>
      <c r="B4855" s="40"/>
    </row>
    <row r="4856" spans="1:2" x14ac:dyDescent="0.2">
      <c r="A4856" s="40"/>
      <c r="B4856" s="40"/>
    </row>
    <row r="4857" spans="1:2" x14ac:dyDescent="0.2">
      <c r="A4857" s="40"/>
      <c r="B4857" s="40"/>
    </row>
    <row r="4858" spans="1:2" x14ac:dyDescent="0.2">
      <c r="A4858" s="40"/>
      <c r="B4858" s="40"/>
    </row>
    <row r="4859" spans="1:2" x14ac:dyDescent="0.2">
      <c r="A4859" s="40"/>
      <c r="B4859" s="40"/>
    </row>
    <row r="4860" spans="1:2" x14ac:dyDescent="0.2">
      <c r="A4860" s="40"/>
      <c r="B4860" s="40"/>
    </row>
    <row r="4861" spans="1:2" x14ac:dyDescent="0.2">
      <c r="A4861" s="40"/>
      <c r="B4861" s="40"/>
    </row>
    <row r="4862" spans="1:2" x14ac:dyDescent="0.2">
      <c r="A4862" s="40"/>
      <c r="B4862" s="40"/>
    </row>
    <row r="4863" spans="1:2" x14ac:dyDescent="0.2">
      <c r="A4863" s="40"/>
      <c r="B4863" s="40"/>
    </row>
    <row r="4864" spans="1:2" x14ac:dyDescent="0.2">
      <c r="A4864" s="40"/>
      <c r="B4864" s="40"/>
    </row>
    <row r="4865" spans="1:2" x14ac:dyDescent="0.2">
      <c r="A4865" s="40"/>
      <c r="B4865" s="40"/>
    </row>
    <row r="4866" spans="1:2" x14ac:dyDescent="0.2">
      <c r="A4866" s="40"/>
      <c r="B4866" s="40"/>
    </row>
    <row r="4867" spans="1:2" x14ac:dyDescent="0.2">
      <c r="A4867" s="40"/>
      <c r="B4867" s="40"/>
    </row>
    <row r="4868" spans="1:2" x14ac:dyDescent="0.2">
      <c r="A4868" s="40"/>
      <c r="B4868" s="40"/>
    </row>
    <row r="4869" spans="1:2" x14ac:dyDescent="0.2">
      <c r="A4869" s="40"/>
      <c r="B4869" s="40"/>
    </row>
    <row r="4870" spans="1:2" x14ac:dyDescent="0.2">
      <c r="A4870" s="40"/>
      <c r="B4870" s="40"/>
    </row>
    <row r="4871" spans="1:2" x14ac:dyDescent="0.2">
      <c r="A4871" s="40"/>
      <c r="B4871" s="40"/>
    </row>
    <row r="4872" spans="1:2" x14ac:dyDescent="0.2">
      <c r="A4872" s="40"/>
      <c r="B4872" s="40"/>
    </row>
    <row r="4873" spans="1:2" x14ac:dyDescent="0.2">
      <c r="A4873" s="40"/>
      <c r="B4873" s="40"/>
    </row>
    <row r="4874" spans="1:2" x14ac:dyDescent="0.2">
      <c r="A4874" s="40"/>
      <c r="B4874" s="40"/>
    </row>
    <row r="4875" spans="1:2" x14ac:dyDescent="0.2">
      <c r="A4875" s="40"/>
      <c r="B4875" s="40"/>
    </row>
    <row r="4876" spans="1:2" x14ac:dyDescent="0.2">
      <c r="A4876" s="40"/>
      <c r="B4876" s="40"/>
    </row>
    <row r="4877" spans="1:2" x14ac:dyDescent="0.2">
      <c r="A4877" s="40"/>
      <c r="B4877" s="40"/>
    </row>
    <row r="4878" spans="1:2" x14ac:dyDescent="0.2">
      <c r="A4878" s="40"/>
      <c r="B4878" s="40"/>
    </row>
    <row r="4879" spans="1:2" x14ac:dyDescent="0.2">
      <c r="A4879" s="40"/>
      <c r="B4879" s="40"/>
    </row>
    <row r="4880" spans="1:2" x14ac:dyDescent="0.2">
      <c r="A4880" s="40"/>
      <c r="B4880" s="40"/>
    </row>
    <row r="4881" spans="1:2" x14ac:dyDescent="0.2">
      <c r="A4881" s="40"/>
      <c r="B4881" s="40"/>
    </row>
    <row r="4882" spans="1:2" x14ac:dyDescent="0.2">
      <c r="A4882" s="40"/>
      <c r="B4882" s="40"/>
    </row>
    <row r="4883" spans="1:2" x14ac:dyDescent="0.2">
      <c r="A4883" s="40"/>
      <c r="B4883" s="40"/>
    </row>
    <row r="4884" spans="1:2" x14ac:dyDescent="0.2">
      <c r="A4884" s="40"/>
      <c r="B4884" s="40"/>
    </row>
    <row r="4885" spans="1:2" x14ac:dyDescent="0.2">
      <c r="A4885" s="40"/>
      <c r="B4885" s="40"/>
    </row>
    <row r="4886" spans="1:2" x14ac:dyDescent="0.2">
      <c r="A4886" s="40"/>
      <c r="B4886" s="40"/>
    </row>
    <row r="4887" spans="1:2" x14ac:dyDescent="0.2">
      <c r="A4887" s="40"/>
      <c r="B4887" s="40"/>
    </row>
    <row r="4888" spans="1:2" x14ac:dyDescent="0.2">
      <c r="A4888" s="40"/>
      <c r="B4888" s="40"/>
    </row>
    <row r="4889" spans="1:2" x14ac:dyDescent="0.2">
      <c r="A4889" s="40"/>
      <c r="B4889" s="40"/>
    </row>
    <row r="4890" spans="1:2" x14ac:dyDescent="0.2">
      <c r="A4890" s="40"/>
      <c r="B4890" s="40"/>
    </row>
    <row r="4891" spans="1:2" x14ac:dyDescent="0.2">
      <c r="A4891" s="40"/>
      <c r="B4891" s="40"/>
    </row>
    <row r="4892" spans="1:2" x14ac:dyDescent="0.2">
      <c r="A4892" s="40"/>
      <c r="B4892" s="40"/>
    </row>
    <row r="4893" spans="1:2" x14ac:dyDescent="0.2">
      <c r="A4893" s="40"/>
      <c r="B4893" s="40"/>
    </row>
    <row r="4894" spans="1:2" x14ac:dyDescent="0.2">
      <c r="A4894" s="40"/>
      <c r="B4894" s="40"/>
    </row>
    <row r="4895" spans="1:2" x14ac:dyDescent="0.2">
      <c r="A4895" s="40"/>
      <c r="B4895" s="40"/>
    </row>
    <row r="4896" spans="1:2" x14ac:dyDescent="0.2">
      <c r="A4896" s="40"/>
      <c r="B4896" s="40"/>
    </row>
    <row r="4897" spans="1:2" x14ac:dyDescent="0.2">
      <c r="A4897" s="40"/>
      <c r="B4897" s="40"/>
    </row>
    <row r="4898" spans="1:2" x14ac:dyDescent="0.2">
      <c r="A4898" s="40"/>
      <c r="B4898" s="40"/>
    </row>
    <row r="4899" spans="1:2" x14ac:dyDescent="0.2">
      <c r="A4899" s="40"/>
      <c r="B4899" s="40"/>
    </row>
    <row r="4900" spans="1:2" x14ac:dyDescent="0.2">
      <c r="A4900" s="40"/>
      <c r="B4900" s="40"/>
    </row>
    <row r="4901" spans="1:2" x14ac:dyDescent="0.2">
      <c r="A4901" s="40"/>
      <c r="B4901" s="40"/>
    </row>
    <row r="4902" spans="1:2" x14ac:dyDescent="0.2">
      <c r="A4902" s="40"/>
      <c r="B4902" s="40"/>
    </row>
    <row r="4903" spans="1:2" x14ac:dyDescent="0.2">
      <c r="A4903" s="40"/>
      <c r="B4903" s="40"/>
    </row>
    <row r="4904" spans="1:2" x14ac:dyDescent="0.2">
      <c r="A4904" s="40"/>
      <c r="B4904" s="40"/>
    </row>
    <row r="4905" spans="1:2" x14ac:dyDescent="0.2">
      <c r="A4905" s="40"/>
      <c r="B4905" s="40"/>
    </row>
    <row r="4906" spans="1:2" x14ac:dyDescent="0.2">
      <c r="A4906" s="40"/>
      <c r="B4906" s="40"/>
    </row>
    <row r="4907" spans="1:2" x14ac:dyDescent="0.2">
      <c r="A4907" s="40"/>
      <c r="B4907" s="40"/>
    </row>
    <row r="4908" spans="1:2" x14ac:dyDescent="0.2">
      <c r="A4908" s="40"/>
      <c r="B4908" s="40"/>
    </row>
    <row r="4909" spans="1:2" x14ac:dyDescent="0.2">
      <c r="A4909" s="40"/>
      <c r="B4909" s="40"/>
    </row>
    <row r="4910" spans="1:2" x14ac:dyDescent="0.2">
      <c r="A4910" s="40"/>
      <c r="B4910" s="40"/>
    </row>
    <row r="4911" spans="1:2" x14ac:dyDescent="0.2">
      <c r="A4911" s="40"/>
      <c r="B4911" s="40"/>
    </row>
    <row r="4912" spans="1:2" x14ac:dyDescent="0.2">
      <c r="A4912" s="40"/>
      <c r="B4912" s="40"/>
    </row>
    <row r="4913" spans="1:2" x14ac:dyDescent="0.2">
      <c r="A4913" s="40"/>
      <c r="B4913" s="40"/>
    </row>
    <row r="4914" spans="1:2" x14ac:dyDescent="0.2">
      <c r="A4914" s="40"/>
      <c r="B4914" s="40"/>
    </row>
    <row r="4915" spans="1:2" x14ac:dyDescent="0.2">
      <c r="A4915" s="40"/>
      <c r="B4915" s="40"/>
    </row>
    <row r="4916" spans="1:2" x14ac:dyDescent="0.2">
      <c r="A4916" s="40"/>
      <c r="B4916" s="40"/>
    </row>
    <row r="4917" spans="1:2" x14ac:dyDescent="0.2">
      <c r="A4917" s="40"/>
      <c r="B4917" s="40"/>
    </row>
    <row r="4918" spans="1:2" x14ac:dyDescent="0.2">
      <c r="A4918" s="40"/>
      <c r="B4918" s="40"/>
    </row>
    <row r="4919" spans="1:2" x14ac:dyDescent="0.2">
      <c r="A4919" s="40"/>
      <c r="B4919" s="40"/>
    </row>
    <row r="4920" spans="1:2" x14ac:dyDescent="0.2">
      <c r="A4920" s="40"/>
      <c r="B4920" s="40"/>
    </row>
    <row r="4921" spans="1:2" x14ac:dyDescent="0.2">
      <c r="A4921" s="40"/>
      <c r="B4921" s="40"/>
    </row>
    <row r="4922" spans="1:2" x14ac:dyDescent="0.2">
      <c r="A4922" s="40"/>
      <c r="B4922" s="40"/>
    </row>
    <row r="4923" spans="1:2" x14ac:dyDescent="0.2">
      <c r="A4923" s="40"/>
      <c r="B4923" s="40"/>
    </row>
    <row r="4924" spans="1:2" x14ac:dyDescent="0.2">
      <c r="A4924" s="40"/>
      <c r="B4924" s="40"/>
    </row>
    <row r="4925" spans="1:2" x14ac:dyDescent="0.2">
      <c r="A4925" s="40"/>
      <c r="B4925" s="40"/>
    </row>
    <row r="4926" spans="1:2" x14ac:dyDescent="0.2">
      <c r="A4926" s="40"/>
      <c r="B4926" s="40"/>
    </row>
    <row r="4927" spans="1:2" x14ac:dyDescent="0.2">
      <c r="A4927" s="40"/>
      <c r="B4927" s="40"/>
    </row>
    <row r="4928" spans="1:2" x14ac:dyDescent="0.2">
      <c r="A4928" s="40"/>
      <c r="B4928" s="40"/>
    </row>
    <row r="4929" spans="1:2" x14ac:dyDescent="0.2">
      <c r="A4929" s="40"/>
      <c r="B4929" s="40"/>
    </row>
    <row r="4930" spans="1:2" x14ac:dyDescent="0.2">
      <c r="A4930" s="40"/>
      <c r="B4930" s="40"/>
    </row>
    <row r="4931" spans="1:2" x14ac:dyDescent="0.2">
      <c r="A4931" s="40"/>
      <c r="B4931" s="40"/>
    </row>
    <row r="4932" spans="1:2" x14ac:dyDescent="0.2">
      <c r="A4932" s="40"/>
      <c r="B4932" s="40"/>
    </row>
    <row r="4933" spans="1:2" x14ac:dyDescent="0.2">
      <c r="A4933" s="40"/>
      <c r="B4933" s="40"/>
    </row>
    <row r="4934" spans="1:2" x14ac:dyDescent="0.2">
      <c r="A4934" s="40"/>
      <c r="B4934" s="40"/>
    </row>
    <row r="4935" spans="1:2" x14ac:dyDescent="0.2">
      <c r="A4935" s="40"/>
      <c r="B4935" s="40"/>
    </row>
    <row r="4936" spans="1:2" x14ac:dyDescent="0.2">
      <c r="A4936" s="40"/>
      <c r="B4936" s="40"/>
    </row>
    <row r="4937" spans="1:2" x14ac:dyDescent="0.2">
      <c r="A4937" s="40"/>
      <c r="B4937" s="40"/>
    </row>
    <row r="4938" spans="1:2" x14ac:dyDescent="0.2">
      <c r="A4938" s="40"/>
      <c r="B4938" s="40"/>
    </row>
    <row r="4939" spans="1:2" x14ac:dyDescent="0.2">
      <c r="A4939" s="40"/>
      <c r="B4939" s="40"/>
    </row>
    <row r="4940" spans="1:2" x14ac:dyDescent="0.2">
      <c r="A4940" s="40"/>
      <c r="B4940" s="40"/>
    </row>
    <row r="4941" spans="1:2" x14ac:dyDescent="0.2">
      <c r="A4941" s="40"/>
      <c r="B4941" s="40"/>
    </row>
    <row r="4942" spans="1:2" x14ac:dyDescent="0.2">
      <c r="A4942" s="40"/>
      <c r="B4942" s="40"/>
    </row>
    <row r="4943" spans="1:2" x14ac:dyDescent="0.2">
      <c r="A4943" s="40"/>
      <c r="B4943" s="40"/>
    </row>
    <row r="4944" spans="1:2" x14ac:dyDescent="0.2">
      <c r="A4944" s="40"/>
      <c r="B4944" s="40"/>
    </row>
    <row r="4945" spans="1:2" x14ac:dyDescent="0.2">
      <c r="A4945" s="40"/>
      <c r="B4945" s="40"/>
    </row>
    <row r="4946" spans="1:2" x14ac:dyDescent="0.2">
      <c r="A4946" s="40"/>
      <c r="B4946" s="40"/>
    </row>
    <row r="4947" spans="1:2" x14ac:dyDescent="0.2">
      <c r="A4947" s="40"/>
      <c r="B4947" s="40"/>
    </row>
    <row r="4948" spans="1:2" x14ac:dyDescent="0.2">
      <c r="A4948" s="40"/>
      <c r="B4948" s="40"/>
    </row>
    <row r="4949" spans="1:2" x14ac:dyDescent="0.2">
      <c r="A4949" s="40"/>
      <c r="B4949" s="40"/>
    </row>
    <row r="4950" spans="1:2" x14ac:dyDescent="0.2">
      <c r="A4950" s="40"/>
      <c r="B4950" s="40"/>
    </row>
    <row r="4951" spans="1:2" x14ac:dyDescent="0.2">
      <c r="A4951" s="40"/>
      <c r="B4951" s="40"/>
    </row>
    <row r="4952" spans="1:2" x14ac:dyDescent="0.2">
      <c r="A4952" s="40"/>
      <c r="B4952" s="40"/>
    </row>
    <row r="4953" spans="1:2" x14ac:dyDescent="0.2">
      <c r="A4953" s="40"/>
      <c r="B4953" s="40"/>
    </row>
    <row r="4954" spans="1:2" x14ac:dyDescent="0.2">
      <c r="A4954" s="40"/>
      <c r="B4954" s="40"/>
    </row>
    <row r="4955" spans="1:2" x14ac:dyDescent="0.2">
      <c r="A4955" s="40"/>
      <c r="B4955" s="40"/>
    </row>
    <row r="4956" spans="1:2" x14ac:dyDescent="0.2">
      <c r="A4956" s="40"/>
      <c r="B4956" s="40"/>
    </row>
    <row r="4957" spans="1:2" x14ac:dyDescent="0.2">
      <c r="A4957" s="40"/>
      <c r="B4957" s="40"/>
    </row>
    <row r="4958" spans="1:2" x14ac:dyDescent="0.2">
      <c r="A4958" s="40"/>
      <c r="B4958" s="40"/>
    </row>
    <row r="4959" spans="1:2" x14ac:dyDescent="0.2">
      <c r="A4959" s="40"/>
      <c r="B4959" s="40"/>
    </row>
    <row r="4960" spans="1:2" x14ac:dyDescent="0.2">
      <c r="A4960" s="40"/>
      <c r="B4960" s="40"/>
    </row>
    <row r="4961" spans="1:2" x14ac:dyDescent="0.2">
      <c r="A4961" s="40"/>
      <c r="B4961" s="40"/>
    </row>
    <row r="4962" spans="1:2" x14ac:dyDescent="0.2">
      <c r="A4962" s="40"/>
      <c r="B4962" s="40"/>
    </row>
    <row r="4963" spans="1:2" x14ac:dyDescent="0.2">
      <c r="A4963" s="40"/>
      <c r="B4963" s="40"/>
    </row>
    <row r="4964" spans="1:2" x14ac:dyDescent="0.2">
      <c r="A4964" s="40"/>
      <c r="B4964" s="40"/>
    </row>
    <row r="4965" spans="1:2" x14ac:dyDescent="0.2">
      <c r="A4965" s="40"/>
      <c r="B4965" s="40"/>
    </row>
    <row r="4966" spans="1:2" x14ac:dyDescent="0.2">
      <c r="A4966" s="40"/>
      <c r="B4966" s="40"/>
    </row>
    <row r="4967" spans="1:2" x14ac:dyDescent="0.2">
      <c r="A4967" s="40"/>
      <c r="B4967" s="40"/>
    </row>
    <row r="4968" spans="1:2" x14ac:dyDescent="0.2">
      <c r="A4968" s="40"/>
      <c r="B4968" s="40"/>
    </row>
    <row r="4969" spans="1:2" x14ac:dyDescent="0.2">
      <c r="A4969" s="40"/>
      <c r="B4969" s="40"/>
    </row>
    <row r="4970" spans="1:2" x14ac:dyDescent="0.2">
      <c r="A4970" s="40"/>
      <c r="B4970" s="40"/>
    </row>
    <row r="4971" spans="1:2" x14ac:dyDescent="0.2">
      <c r="A4971" s="40"/>
      <c r="B4971" s="40"/>
    </row>
    <row r="4972" spans="1:2" x14ac:dyDescent="0.2">
      <c r="A4972" s="40"/>
      <c r="B4972" s="40"/>
    </row>
    <row r="4973" spans="1:2" x14ac:dyDescent="0.2">
      <c r="A4973" s="40"/>
      <c r="B4973" s="40"/>
    </row>
    <row r="4974" spans="1:2" x14ac:dyDescent="0.2">
      <c r="A4974" s="40"/>
      <c r="B4974" s="40"/>
    </row>
    <row r="4975" spans="1:2" x14ac:dyDescent="0.2">
      <c r="A4975" s="40"/>
      <c r="B4975" s="40"/>
    </row>
    <row r="4976" spans="1:2" x14ac:dyDescent="0.2">
      <c r="A4976" s="40"/>
      <c r="B4976" s="40"/>
    </row>
    <row r="4977" spans="1:2" x14ac:dyDescent="0.2">
      <c r="A4977" s="40"/>
      <c r="B4977" s="40"/>
    </row>
    <row r="4978" spans="1:2" x14ac:dyDescent="0.2">
      <c r="A4978" s="40"/>
      <c r="B4978" s="40"/>
    </row>
    <row r="4979" spans="1:2" x14ac:dyDescent="0.2">
      <c r="A4979" s="40"/>
      <c r="B4979" s="40"/>
    </row>
    <row r="4980" spans="1:2" x14ac:dyDescent="0.2">
      <c r="A4980" s="40"/>
      <c r="B4980" s="40"/>
    </row>
    <row r="4981" spans="1:2" x14ac:dyDescent="0.2">
      <c r="A4981" s="40"/>
      <c r="B4981" s="40"/>
    </row>
    <row r="4982" spans="1:2" x14ac:dyDescent="0.2">
      <c r="A4982" s="40"/>
      <c r="B4982" s="40"/>
    </row>
    <row r="4983" spans="1:2" x14ac:dyDescent="0.2">
      <c r="A4983" s="40"/>
      <c r="B4983" s="40"/>
    </row>
    <row r="4984" spans="1:2" x14ac:dyDescent="0.2">
      <c r="A4984" s="40"/>
      <c r="B4984" s="40"/>
    </row>
    <row r="4985" spans="1:2" x14ac:dyDescent="0.2">
      <c r="A4985" s="40"/>
      <c r="B4985" s="40"/>
    </row>
    <row r="4986" spans="1:2" x14ac:dyDescent="0.2">
      <c r="A4986" s="40"/>
      <c r="B4986" s="40"/>
    </row>
    <row r="4987" spans="1:2" x14ac:dyDescent="0.2">
      <c r="A4987" s="40"/>
      <c r="B4987" s="40"/>
    </row>
    <row r="4988" spans="1:2" x14ac:dyDescent="0.2">
      <c r="A4988" s="40"/>
      <c r="B4988" s="40"/>
    </row>
    <row r="4989" spans="1:2" x14ac:dyDescent="0.2">
      <c r="A4989" s="40"/>
      <c r="B4989" s="40"/>
    </row>
    <row r="4990" spans="1:2" x14ac:dyDescent="0.2">
      <c r="A4990" s="40"/>
      <c r="B4990" s="40"/>
    </row>
    <row r="4991" spans="1:2" x14ac:dyDescent="0.2">
      <c r="A4991" s="40"/>
      <c r="B4991" s="40"/>
    </row>
    <row r="4992" spans="1:2" x14ac:dyDescent="0.2">
      <c r="A4992" s="40"/>
      <c r="B4992" s="40"/>
    </row>
    <row r="4993" spans="1:2" x14ac:dyDescent="0.2">
      <c r="A4993" s="40"/>
      <c r="B4993" s="40"/>
    </row>
    <row r="4994" spans="1:2" x14ac:dyDescent="0.2">
      <c r="A4994" s="40"/>
      <c r="B4994" s="40"/>
    </row>
    <row r="4995" spans="1:2" x14ac:dyDescent="0.2">
      <c r="A4995" s="40"/>
      <c r="B4995" s="40"/>
    </row>
    <row r="4996" spans="1:2" x14ac:dyDescent="0.2">
      <c r="A4996" s="40"/>
      <c r="B4996" s="40"/>
    </row>
    <row r="4997" spans="1:2" x14ac:dyDescent="0.2">
      <c r="A4997" s="40"/>
      <c r="B4997" s="40"/>
    </row>
    <row r="4998" spans="1:2" x14ac:dyDescent="0.2">
      <c r="A4998" s="40"/>
      <c r="B4998" s="40"/>
    </row>
    <row r="4999" spans="1:2" x14ac:dyDescent="0.2">
      <c r="A4999" s="40"/>
      <c r="B4999" s="40"/>
    </row>
    <row r="5000" spans="1:2" x14ac:dyDescent="0.2">
      <c r="A5000" s="40"/>
      <c r="B5000" s="40"/>
    </row>
    <row r="5001" spans="1:2" x14ac:dyDescent="0.2">
      <c r="A5001" s="40"/>
      <c r="B5001" s="40"/>
    </row>
    <row r="5002" spans="1:2" x14ac:dyDescent="0.2">
      <c r="A5002" s="40"/>
      <c r="B5002" s="40"/>
    </row>
    <row r="5003" spans="1:2" x14ac:dyDescent="0.2">
      <c r="A5003" s="40"/>
      <c r="B5003" s="40"/>
    </row>
    <row r="5004" spans="1:2" x14ac:dyDescent="0.2">
      <c r="A5004" s="40"/>
      <c r="B5004" s="40"/>
    </row>
    <row r="5005" spans="1:2" x14ac:dyDescent="0.2">
      <c r="A5005" s="40"/>
      <c r="B5005" s="40"/>
    </row>
    <row r="5006" spans="1:2" x14ac:dyDescent="0.2">
      <c r="A5006" s="40"/>
      <c r="B5006" s="40"/>
    </row>
    <row r="5007" spans="1:2" x14ac:dyDescent="0.2">
      <c r="A5007" s="40"/>
      <c r="B5007" s="40"/>
    </row>
    <row r="5008" spans="1:2" x14ac:dyDescent="0.2">
      <c r="A5008" s="40"/>
      <c r="B5008" s="40"/>
    </row>
    <row r="5009" spans="1:2" x14ac:dyDescent="0.2">
      <c r="A5009" s="40"/>
      <c r="B5009" s="40"/>
    </row>
    <row r="5010" spans="1:2" x14ac:dyDescent="0.2">
      <c r="A5010" s="40"/>
      <c r="B5010" s="40"/>
    </row>
    <row r="5011" spans="1:2" x14ac:dyDescent="0.2">
      <c r="A5011" s="40"/>
      <c r="B5011" s="40"/>
    </row>
    <row r="5012" spans="1:2" x14ac:dyDescent="0.2">
      <c r="A5012" s="40"/>
      <c r="B5012" s="40"/>
    </row>
    <row r="5013" spans="1:2" x14ac:dyDescent="0.2">
      <c r="A5013" s="40"/>
      <c r="B5013" s="40"/>
    </row>
    <row r="5014" spans="1:2" x14ac:dyDescent="0.2">
      <c r="A5014" s="40"/>
      <c r="B5014" s="40"/>
    </row>
    <row r="5015" spans="1:2" x14ac:dyDescent="0.2">
      <c r="A5015" s="40"/>
      <c r="B5015" s="40"/>
    </row>
    <row r="5016" spans="1:2" x14ac:dyDescent="0.2">
      <c r="A5016" s="40"/>
      <c r="B5016" s="40"/>
    </row>
    <row r="5017" spans="1:2" x14ac:dyDescent="0.2">
      <c r="A5017" s="40"/>
      <c r="B5017" s="40"/>
    </row>
    <row r="5018" spans="1:2" x14ac:dyDescent="0.2">
      <c r="A5018" s="40"/>
      <c r="B5018" s="40"/>
    </row>
    <row r="5019" spans="1:2" x14ac:dyDescent="0.2">
      <c r="A5019" s="40"/>
      <c r="B5019" s="40"/>
    </row>
    <row r="5020" spans="1:2" x14ac:dyDescent="0.2">
      <c r="A5020" s="40"/>
      <c r="B5020" s="40"/>
    </row>
    <row r="5021" spans="1:2" x14ac:dyDescent="0.2">
      <c r="A5021" s="40"/>
      <c r="B5021" s="40"/>
    </row>
    <row r="5022" spans="1:2" x14ac:dyDescent="0.2">
      <c r="A5022" s="40"/>
      <c r="B5022" s="40"/>
    </row>
    <row r="5023" spans="1:2" x14ac:dyDescent="0.2">
      <c r="A5023" s="40"/>
      <c r="B5023" s="40"/>
    </row>
    <row r="5024" spans="1:2" x14ac:dyDescent="0.2">
      <c r="A5024" s="40"/>
      <c r="B5024" s="40"/>
    </row>
    <row r="5025" spans="1:2" x14ac:dyDescent="0.2">
      <c r="A5025" s="40"/>
      <c r="B5025" s="40"/>
    </row>
    <row r="5026" spans="1:2" x14ac:dyDescent="0.2">
      <c r="A5026" s="40"/>
      <c r="B5026" s="40"/>
    </row>
    <row r="5027" spans="1:2" x14ac:dyDescent="0.2">
      <c r="A5027" s="40"/>
      <c r="B5027" s="40"/>
    </row>
    <row r="5028" spans="1:2" x14ac:dyDescent="0.2">
      <c r="A5028" s="40"/>
      <c r="B5028" s="40"/>
    </row>
    <row r="5029" spans="1:2" x14ac:dyDescent="0.2">
      <c r="A5029" s="40"/>
      <c r="B5029" s="40"/>
    </row>
    <row r="5030" spans="1:2" x14ac:dyDescent="0.2">
      <c r="A5030" s="40"/>
      <c r="B5030" s="40"/>
    </row>
    <row r="5031" spans="1:2" x14ac:dyDescent="0.2">
      <c r="A5031" s="40"/>
      <c r="B5031" s="40"/>
    </row>
    <row r="5032" spans="1:2" x14ac:dyDescent="0.2">
      <c r="A5032" s="40"/>
      <c r="B5032" s="40"/>
    </row>
    <row r="5033" spans="1:2" x14ac:dyDescent="0.2">
      <c r="A5033" s="40"/>
      <c r="B5033" s="40"/>
    </row>
    <row r="5034" spans="1:2" x14ac:dyDescent="0.2">
      <c r="A5034" s="40"/>
      <c r="B5034" s="40"/>
    </row>
    <row r="5035" spans="1:2" x14ac:dyDescent="0.2">
      <c r="A5035" s="40"/>
      <c r="B5035" s="40"/>
    </row>
    <row r="5036" spans="1:2" x14ac:dyDescent="0.2">
      <c r="A5036" s="40"/>
      <c r="B5036" s="40"/>
    </row>
    <row r="5037" spans="1:2" x14ac:dyDescent="0.2">
      <c r="A5037" s="40"/>
      <c r="B5037" s="40"/>
    </row>
    <row r="5038" spans="1:2" x14ac:dyDescent="0.2">
      <c r="A5038" s="40"/>
      <c r="B5038" s="40"/>
    </row>
    <row r="5039" spans="1:2" x14ac:dyDescent="0.2">
      <c r="A5039" s="40"/>
      <c r="B5039" s="40"/>
    </row>
    <row r="5040" spans="1:2" x14ac:dyDescent="0.2">
      <c r="A5040" s="40"/>
      <c r="B5040" s="40"/>
    </row>
    <row r="5041" spans="1:2" x14ac:dyDescent="0.2">
      <c r="A5041" s="40"/>
      <c r="B5041" s="40"/>
    </row>
    <row r="5042" spans="1:2" x14ac:dyDescent="0.2">
      <c r="A5042" s="40"/>
      <c r="B5042" s="40"/>
    </row>
    <row r="5043" spans="1:2" x14ac:dyDescent="0.2">
      <c r="A5043" s="40"/>
      <c r="B5043" s="40"/>
    </row>
    <row r="5044" spans="1:2" x14ac:dyDescent="0.2">
      <c r="A5044" s="40"/>
      <c r="B5044" s="40"/>
    </row>
    <row r="5045" spans="1:2" x14ac:dyDescent="0.2">
      <c r="A5045" s="40"/>
      <c r="B5045" s="40"/>
    </row>
    <row r="5046" spans="1:2" x14ac:dyDescent="0.2">
      <c r="A5046" s="40"/>
      <c r="B5046" s="40"/>
    </row>
    <row r="5047" spans="1:2" x14ac:dyDescent="0.2">
      <c r="A5047" s="40"/>
      <c r="B5047" s="40"/>
    </row>
    <row r="5048" spans="1:2" x14ac:dyDescent="0.2">
      <c r="A5048" s="40"/>
      <c r="B5048" s="40"/>
    </row>
    <row r="5049" spans="1:2" x14ac:dyDescent="0.2">
      <c r="A5049" s="40"/>
      <c r="B5049" s="40"/>
    </row>
    <row r="5050" spans="1:2" x14ac:dyDescent="0.2">
      <c r="A5050" s="40"/>
      <c r="B5050" s="40"/>
    </row>
    <row r="5051" spans="1:2" x14ac:dyDescent="0.2">
      <c r="A5051" s="40"/>
      <c r="B5051" s="40"/>
    </row>
    <row r="5052" spans="1:2" x14ac:dyDescent="0.2">
      <c r="A5052" s="40"/>
      <c r="B5052" s="40"/>
    </row>
    <row r="5053" spans="1:2" x14ac:dyDescent="0.2">
      <c r="A5053" s="40"/>
      <c r="B5053" s="40"/>
    </row>
    <row r="5054" spans="1:2" x14ac:dyDescent="0.2">
      <c r="A5054" s="40"/>
      <c r="B5054" s="40"/>
    </row>
    <row r="5055" spans="1:2" x14ac:dyDescent="0.2">
      <c r="A5055" s="40"/>
      <c r="B5055" s="40"/>
    </row>
    <row r="5056" spans="1:2" x14ac:dyDescent="0.2">
      <c r="A5056" s="40"/>
      <c r="B5056" s="40"/>
    </row>
    <row r="5057" spans="1:2" x14ac:dyDescent="0.2">
      <c r="A5057" s="40"/>
      <c r="B5057" s="40"/>
    </row>
    <row r="5058" spans="1:2" x14ac:dyDescent="0.2">
      <c r="A5058" s="40"/>
      <c r="B5058" s="40"/>
    </row>
    <row r="5059" spans="1:2" x14ac:dyDescent="0.2">
      <c r="A5059" s="40"/>
      <c r="B5059" s="40"/>
    </row>
    <row r="5060" spans="1:2" x14ac:dyDescent="0.2">
      <c r="A5060" s="40"/>
      <c r="B5060" s="40"/>
    </row>
    <row r="5061" spans="1:2" x14ac:dyDescent="0.2">
      <c r="A5061" s="40"/>
      <c r="B5061" s="40"/>
    </row>
    <row r="5062" spans="1:2" x14ac:dyDescent="0.2">
      <c r="A5062" s="40"/>
      <c r="B5062" s="40"/>
    </row>
    <row r="5063" spans="1:2" x14ac:dyDescent="0.2">
      <c r="A5063" s="40"/>
      <c r="B5063" s="40"/>
    </row>
    <row r="5064" spans="1:2" x14ac:dyDescent="0.2">
      <c r="A5064" s="40"/>
      <c r="B5064" s="40"/>
    </row>
    <row r="5065" spans="1:2" x14ac:dyDescent="0.2">
      <c r="A5065" s="40"/>
      <c r="B5065" s="40"/>
    </row>
    <row r="5066" spans="1:2" x14ac:dyDescent="0.2">
      <c r="A5066" s="40"/>
      <c r="B5066" s="40"/>
    </row>
    <row r="5067" spans="1:2" x14ac:dyDescent="0.2">
      <c r="A5067" s="40"/>
      <c r="B5067" s="40"/>
    </row>
    <row r="5068" spans="1:2" x14ac:dyDescent="0.2">
      <c r="A5068" s="40"/>
      <c r="B5068" s="40"/>
    </row>
    <row r="5069" spans="1:2" x14ac:dyDescent="0.2">
      <c r="A5069" s="40"/>
      <c r="B5069" s="40"/>
    </row>
    <row r="5070" spans="1:2" x14ac:dyDescent="0.2">
      <c r="A5070" s="40"/>
      <c r="B5070" s="40"/>
    </row>
    <row r="5071" spans="1:2" x14ac:dyDescent="0.2">
      <c r="A5071" s="40"/>
      <c r="B5071" s="40"/>
    </row>
    <row r="5072" spans="1:2" x14ac:dyDescent="0.2">
      <c r="A5072" s="40"/>
      <c r="B5072" s="40"/>
    </row>
    <row r="5073" spans="1:2" x14ac:dyDescent="0.2">
      <c r="A5073" s="40"/>
      <c r="B5073" s="40"/>
    </row>
    <row r="5074" spans="1:2" x14ac:dyDescent="0.2">
      <c r="A5074" s="40"/>
      <c r="B5074" s="40"/>
    </row>
    <row r="5075" spans="1:2" x14ac:dyDescent="0.2">
      <c r="A5075" s="40"/>
      <c r="B5075" s="40"/>
    </row>
    <row r="5076" spans="1:2" x14ac:dyDescent="0.2">
      <c r="A5076" s="40"/>
      <c r="B5076" s="40"/>
    </row>
    <row r="5077" spans="1:2" x14ac:dyDescent="0.2">
      <c r="A5077" s="40"/>
      <c r="B5077" s="40"/>
    </row>
    <row r="5078" spans="1:2" x14ac:dyDescent="0.2">
      <c r="A5078" s="40"/>
      <c r="B5078" s="40"/>
    </row>
    <row r="5079" spans="1:2" x14ac:dyDescent="0.2">
      <c r="A5079" s="40"/>
      <c r="B5079" s="40"/>
    </row>
    <row r="5080" spans="1:2" x14ac:dyDescent="0.2">
      <c r="A5080" s="40"/>
      <c r="B5080" s="40"/>
    </row>
    <row r="5081" spans="1:2" x14ac:dyDescent="0.2">
      <c r="A5081" s="40"/>
      <c r="B5081" s="40"/>
    </row>
    <row r="5082" spans="1:2" x14ac:dyDescent="0.2">
      <c r="A5082" s="40"/>
      <c r="B5082" s="40"/>
    </row>
    <row r="5083" spans="1:2" x14ac:dyDescent="0.2">
      <c r="A5083" s="40"/>
      <c r="B5083" s="40"/>
    </row>
    <row r="5084" spans="1:2" x14ac:dyDescent="0.2">
      <c r="A5084" s="40"/>
      <c r="B5084" s="40"/>
    </row>
    <row r="5085" spans="1:2" x14ac:dyDescent="0.2">
      <c r="A5085" s="40"/>
      <c r="B5085" s="40"/>
    </row>
    <row r="5086" spans="1:2" x14ac:dyDescent="0.2">
      <c r="A5086" s="40"/>
      <c r="B5086" s="40"/>
    </row>
    <row r="5087" spans="1:2" x14ac:dyDescent="0.2">
      <c r="A5087" s="40"/>
      <c r="B5087" s="40"/>
    </row>
    <row r="5088" spans="1:2" x14ac:dyDescent="0.2">
      <c r="A5088" s="40"/>
      <c r="B5088" s="40"/>
    </row>
    <row r="5089" spans="1:2" x14ac:dyDescent="0.2">
      <c r="A5089" s="40"/>
      <c r="B5089" s="40"/>
    </row>
    <row r="5090" spans="1:2" x14ac:dyDescent="0.2">
      <c r="A5090" s="40"/>
      <c r="B5090" s="40"/>
    </row>
    <row r="5091" spans="1:2" x14ac:dyDescent="0.2">
      <c r="A5091" s="40"/>
      <c r="B5091" s="40"/>
    </row>
    <row r="5092" spans="1:2" x14ac:dyDescent="0.2">
      <c r="A5092" s="40"/>
      <c r="B5092" s="40"/>
    </row>
    <row r="5093" spans="1:2" x14ac:dyDescent="0.2">
      <c r="A5093" s="40"/>
      <c r="B5093" s="40"/>
    </row>
    <row r="5094" spans="1:2" x14ac:dyDescent="0.2">
      <c r="A5094" s="40"/>
      <c r="B5094" s="40"/>
    </row>
    <row r="5095" spans="1:2" x14ac:dyDescent="0.2">
      <c r="A5095" s="40"/>
      <c r="B5095" s="40"/>
    </row>
    <row r="5096" spans="1:2" x14ac:dyDescent="0.2">
      <c r="A5096" s="40"/>
      <c r="B5096" s="40"/>
    </row>
    <row r="5097" spans="1:2" x14ac:dyDescent="0.2">
      <c r="A5097" s="40"/>
      <c r="B5097" s="40"/>
    </row>
    <row r="5098" spans="1:2" x14ac:dyDescent="0.2">
      <c r="A5098" s="40"/>
      <c r="B5098" s="40"/>
    </row>
    <row r="5099" spans="1:2" x14ac:dyDescent="0.2">
      <c r="A5099" s="40"/>
      <c r="B5099" s="40"/>
    </row>
    <row r="5100" spans="1:2" x14ac:dyDescent="0.2">
      <c r="A5100" s="40"/>
      <c r="B5100" s="40"/>
    </row>
    <row r="5101" spans="1:2" x14ac:dyDescent="0.2">
      <c r="A5101" s="40"/>
      <c r="B5101" s="40"/>
    </row>
    <row r="5102" spans="1:2" x14ac:dyDescent="0.2">
      <c r="A5102" s="40"/>
      <c r="B5102" s="40"/>
    </row>
    <row r="5103" spans="1:2" x14ac:dyDescent="0.2">
      <c r="A5103" s="40"/>
      <c r="B5103" s="40"/>
    </row>
    <row r="5104" spans="1:2" x14ac:dyDescent="0.2">
      <c r="A5104" s="40"/>
      <c r="B5104" s="40"/>
    </row>
    <row r="5105" spans="1:2" x14ac:dyDescent="0.2">
      <c r="A5105" s="40"/>
      <c r="B5105" s="40"/>
    </row>
    <row r="5106" spans="1:2" x14ac:dyDescent="0.2">
      <c r="A5106" s="40"/>
      <c r="B5106" s="40"/>
    </row>
    <row r="5107" spans="1:2" x14ac:dyDescent="0.2">
      <c r="A5107" s="40"/>
      <c r="B5107" s="40"/>
    </row>
    <row r="5108" spans="1:2" x14ac:dyDescent="0.2">
      <c r="A5108" s="40"/>
      <c r="B5108" s="40"/>
    </row>
    <row r="5109" spans="1:2" x14ac:dyDescent="0.2">
      <c r="A5109" s="40"/>
      <c r="B5109" s="40"/>
    </row>
    <row r="5110" spans="1:2" x14ac:dyDescent="0.2">
      <c r="A5110" s="40"/>
      <c r="B5110" s="40"/>
    </row>
    <row r="5111" spans="1:2" x14ac:dyDescent="0.2">
      <c r="A5111" s="40"/>
      <c r="B5111" s="40"/>
    </row>
    <row r="5112" spans="1:2" x14ac:dyDescent="0.2">
      <c r="A5112" s="40"/>
      <c r="B5112" s="40"/>
    </row>
    <row r="5113" spans="1:2" x14ac:dyDescent="0.2">
      <c r="A5113" s="40"/>
      <c r="B5113" s="40"/>
    </row>
    <row r="5114" spans="1:2" x14ac:dyDescent="0.2">
      <c r="A5114" s="40"/>
      <c r="B5114" s="40"/>
    </row>
    <row r="5115" spans="1:2" x14ac:dyDescent="0.2">
      <c r="A5115" s="40"/>
      <c r="B5115" s="40"/>
    </row>
    <row r="5116" spans="1:2" x14ac:dyDescent="0.2">
      <c r="A5116" s="40"/>
      <c r="B5116" s="40"/>
    </row>
    <row r="5117" spans="1:2" x14ac:dyDescent="0.2">
      <c r="A5117" s="40"/>
      <c r="B5117" s="40"/>
    </row>
    <row r="5118" spans="1:2" x14ac:dyDescent="0.2">
      <c r="A5118" s="40"/>
      <c r="B5118" s="40"/>
    </row>
    <row r="5119" spans="1:2" x14ac:dyDescent="0.2">
      <c r="A5119" s="40"/>
      <c r="B5119" s="40"/>
    </row>
    <row r="5120" spans="1:2" x14ac:dyDescent="0.2">
      <c r="A5120" s="40"/>
      <c r="B5120" s="40"/>
    </row>
    <row r="5121" spans="1:2" x14ac:dyDescent="0.2">
      <c r="A5121" s="40"/>
      <c r="B5121" s="40"/>
    </row>
    <row r="5122" spans="1:2" x14ac:dyDescent="0.2">
      <c r="A5122" s="40"/>
      <c r="B5122" s="40"/>
    </row>
    <row r="5123" spans="1:2" x14ac:dyDescent="0.2">
      <c r="A5123" s="40"/>
      <c r="B5123" s="40"/>
    </row>
    <row r="5124" spans="1:2" x14ac:dyDescent="0.2">
      <c r="A5124" s="40"/>
      <c r="B5124" s="40"/>
    </row>
    <row r="5125" spans="1:2" x14ac:dyDescent="0.2">
      <c r="A5125" s="40"/>
      <c r="B5125" s="40"/>
    </row>
    <row r="5126" spans="1:2" x14ac:dyDescent="0.2">
      <c r="A5126" s="40"/>
      <c r="B5126" s="40"/>
    </row>
    <row r="5127" spans="1:2" x14ac:dyDescent="0.2">
      <c r="A5127" s="40"/>
      <c r="B5127" s="40"/>
    </row>
    <row r="5128" spans="1:2" x14ac:dyDescent="0.2">
      <c r="A5128" s="40"/>
      <c r="B5128" s="40"/>
    </row>
    <row r="5129" spans="1:2" x14ac:dyDescent="0.2">
      <c r="A5129" s="40"/>
      <c r="B5129" s="40"/>
    </row>
    <row r="5130" spans="1:2" x14ac:dyDescent="0.2">
      <c r="A5130" s="40"/>
      <c r="B5130" s="40"/>
    </row>
    <row r="5131" spans="1:2" x14ac:dyDescent="0.2">
      <c r="A5131" s="40"/>
      <c r="B5131" s="40"/>
    </row>
    <row r="5132" spans="1:2" x14ac:dyDescent="0.2">
      <c r="A5132" s="40"/>
      <c r="B5132" s="40"/>
    </row>
    <row r="5133" spans="1:2" x14ac:dyDescent="0.2">
      <c r="A5133" s="40"/>
      <c r="B5133" s="40"/>
    </row>
    <row r="5134" spans="1:2" x14ac:dyDescent="0.2">
      <c r="A5134" s="40"/>
      <c r="B5134" s="40"/>
    </row>
    <row r="5135" spans="1:2" x14ac:dyDescent="0.2">
      <c r="A5135" s="40"/>
      <c r="B5135" s="40"/>
    </row>
    <row r="5136" spans="1:2" x14ac:dyDescent="0.2">
      <c r="A5136" s="40"/>
      <c r="B5136" s="40"/>
    </row>
    <row r="5137" spans="1:2" x14ac:dyDescent="0.2">
      <c r="A5137" s="40"/>
      <c r="B5137" s="40"/>
    </row>
    <row r="5138" spans="1:2" x14ac:dyDescent="0.2">
      <c r="A5138" s="40"/>
      <c r="B5138" s="40"/>
    </row>
    <row r="5139" spans="1:2" x14ac:dyDescent="0.2">
      <c r="A5139" s="40"/>
      <c r="B5139" s="40"/>
    </row>
    <row r="5140" spans="1:2" x14ac:dyDescent="0.2">
      <c r="A5140" s="40"/>
      <c r="B5140" s="40"/>
    </row>
    <row r="5141" spans="1:2" x14ac:dyDescent="0.2">
      <c r="A5141" s="40"/>
      <c r="B5141" s="40"/>
    </row>
    <row r="5142" spans="1:2" x14ac:dyDescent="0.2">
      <c r="A5142" s="40"/>
      <c r="B5142" s="40"/>
    </row>
    <row r="5143" spans="1:2" x14ac:dyDescent="0.2">
      <c r="A5143" s="40"/>
      <c r="B5143" s="40"/>
    </row>
    <row r="5144" spans="1:2" x14ac:dyDescent="0.2">
      <c r="A5144" s="40"/>
      <c r="B5144" s="40"/>
    </row>
    <row r="5145" spans="1:2" x14ac:dyDescent="0.2">
      <c r="A5145" s="40"/>
      <c r="B5145" s="40"/>
    </row>
    <row r="5146" spans="1:2" x14ac:dyDescent="0.2">
      <c r="A5146" s="40"/>
      <c r="B5146" s="40"/>
    </row>
    <row r="5147" spans="1:2" x14ac:dyDescent="0.2">
      <c r="A5147" s="40"/>
      <c r="B5147" s="40"/>
    </row>
    <row r="5148" spans="1:2" x14ac:dyDescent="0.2">
      <c r="A5148" s="40"/>
      <c r="B5148" s="40"/>
    </row>
    <row r="5149" spans="1:2" x14ac:dyDescent="0.2">
      <c r="A5149" s="40"/>
      <c r="B5149" s="40"/>
    </row>
    <row r="5150" spans="1:2" x14ac:dyDescent="0.2">
      <c r="A5150" s="40"/>
      <c r="B5150" s="40"/>
    </row>
    <row r="5151" spans="1:2" x14ac:dyDescent="0.2">
      <c r="A5151" s="40"/>
      <c r="B5151" s="40"/>
    </row>
    <row r="5152" spans="1:2" x14ac:dyDescent="0.2">
      <c r="A5152" s="40"/>
      <c r="B5152" s="40"/>
    </row>
    <row r="5153" spans="1:2" x14ac:dyDescent="0.2">
      <c r="A5153" s="40"/>
      <c r="B5153" s="40"/>
    </row>
    <row r="5154" spans="1:2" x14ac:dyDescent="0.2">
      <c r="A5154" s="40"/>
      <c r="B5154" s="40"/>
    </row>
    <row r="5155" spans="1:2" x14ac:dyDescent="0.2">
      <c r="A5155" s="40"/>
      <c r="B5155" s="40"/>
    </row>
    <row r="5156" spans="1:2" x14ac:dyDescent="0.2">
      <c r="A5156" s="40"/>
      <c r="B5156" s="40"/>
    </row>
    <row r="5157" spans="1:2" x14ac:dyDescent="0.2">
      <c r="A5157" s="40"/>
      <c r="B5157" s="40"/>
    </row>
    <row r="5158" spans="1:2" x14ac:dyDescent="0.2">
      <c r="A5158" s="40"/>
      <c r="B5158" s="40"/>
    </row>
    <row r="5159" spans="1:2" x14ac:dyDescent="0.2">
      <c r="A5159" s="40"/>
      <c r="B5159" s="40"/>
    </row>
    <row r="5160" spans="1:2" x14ac:dyDescent="0.2">
      <c r="A5160" s="40"/>
      <c r="B5160" s="40"/>
    </row>
    <row r="5161" spans="1:2" x14ac:dyDescent="0.2">
      <c r="A5161" s="40"/>
      <c r="B5161" s="40"/>
    </row>
    <row r="5162" spans="1:2" x14ac:dyDescent="0.2">
      <c r="A5162" s="40"/>
      <c r="B5162" s="40"/>
    </row>
    <row r="5163" spans="1:2" x14ac:dyDescent="0.2">
      <c r="A5163" s="40"/>
      <c r="B5163" s="40"/>
    </row>
    <row r="5164" spans="1:2" x14ac:dyDescent="0.2">
      <c r="A5164" s="40"/>
      <c r="B5164" s="40"/>
    </row>
    <row r="5165" spans="1:2" x14ac:dyDescent="0.2">
      <c r="A5165" s="40"/>
      <c r="B5165" s="40"/>
    </row>
    <row r="5166" spans="1:2" x14ac:dyDescent="0.2">
      <c r="A5166" s="40"/>
      <c r="B5166" s="40"/>
    </row>
    <row r="5167" spans="1:2" x14ac:dyDescent="0.2">
      <c r="A5167" s="40"/>
      <c r="B5167" s="40"/>
    </row>
    <row r="5168" spans="1:2" x14ac:dyDescent="0.2">
      <c r="A5168" s="40"/>
      <c r="B5168" s="40"/>
    </row>
    <row r="5169" spans="1:2" x14ac:dyDescent="0.2">
      <c r="A5169" s="40"/>
      <c r="B5169" s="40"/>
    </row>
    <row r="5170" spans="1:2" x14ac:dyDescent="0.2">
      <c r="A5170" s="40"/>
      <c r="B5170" s="40"/>
    </row>
    <row r="5171" spans="1:2" x14ac:dyDescent="0.2">
      <c r="A5171" s="40"/>
      <c r="B5171" s="40"/>
    </row>
    <row r="5172" spans="1:2" x14ac:dyDescent="0.2">
      <c r="A5172" s="40"/>
      <c r="B5172" s="40"/>
    </row>
    <row r="5173" spans="1:2" x14ac:dyDescent="0.2">
      <c r="A5173" s="40"/>
      <c r="B5173" s="40"/>
    </row>
    <row r="5174" spans="1:2" x14ac:dyDescent="0.2">
      <c r="A5174" s="40"/>
      <c r="B5174" s="40"/>
    </row>
    <row r="5175" spans="1:2" x14ac:dyDescent="0.2">
      <c r="A5175" s="40"/>
      <c r="B5175" s="40"/>
    </row>
    <row r="5176" spans="1:2" x14ac:dyDescent="0.2">
      <c r="A5176" s="40"/>
      <c r="B5176" s="40"/>
    </row>
    <row r="5177" spans="1:2" x14ac:dyDescent="0.2">
      <c r="A5177" s="40"/>
      <c r="B5177" s="40"/>
    </row>
    <row r="5178" spans="1:2" x14ac:dyDescent="0.2">
      <c r="A5178" s="40"/>
      <c r="B5178" s="40"/>
    </row>
    <row r="5179" spans="1:2" x14ac:dyDescent="0.2">
      <c r="A5179" s="40"/>
      <c r="B5179" s="40"/>
    </row>
    <row r="5180" spans="1:2" x14ac:dyDescent="0.2">
      <c r="A5180" s="40"/>
      <c r="B5180" s="40"/>
    </row>
    <row r="5181" spans="1:2" x14ac:dyDescent="0.2">
      <c r="A5181" s="40"/>
      <c r="B5181" s="40"/>
    </row>
    <row r="5182" spans="1:2" x14ac:dyDescent="0.2">
      <c r="A5182" s="40"/>
      <c r="B5182" s="40"/>
    </row>
    <row r="5183" spans="1:2" x14ac:dyDescent="0.2">
      <c r="A5183" s="40"/>
      <c r="B5183" s="40"/>
    </row>
    <row r="5184" spans="1:2" x14ac:dyDescent="0.2">
      <c r="A5184" s="40"/>
      <c r="B5184" s="40"/>
    </row>
    <row r="5185" spans="1:2" x14ac:dyDescent="0.2">
      <c r="A5185" s="40"/>
      <c r="B5185" s="40"/>
    </row>
    <row r="5186" spans="1:2" x14ac:dyDescent="0.2">
      <c r="A5186" s="40"/>
      <c r="B5186" s="40"/>
    </row>
    <row r="5187" spans="1:2" x14ac:dyDescent="0.2">
      <c r="A5187" s="40"/>
      <c r="B5187" s="40"/>
    </row>
    <row r="5188" spans="1:2" x14ac:dyDescent="0.2">
      <c r="A5188" s="40"/>
      <c r="B5188" s="40"/>
    </row>
    <row r="5189" spans="1:2" x14ac:dyDescent="0.2">
      <c r="A5189" s="40"/>
      <c r="B5189" s="40"/>
    </row>
    <row r="5190" spans="1:2" x14ac:dyDescent="0.2">
      <c r="A5190" s="40"/>
      <c r="B5190" s="40"/>
    </row>
    <row r="5191" spans="1:2" x14ac:dyDescent="0.2">
      <c r="A5191" s="40"/>
      <c r="B5191" s="40"/>
    </row>
    <row r="5192" spans="1:2" x14ac:dyDescent="0.2">
      <c r="A5192" s="40"/>
      <c r="B5192" s="40"/>
    </row>
    <row r="5193" spans="1:2" x14ac:dyDescent="0.2">
      <c r="A5193" s="40"/>
      <c r="B5193" s="40"/>
    </row>
    <row r="5194" spans="1:2" x14ac:dyDescent="0.2">
      <c r="A5194" s="40"/>
      <c r="B5194" s="40"/>
    </row>
    <row r="5195" spans="1:2" x14ac:dyDescent="0.2">
      <c r="A5195" s="40"/>
      <c r="B5195" s="40"/>
    </row>
    <row r="5196" spans="1:2" x14ac:dyDescent="0.2">
      <c r="A5196" s="40"/>
      <c r="B5196" s="40"/>
    </row>
    <row r="5197" spans="1:2" x14ac:dyDescent="0.2">
      <c r="A5197" s="40"/>
      <c r="B5197" s="40"/>
    </row>
    <row r="5198" spans="1:2" x14ac:dyDescent="0.2">
      <c r="A5198" s="40"/>
      <c r="B5198" s="40"/>
    </row>
    <row r="5199" spans="1:2" x14ac:dyDescent="0.2">
      <c r="A5199" s="40"/>
      <c r="B5199" s="40"/>
    </row>
    <row r="5200" spans="1:2" x14ac:dyDescent="0.2">
      <c r="A5200" s="40"/>
      <c r="B5200" s="40"/>
    </row>
    <row r="5201" spans="1:2" x14ac:dyDescent="0.2">
      <c r="A5201" s="40"/>
      <c r="B5201" s="40"/>
    </row>
    <row r="5202" spans="1:2" x14ac:dyDescent="0.2">
      <c r="A5202" s="40"/>
      <c r="B5202" s="40"/>
    </row>
    <row r="5203" spans="1:2" x14ac:dyDescent="0.2">
      <c r="A5203" s="40"/>
      <c r="B5203" s="40"/>
    </row>
    <row r="5204" spans="1:2" x14ac:dyDescent="0.2">
      <c r="A5204" s="40"/>
      <c r="B5204" s="40"/>
    </row>
    <row r="5205" spans="1:2" x14ac:dyDescent="0.2">
      <c r="A5205" s="40"/>
      <c r="B5205" s="40"/>
    </row>
    <row r="5206" spans="1:2" x14ac:dyDescent="0.2">
      <c r="A5206" s="40"/>
      <c r="B5206" s="40"/>
    </row>
    <row r="5207" spans="1:2" x14ac:dyDescent="0.2">
      <c r="A5207" s="40"/>
      <c r="B5207" s="40"/>
    </row>
    <row r="5208" spans="1:2" x14ac:dyDescent="0.2">
      <c r="A5208" s="40"/>
      <c r="B5208" s="40"/>
    </row>
    <row r="5209" spans="1:2" x14ac:dyDescent="0.2">
      <c r="A5209" s="40"/>
      <c r="B5209" s="40"/>
    </row>
    <row r="5210" spans="1:2" x14ac:dyDescent="0.2">
      <c r="A5210" s="40"/>
      <c r="B5210" s="40"/>
    </row>
    <row r="5211" spans="1:2" x14ac:dyDescent="0.2">
      <c r="A5211" s="40"/>
      <c r="B5211" s="40"/>
    </row>
    <row r="5212" spans="1:2" x14ac:dyDescent="0.2">
      <c r="A5212" s="40"/>
      <c r="B5212" s="40"/>
    </row>
    <row r="5213" spans="1:2" x14ac:dyDescent="0.2">
      <c r="A5213" s="40"/>
      <c r="B5213" s="40"/>
    </row>
    <row r="5214" spans="1:2" x14ac:dyDescent="0.2">
      <c r="A5214" s="40"/>
      <c r="B5214" s="40"/>
    </row>
    <row r="5215" spans="1:2" x14ac:dyDescent="0.2">
      <c r="A5215" s="40"/>
      <c r="B5215" s="40"/>
    </row>
    <row r="5216" spans="1:2" x14ac:dyDescent="0.2">
      <c r="A5216" s="40"/>
      <c r="B5216" s="40"/>
    </row>
    <row r="5217" spans="1:2" x14ac:dyDescent="0.2">
      <c r="A5217" s="40"/>
      <c r="B5217" s="40"/>
    </row>
    <row r="5218" spans="1:2" x14ac:dyDescent="0.2">
      <c r="A5218" s="40"/>
      <c r="B5218" s="40"/>
    </row>
    <row r="5219" spans="1:2" x14ac:dyDescent="0.2">
      <c r="A5219" s="40"/>
      <c r="B5219" s="40"/>
    </row>
    <row r="5220" spans="1:2" x14ac:dyDescent="0.2">
      <c r="A5220" s="40"/>
      <c r="B5220" s="40"/>
    </row>
    <row r="5221" spans="1:2" x14ac:dyDescent="0.2">
      <c r="A5221" s="40"/>
      <c r="B5221" s="40"/>
    </row>
    <row r="5222" spans="1:2" x14ac:dyDescent="0.2">
      <c r="A5222" s="40"/>
      <c r="B5222" s="40"/>
    </row>
    <row r="5223" spans="1:2" x14ac:dyDescent="0.2">
      <c r="A5223" s="40"/>
      <c r="B5223" s="40"/>
    </row>
    <row r="5224" spans="1:2" x14ac:dyDescent="0.2">
      <c r="A5224" s="40"/>
      <c r="B5224" s="40"/>
    </row>
    <row r="5225" spans="1:2" x14ac:dyDescent="0.2">
      <c r="A5225" s="40"/>
      <c r="B5225" s="40"/>
    </row>
    <row r="5226" spans="1:2" x14ac:dyDescent="0.2">
      <c r="A5226" s="40"/>
      <c r="B5226" s="40"/>
    </row>
    <row r="5227" spans="1:2" x14ac:dyDescent="0.2">
      <c r="A5227" s="40"/>
      <c r="B5227" s="40"/>
    </row>
    <row r="5228" spans="1:2" x14ac:dyDescent="0.2">
      <c r="A5228" s="40"/>
      <c r="B5228" s="40"/>
    </row>
    <row r="5229" spans="1:2" x14ac:dyDescent="0.2">
      <c r="A5229" s="40"/>
      <c r="B5229" s="40"/>
    </row>
    <row r="5230" spans="1:2" x14ac:dyDescent="0.2">
      <c r="A5230" s="40"/>
      <c r="B5230" s="40"/>
    </row>
    <row r="5231" spans="1:2" x14ac:dyDescent="0.2">
      <c r="A5231" s="40"/>
      <c r="B5231" s="40"/>
    </row>
    <row r="5232" spans="1:2" x14ac:dyDescent="0.2">
      <c r="A5232" s="40"/>
      <c r="B5232" s="40"/>
    </row>
    <row r="5233" spans="1:2" x14ac:dyDescent="0.2">
      <c r="A5233" s="40"/>
      <c r="B5233" s="40"/>
    </row>
    <row r="5234" spans="1:2" x14ac:dyDescent="0.2">
      <c r="A5234" s="40"/>
      <c r="B5234" s="40"/>
    </row>
    <row r="5235" spans="1:2" x14ac:dyDescent="0.2">
      <c r="A5235" s="40"/>
      <c r="B5235" s="40"/>
    </row>
    <row r="5236" spans="1:2" x14ac:dyDescent="0.2">
      <c r="A5236" s="40"/>
      <c r="B5236" s="40"/>
    </row>
    <row r="5237" spans="1:2" x14ac:dyDescent="0.2">
      <c r="A5237" s="40"/>
      <c r="B5237" s="40"/>
    </row>
    <row r="5238" spans="1:2" x14ac:dyDescent="0.2">
      <c r="A5238" s="40"/>
      <c r="B5238" s="40"/>
    </row>
    <row r="5239" spans="1:2" x14ac:dyDescent="0.2">
      <c r="A5239" s="40"/>
      <c r="B5239" s="40"/>
    </row>
    <row r="5240" spans="1:2" x14ac:dyDescent="0.2">
      <c r="A5240" s="40"/>
      <c r="B5240" s="40"/>
    </row>
    <row r="5241" spans="1:2" x14ac:dyDescent="0.2">
      <c r="A5241" s="40"/>
      <c r="B5241" s="40"/>
    </row>
    <row r="5242" spans="1:2" x14ac:dyDescent="0.2">
      <c r="A5242" s="40"/>
      <c r="B5242" s="40"/>
    </row>
    <row r="5243" spans="1:2" x14ac:dyDescent="0.2">
      <c r="A5243" s="40"/>
      <c r="B5243" s="40"/>
    </row>
    <row r="5244" spans="1:2" x14ac:dyDescent="0.2">
      <c r="A5244" s="40"/>
      <c r="B5244" s="40"/>
    </row>
    <row r="5245" spans="1:2" x14ac:dyDescent="0.2">
      <c r="A5245" s="40"/>
      <c r="B5245" s="40"/>
    </row>
    <row r="5246" spans="1:2" x14ac:dyDescent="0.2">
      <c r="A5246" s="40"/>
      <c r="B5246" s="40"/>
    </row>
    <row r="5247" spans="1:2" x14ac:dyDescent="0.2">
      <c r="A5247" s="40"/>
      <c r="B5247" s="40"/>
    </row>
    <row r="5248" spans="1:2" x14ac:dyDescent="0.2">
      <c r="A5248" s="40"/>
      <c r="B5248" s="40"/>
    </row>
    <row r="5249" spans="1:2" x14ac:dyDescent="0.2">
      <c r="A5249" s="40"/>
      <c r="B5249" s="40"/>
    </row>
    <row r="5250" spans="1:2" x14ac:dyDescent="0.2">
      <c r="A5250" s="40"/>
      <c r="B5250" s="40"/>
    </row>
    <row r="5251" spans="1:2" x14ac:dyDescent="0.2">
      <c r="A5251" s="40"/>
      <c r="B5251" s="40"/>
    </row>
    <row r="5252" spans="1:2" x14ac:dyDescent="0.2">
      <c r="A5252" s="40"/>
      <c r="B5252" s="40"/>
    </row>
    <row r="5253" spans="1:2" x14ac:dyDescent="0.2">
      <c r="A5253" s="40"/>
      <c r="B5253" s="40"/>
    </row>
    <row r="5254" spans="1:2" x14ac:dyDescent="0.2">
      <c r="A5254" s="40"/>
      <c r="B5254" s="40"/>
    </row>
    <row r="5255" spans="1:2" x14ac:dyDescent="0.2">
      <c r="A5255" s="40"/>
      <c r="B5255" s="40"/>
    </row>
    <row r="5256" spans="1:2" x14ac:dyDescent="0.2">
      <c r="A5256" s="40"/>
      <c r="B5256" s="40"/>
    </row>
    <row r="5257" spans="1:2" x14ac:dyDescent="0.2">
      <c r="A5257" s="40"/>
      <c r="B5257" s="40"/>
    </row>
    <row r="5258" spans="1:2" x14ac:dyDescent="0.2">
      <c r="A5258" s="40"/>
      <c r="B5258" s="40"/>
    </row>
    <row r="5259" spans="1:2" x14ac:dyDescent="0.2">
      <c r="A5259" s="40"/>
      <c r="B5259" s="40"/>
    </row>
    <row r="5260" spans="1:2" x14ac:dyDescent="0.2">
      <c r="A5260" s="40"/>
      <c r="B5260" s="40"/>
    </row>
    <row r="5261" spans="1:2" x14ac:dyDescent="0.2">
      <c r="A5261" s="40"/>
      <c r="B5261" s="40"/>
    </row>
    <row r="5262" spans="1:2" x14ac:dyDescent="0.2">
      <c r="A5262" s="40"/>
      <c r="B5262" s="40"/>
    </row>
    <row r="5263" spans="1:2" x14ac:dyDescent="0.2">
      <c r="A5263" s="40"/>
      <c r="B5263" s="40"/>
    </row>
    <row r="5264" spans="1:2" x14ac:dyDescent="0.2">
      <c r="A5264" s="40"/>
      <c r="B5264" s="40"/>
    </row>
    <row r="5265" spans="1:2" x14ac:dyDescent="0.2">
      <c r="A5265" s="40"/>
      <c r="B5265" s="40"/>
    </row>
    <row r="5266" spans="1:2" x14ac:dyDescent="0.2">
      <c r="A5266" s="40"/>
      <c r="B5266" s="40"/>
    </row>
    <row r="5267" spans="1:2" x14ac:dyDescent="0.2">
      <c r="A5267" s="40"/>
      <c r="B5267" s="40"/>
    </row>
    <row r="5268" spans="1:2" x14ac:dyDescent="0.2">
      <c r="A5268" s="40"/>
      <c r="B5268" s="40"/>
    </row>
    <row r="5269" spans="1:2" x14ac:dyDescent="0.2">
      <c r="A5269" s="40"/>
      <c r="B5269" s="40"/>
    </row>
    <row r="5270" spans="1:2" x14ac:dyDescent="0.2">
      <c r="A5270" s="40"/>
      <c r="B5270" s="40"/>
    </row>
    <row r="5271" spans="1:2" x14ac:dyDescent="0.2">
      <c r="A5271" s="40"/>
      <c r="B5271" s="40"/>
    </row>
    <row r="5272" spans="1:2" x14ac:dyDescent="0.2">
      <c r="A5272" s="40"/>
      <c r="B5272" s="40"/>
    </row>
    <row r="5273" spans="1:2" x14ac:dyDescent="0.2">
      <c r="A5273" s="40"/>
      <c r="B5273" s="40"/>
    </row>
    <row r="5274" spans="1:2" x14ac:dyDescent="0.2">
      <c r="A5274" s="40"/>
      <c r="B5274" s="40"/>
    </row>
    <row r="5275" spans="1:2" x14ac:dyDescent="0.2">
      <c r="A5275" s="40"/>
      <c r="B5275" s="40"/>
    </row>
    <row r="5276" spans="1:2" x14ac:dyDescent="0.2">
      <c r="A5276" s="40"/>
      <c r="B5276" s="40"/>
    </row>
    <row r="5277" spans="1:2" x14ac:dyDescent="0.2">
      <c r="A5277" s="40"/>
      <c r="B5277" s="40"/>
    </row>
    <row r="5278" spans="1:2" x14ac:dyDescent="0.2">
      <c r="A5278" s="40"/>
      <c r="B5278" s="40"/>
    </row>
    <row r="5279" spans="1:2" x14ac:dyDescent="0.2">
      <c r="A5279" s="40"/>
      <c r="B5279" s="40"/>
    </row>
    <row r="5280" spans="1:2" x14ac:dyDescent="0.2">
      <c r="A5280" s="40"/>
      <c r="B5280" s="40"/>
    </row>
    <row r="5281" spans="1:2" x14ac:dyDescent="0.2">
      <c r="A5281" s="40"/>
      <c r="B5281" s="40"/>
    </row>
    <row r="5282" spans="1:2" x14ac:dyDescent="0.2">
      <c r="A5282" s="40"/>
      <c r="B5282" s="40"/>
    </row>
    <row r="5283" spans="1:2" x14ac:dyDescent="0.2">
      <c r="A5283" s="40"/>
      <c r="B5283" s="40"/>
    </row>
    <row r="5284" spans="1:2" x14ac:dyDescent="0.2">
      <c r="A5284" s="40"/>
      <c r="B5284" s="40"/>
    </row>
    <row r="5285" spans="1:2" x14ac:dyDescent="0.2">
      <c r="A5285" s="40"/>
      <c r="B5285" s="40"/>
    </row>
    <row r="5286" spans="1:2" x14ac:dyDescent="0.2">
      <c r="A5286" s="40"/>
      <c r="B5286" s="40"/>
    </row>
    <row r="5287" spans="1:2" x14ac:dyDescent="0.2">
      <c r="A5287" s="40"/>
      <c r="B5287" s="40"/>
    </row>
    <row r="5288" spans="1:2" x14ac:dyDescent="0.2">
      <c r="A5288" s="40"/>
      <c r="B5288" s="40"/>
    </row>
    <row r="5289" spans="1:2" x14ac:dyDescent="0.2">
      <c r="A5289" s="40"/>
      <c r="B5289" s="40"/>
    </row>
    <row r="5290" spans="1:2" x14ac:dyDescent="0.2">
      <c r="A5290" s="40"/>
      <c r="B5290" s="40"/>
    </row>
    <row r="5291" spans="1:2" x14ac:dyDescent="0.2">
      <c r="A5291" s="40"/>
      <c r="B5291" s="40"/>
    </row>
    <row r="5292" spans="1:2" x14ac:dyDescent="0.2">
      <c r="A5292" s="40"/>
      <c r="B5292" s="40"/>
    </row>
    <row r="5293" spans="1:2" x14ac:dyDescent="0.2">
      <c r="A5293" s="40"/>
      <c r="B5293" s="40"/>
    </row>
    <row r="5294" spans="1:2" x14ac:dyDescent="0.2">
      <c r="A5294" s="40"/>
      <c r="B5294" s="40"/>
    </row>
    <row r="5295" spans="1:2" x14ac:dyDescent="0.2">
      <c r="A5295" s="40"/>
      <c r="B5295" s="40"/>
    </row>
    <row r="5296" spans="1:2" x14ac:dyDescent="0.2">
      <c r="A5296" s="40"/>
      <c r="B5296" s="40"/>
    </row>
    <row r="5297" spans="1:2" x14ac:dyDescent="0.2">
      <c r="A5297" s="40"/>
      <c r="B5297" s="40"/>
    </row>
    <row r="5298" spans="1:2" x14ac:dyDescent="0.2">
      <c r="A5298" s="40"/>
      <c r="B5298" s="40"/>
    </row>
    <row r="5299" spans="1:2" x14ac:dyDescent="0.2">
      <c r="A5299" s="40"/>
      <c r="B5299" s="40"/>
    </row>
    <row r="5300" spans="1:2" x14ac:dyDescent="0.2">
      <c r="A5300" s="40"/>
      <c r="B5300" s="40"/>
    </row>
    <row r="5301" spans="1:2" x14ac:dyDescent="0.2">
      <c r="A5301" s="40"/>
      <c r="B5301" s="40"/>
    </row>
    <row r="5302" spans="1:2" x14ac:dyDescent="0.2">
      <c r="A5302" s="40"/>
      <c r="B5302" s="40"/>
    </row>
    <row r="5303" spans="1:2" x14ac:dyDescent="0.2">
      <c r="A5303" s="40"/>
      <c r="B5303" s="40"/>
    </row>
    <row r="5304" spans="1:2" x14ac:dyDescent="0.2">
      <c r="A5304" s="40"/>
      <c r="B5304" s="40"/>
    </row>
    <row r="5305" spans="1:2" x14ac:dyDescent="0.2">
      <c r="A5305" s="40"/>
      <c r="B5305" s="40"/>
    </row>
    <row r="5306" spans="1:2" x14ac:dyDescent="0.2">
      <c r="A5306" s="40"/>
      <c r="B5306" s="40"/>
    </row>
    <row r="5307" spans="1:2" x14ac:dyDescent="0.2">
      <c r="A5307" s="40"/>
      <c r="B5307" s="40"/>
    </row>
    <row r="5308" spans="1:2" x14ac:dyDescent="0.2">
      <c r="A5308" s="40"/>
      <c r="B5308" s="40"/>
    </row>
    <row r="5309" spans="1:2" x14ac:dyDescent="0.2">
      <c r="A5309" s="40"/>
      <c r="B5309" s="40"/>
    </row>
    <row r="5310" spans="1:2" x14ac:dyDescent="0.2">
      <c r="A5310" s="40"/>
      <c r="B5310" s="40"/>
    </row>
    <row r="5311" spans="1:2" x14ac:dyDescent="0.2">
      <c r="A5311" s="40"/>
      <c r="B5311" s="40"/>
    </row>
    <row r="5312" spans="1:2" x14ac:dyDescent="0.2">
      <c r="A5312" s="40"/>
      <c r="B5312" s="40"/>
    </row>
    <row r="5313" spans="1:2" x14ac:dyDescent="0.2">
      <c r="A5313" s="40"/>
      <c r="B5313" s="40"/>
    </row>
    <row r="5314" spans="1:2" x14ac:dyDescent="0.2">
      <c r="A5314" s="40"/>
      <c r="B5314" s="40"/>
    </row>
    <row r="5315" spans="1:2" x14ac:dyDescent="0.2">
      <c r="A5315" s="40"/>
      <c r="B5315" s="40"/>
    </row>
    <row r="5316" spans="1:2" x14ac:dyDescent="0.2">
      <c r="A5316" s="40"/>
      <c r="B5316" s="40"/>
    </row>
    <row r="5317" spans="1:2" x14ac:dyDescent="0.2">
      <c r="A5317" s="40"/>
      <c r="B5317" s="40"/>
    </row>
    <row r="5318" spans="1:2" x14ac:dyDescent="0.2">
      <c r="A5318" s="40"/>
      <c r="B5318" s="40"/>
    </row>
    <row r="5319" spans="1:2" x14ac:dyDescent="0.2">
      <c r="A5319" s="40"/>
      <c r="B5319" s="40"/>
    </row>
    <row r="5320" spans="1:2" x14ac:dyDescent="0.2">
      <c r="A5320" s="40"/>
      <c r="B5320" s="40"/>
    </row>
    <row r="5321" spans="1:2" x14ac:dyDescent="0.2">
      <c r="A5321" s="40"/>
      <c r="B5321" s="40"/>
    </row>
    <row r="5322" spans="1:2" x14ac:dyDescent="0.2">
      <c r="A5322" s="40"/>
      <c r="B5322" s="40"/>
    </row>
    <row r="5323" spans="1:2" x14ac:dyDescent="0.2">
      <c r="A5323" s="40"/>
      <c r="B5323" s="40"/>
    </row>
    <row r="5324" spans="1:2" x14ac:dyDescent="0.2">
      <c r="A5324" s="40"/>
      <c r="B5324" s="40"/>
    </row>
    <row r="5325" spans="1:2" x14ac:dyDescent="0.2">
      <c r="A5325" s="40"/>
      <c r="B5325" s="40"/>
    </row>
    <row r="5326" spans="1:2" x14ac:dyDescent="0.2">
      <c r="A5326" s="40"/>
      <c r="B5326" s="40"/>
    </row>
    <row r="5327" spans="1:2" x14ac:dyDescent="0.2">
      <c r="A5327" s="40"/>
      <c r="B5327" s="40"/>
    </row>
    <row r="5328" spans="1:2" x14ac:dyDescent="0.2">
      <c r="A5328" s="40"/>
      <c r="B5328" s="40"/>
    </row>
    <row r="5329" spans="1:2" x14ac:dyDescent="0.2">
      <c r="A5329" s="40"/>
      <c r="B5329" s="40"/>
    </row>
    <row r="5330" spans="1:2" x14ac:dyDescent="0.2">
      <c r="A5330" s="40"/>
      <c r="B5330" s="40"/>
    </row>
    <row r="5331" spans="1:2" x14ac:dyDescent="0.2">
      <c r="A5331" s="40"/>
      <c r="B5331" s="40"/>
    </row>
    <row r="5332" spans="1:2" x14ac:dyDescent="0.2">
      <c r="A5332" s="40"/>
      <c r="B5332" s="40"/>
    </row>
    <row r="5333" spans="1:2" x14ac:dyDescent="0.2">
      <c r="A5333" s="40"/>
      <c r="B5333" s="40"/>
    </row>
    <row r="5334" spans="1:2" x14ac:dyDescent="0.2">
      <c r="A5334" s="40"/>
      <c r="B5334" s="40"/>
    </row>
    <row r="5335" spans="1:2" x14ac:dyDescent="0.2">
      <c r="A5335" s="40"/>
      <c r="B5335" s="40"/>
    </row>
    <row r="5336" spans="1:2" x14ac:dyDescent="0.2">
      <c r="A5336" s="40"/>
      <c r="B5336" s="40"/>
    </row>
    <row r="5337" spans="1:2" x14ac:dyDescent="0.2">
      <c r="A5337" s="40"/>
      <c r="B5337" s="40"/>
    </row>
    <row r="5338" spans="1:2" x14ac:dyDescent="0.2">
      <c r="A5338" s="40"/>
      <c r="B5338" s="40"/>
    </row>
    <row r="5339" spans="1:2" x14ac:dyDescent="0.2">
      <c r="A5339" s="40"/>
      <c r="B5339" s="40"/>
    </row>
    <row r="5340" spans="1:2" x14ac:dyDescent="0.2">
      <c r="A5340" s="40"/>
      <c r="B5340" s="40"/>
    </row>
    <row r="5341" spans="1:2" x14ac:dyDescent="0.2">
      <c r="A5341" s="40"/>
      <c r="B5341" s="40"/>
    </row>
    <row r="5342" spans="1:2" x14ac:dyDescent="0.2">
      <c r="A5342" s="40"/>
      <c r="B5342" s="40"/>
    </row>
    <row r="5343" spans="1:2" x14ac:dyDescent="0.2">
      <c r="A5343" s="40"/>
      <c r="B5343" s="40"/>
    </row>
    <row r="5344" spans="1:2" x14ac:dyDescent="0.2">
      <c r="A5344" s="40"/>
      <c r="B5344" s="40"/>
    </row>
    <row r="5345" spans="1:2" x14ac:dyDescent="0.2">
      <c r="A5345" s="40"/>
      <c r="B5345" s="40"/>
    </row>
    <row r="5346" spans="1:2" x14ac:dyDescent="0.2">
      <c r="A5346" s="40"/>
      <c r="B5346" s="40"/>
    </row>
    <row r="5347" spans="1:2" x14ac:dyDescent="0.2">
      <c r="A5347" s="40"/>
      <c r="B5347" s="40"/>
    </row>
    <row r="5348" spans="1:2" x14ac:dyDescent="0.2">
      <c r="A5348" s="40"/>
      <c r="B5348" s="40"/>
    </row>
    <row r="5349" spans="1:2" x14ac:dyDescent="0.2">
      <c r="A5349" s="40"/>
      <c r="B5349" s="40"/>
    </row>
    <row r="5350" spans="1:2" x14ac:dyDescent="0.2">
      <c r="A5350" s="40"/>
      <c r="B5350" s="40"/>
    </row>
    <row r="5351" spans="1:2" x14ac:dyDescent="0.2">
      <c r="A5351" s="40"/>
      <c r="B5351" s="40"/>
    </row>
    <row r="5352" spans="1:2" x14ac:dyDescent="0.2">
      <c r="A5352" s="40"/>
      <c r="B5352" s="40"/>
    </row>
    <row r="5353" spans="1:2" x14ac:dyDescent="0.2">
      <c r="A5353" s="40"/>
      <c r="B5353" s="40"/>
    </row>
    <row r="5354" spans="1:2" x14ac:dyDescent="0.2">
      <c r="A5354" s="40"/>
      <c r="B5354" s="40"/>
    </row>
    <row r="5355" spans="1:2" x14ac:dyDescent="0.2">
      <c r="A5355" s="40"/>
      <c r="B5355" s="40"/>
    </row>
    <row r="5356" spans="1:2" x14ac:dyDescent="0.2">
      <c r="A5356" s="40"/>
      <c r="B5356" s="40"/>
    </row>
    <row r="5357" spans="1:2" x14ac:dyDescent="0.2">
      <c r="A5357" s="40"/>
      <c r="B5357" s="40"/>
    </row>
    <row r="5358" spans="1:2" x14ac:dyDescent="0.2">
      <c r="A5358" s="40"/>
      <c r="B5358" s="40"/>
    </row>
    <row r="5359" spans="1:2" x14ac:dyDescent="0.2">
      <c r="A5359" s="40"/>
      <c r="B5359" s="40"/>
    </row>
    <row r="5360" spans="1:2" x14ac:dyDescent="0.2">
      <c r="A5360" s="40"/>
      <c r="B5360" s="40"/>
    </row>
    <row r="5361" spans="1:2" x14ac:dyDescent="0.2">
      <c r="A5361" s="40"/>
      <c r="B5361" s="40"/>
    </row>
    <row r="5362" spans="1:2" x14ac:dyDescent="0.2">
      <c r="A5362" s="40"/>
      <c r="B5362" s="40"/>
    </row>
    <row r="5363" spans="1:2" x14ac:dyDescent="0.2">
      <c r="A5363" s="40"/>
      <c r="B5363" s="40"/>
    </row>
    <row r="5364" spans="1:2" x14ac:dyDescent="0.2">
      <c r="A5364" s="40"/>
      <c r="B5364" s="40"/>
    </row>
    <row r="5365" spans="1:2" x14ac:dyDescent="0.2">
      <c r="A5365" s="40"/>
      <c r="B5365" s="40"/>
    </row>
    <row r="5366" spans="1:2" x14ac:dyDescent="0.2">
      <c r="A5366" s="40"/>
      <c r="B5366" s="40"/>
    </row>
    <row r="5367" spans="1:2" x14ac:dyDescent="0.2">
      <c r="A5367" s="40"/>
      <c r="B5367" s="40"/>
    </row>
    <row r="5368" spans="1:2" x14ac:dyDescent="0.2">
      <c r="A5368" s="40"/>
      <c r="B5368" s="40"/>
    </row>
    <row r="5369" spans="1:2" x14ac:dyDescent="0.2">
      <c r="A5369" s="40"/>
      <c r="B5369" s="40"/>
    </row>
    <row r="5370" spans="1:2" x14ac:dyDescent="0.2">
      <c r="A5370" s="40"/>
      <c r="B5370" s="40"/>
    </row>
    <row r="5371" spans="1:2" x14ac:dyDescent="0.2">
      <c r="A5371" s="40"/>
      <c r="B5371" s="40"/>
    </row>
    <row r="5372" spans="1:2" x14ac:dyDescent="0.2">
      <c r="A5372" s="40"/>
      <c r="B5372" s="40"/>
    </row>
    <row r="5373" spans="1:2" x14ac:dyDescent="0.2">
      <c r="A5373" s="40"/>
      <c r="B5373" s="40"/>
    </row>
    <row r="5374" spans="1:2" x14ac:dyDescent="0.2">
      <c r="A5374" s="40"/>
      <c r="B5374" s="40"/>
    </row>
    <row r="5375" spans="1:2" x14ac:dyDescent="0.2">
      <c r="A5375" s="40"/>
      <c r="B5375" s="40"/>
    </row>
    <row r="5376" spans="1:2" x14ac:dyDescent="0.2">
      <c r="A5376" s="40"/>
      <c r="B5376" s="40"/>
    </row>
    <row r="5377" spans="1:2" x14ac:dyDescent="0.2">
      <c r="A5377" s="40"/>
      <c r="B5377" s="40"/>
    </row>
    <row r="5378" spans="1:2" x14ac:dyDescent="0.2">
      <c r="A5378" s="40"/>
      <c r="B5378" s="40"/>
    </row>
    <row r="5379" spans="1:2" x14ac:dyDescent="0.2">
      <c r="A5379" s="40"/>
      <c r="B5379" s="40"/>
    </row>
    <row r="5380" spans="1:2" x14ac:dyDescent="0.2">
      <c r="A5380" s="40"/>
      <c r="B5380" s="40"/>
    </row>
    <row r="5381" spans="1:2" x14ac:dyDescent="0.2">
      <c r="A5381" s="40"/>
      <c r="B5381" s="40"/>
    </row>
    <row r="5382" spans="1:2" x14ac:dyDescent="0.2">
      <c r="A5382" s="40"/>
      <c r="B5382" s="40"/>
    </row>
    <row r="5383" spans="1:2" x14ac:dyDescent="0.2">
      <c r="A5383" s="40"/>
      <c r="B5383" s="40"/>
    </row>
    <row r="5384" spans="1:2" x14ac:dyDescent="0.2">
      <c r="A5384" s="40"/>
      <c r="B5384" s="40"/>
    </row>
    <row r="5385" spans="1:2" x14ac:dyDescent="0.2">
      <c r="A5385" s="40"/>
      <c r="B5385" s="40"/>
    </row>
    <row r="5386" spans="1:2" x14ac:dyDescent="0.2">
      <c r="A5386" s="40"/>
      <c r="B5386" s="40"/>
    </row>
    <row r="5387" spans="1:2" x14ac:dyDescent="0.2">
      <c r="A5387" s="40"/>
      <c r="B5387" s="40"/>
    </row>
    <row r="5388" spans="1:2" x14ac:dyDescent="0.2">
      <c r="A5388" s="40"/>
      <c r="B5388" s="40"/>
    </row>
    <row r="5389" spans="1:2" x14ac:dyDescent="0.2">
      <c r="A5389" s="40"/>
      <c r="B5389" s="40"/>
    </row>
    <row r="5390" spans="1:2" x14ac:dyDescent="0.2">
      <c r="A5390" s="40"/>
      <c r="B5390" s="40"/>
    </row>
    <row r="5391" spans="1:2" x14ac:dyDescent="0.2">
      <c r="A5391" s="40"/>
      <c r="B5391" s="40"/>
    </row>
    <row r="5392" spans="1:2" x14ac:dyDescent="0.2">
      <c r="A5392" s="40"/>
      <c r="B5392" s="40"/>
    </row>
    <row r="5393" spans="1:2" x14ac:dyDescent="0.2">
      <c r="A5393" s="40"/>
      <c r="B5393" s="40"/>
    </row>
    <row r="5394" spans="1:2" x14ac:dyDescent="0.2">
      <c r="A5394" s="40"/>
      <c r="B5394" s="40"/>
    </row>
    <row r="5395" spans="1:2" x14ac:dyDescent="0.2">
      <c r="A5395" s="40"/>
      <c r="B5395" s="40"/>
    </row>
    <row r="5396" spans="1:2" x14ac:dyDescent="0.2">
      <c r="A5396" s="40"/>
      <c r="B5396" s="40"/>
    </row>
    <row r="5397" spans="1:2" x14ac:dyDescent="0.2">
      <c r="A5397" s="40"/>
      <c r="B5397" s="40"/>
    </row>
    <row r="5398" spans="1:2" x14ac:dyDescent="0.2">
      <c r="A5398" s="40"/>
      <c r="B5398" s="40"/>
    </row>
    <row r="5399" spans="1:2" x14ac:dyDescent="0.2">
      <c r="A5399" s="40"/>
      <c r="B5399" s="40"/>
    </row>
    <row r="5400" spans="1:2" x14ac:dyDescent="0.2">
      <c r="A5400" s="40"/>
      <c r="B5400" s="40"/>
    </row>
    <row r="5401" spans="1:2" x14ac:dyDescent="0.2">
      <c r="A5401" s="40"/>
      <c r="B5401" s="40"/>
    </row>
    <row r="5402" spans="1:2" x14ac:dyDescent="0.2">
      <c r="A5402" s="40"/>
      <c r="B5402" s="40"/>
    </row>
    <row r="5403" spans="1:2" x14ac:dyDescent="0.2">
      <c r="A5403" s="40"/>
      <c r="B5403" s="40"/>
    </row>
    <row r="5404" spans="1:2" x14ac:dyDescent="0.2">
      <c r="A5404" s="40"/>
      <c r="B5404" s="40"/>
    </row>
    <row r="5405" spans="1:2" x14ac:dyDescent="0.2">
      <c r="A5405" s="40"/>
      <c r="B5405" s="40"/>
    </row>
    <row r="5406" spans="1:2" x14ac:dyDescent="0.2">
      <c r="A5406" s="40"/>
      <c r="B5406" s="40"/>
    </row>
    <row r="5407" spans="1:2" x14ac:dyDescent="0.2">
      <c r="A5407" s="40"/>
      <c r="B5407" s="40"/>
    </row>
    <row r="5408" spans="1:2" x14ac:dyDescent="0.2">
      <c r="A5408" s="40"/>
      <c r="B5408" s="40"/>
    </row>
    <row r="5409" spans="1:2" x14ac:dyDescent="0.2">
      <c r="A5409" s="40"/>
      <c r="B5409" s="40"/>
    </row>
    <row r="5410" spans="1:2" x14ac:dyDescent="0.2">
      <c r="A5410" s="40"/>
      <c r="B5410" s="40"/>
    </row>
    <row r="5411" spans="1:2" x14ac:dyDescent="0.2">
      <c r="A5411" s="40"/>
      <c r="B5411" s="40"/>
    </row>
    <row r="5412" spans="1:2" x14ac:dyDescent="0.2">
      <c r="A5412" s="40"/>
      <c r="B5412" s="40"/>
    </row>
    <row r="5413" spans="1:2" x14ac:dyDescent="0.2">
      <c r="A5413" s="40"/>
      <c r="B5413" s="40"/>
    </row>
    <row r="5414" spans="1:2" x14ac:dyDescent="0.2">
      <c r="A5414" s="40"/>
      <c r="B5414" s="40"/>
    </row>
    <row r="5415" spans="1:2" x14ac:dyDescent="0.2">
      <c r="A5415" s="40"/>
      <c r="B5415" s="40"/>
    </row>
    <row r="5416" spans="1:2" x14ac:dyDescent="0.2">
      <c r="A5416" s="40"/>
      <c r="B5416" s="40"/>
    </row>
    <row r="5417" spans="1:2" x14ac:dyDescent="0.2">
      <c r="A5417" s="40"/>
      <c r="B5417" s="40"/>
    </row>
    <row r="5418" spans="1:2" x14ac:dyDescent="0.2">
      <c r="A5418" s="40"/>
      <c r="B5418" s="40"/>
    </row>
    <row r="5419" spans="1:2" x14ac:dyDescent="0.2">
      <c r="A5419" s="40"/>
      <c r="B5419" s="40"/>
    </row>
    <row r="5420" spans="1:2" x14ac:dyDescent="0.2">
      <c r="A5420" s="40"/>
      <c r="B5420" s="40"/>
    </row>
    <row r="5421" spans="1:2" x14ac:dyDescent="0.2">
      <c r="A5421" s="40"/>
      <c r="B5421" s="40"/>
    </row>
    <row r="5422" spans="1:2" x14ac:dyDescent="0.2">
      <c r="A5422" s="40"/>
      <c r="B5422" s="40"/>
    </row>
    <row r="5423" spans="1:2" x14ac:dyDescent="0.2">
      <c r="A5423" s="40"/>
      <c r="B5423" s="40"/>
    </row>
    <row r="5424" spans="1:2" x14ac:dyDescent="0.2">
      <c r="A5424" s="40"/>
      <c r="B5424" s="40"/>
    </row>
    <row r="5425" spans="1:2" x14ac:dyDescent="0.2">
      <c r="A5425" s="40"/>
      <c r="B5425" s="40"/>
    </row>
    <row r="5426" spans="1:2" x14ac:dyDescent="0.2">
      <c r="A5426" s="40"/>
      <c r="B5426" s="40"/>
    </row>
    <row r="5427" spans="1:2" x14ac:dyDescent="0.2">
      <c r="A5427" s="40"/>
      <c r="B5427" s="40"/>
    </row>
    <row r="5428" spans="1:2" x14ac:dyDescent="0.2">
      <c r="A5428" s="40"/>
      <c r="B5428" s="40"/>
    </row>
    <row r="5429" spans="1:2" x14ac:dyDescent="0.2">
      <c r="A5429" s="40"/>
      <c r="B5429" s="40"/>
    </row>
    <row r="5430" spans="1:2" x14ac:dyDescent="0.2">
      <c r="A5430" s="40"/>
      <c r="B5430" s="40"/>
    </row>
    <row r="5431" spans="1:2" x14ac:dyDescent="0.2">
      <c r="A5431" s="40"/>
      <c r="B5431" s="40"/>
    </row>
    <row r="5432" spans="1:2" x14ac:dyDescent="0.2">
      <c r="A5432" s="40"/>
      <c r="B5432" s="40"/>
    </row>
    <row r="5433" spans="1:2" x14ac:dyDescent="0.2">
      <c r="A5433" s="40"/>
      <c r="B5433" s="40"/>
    </row>
    <row r="5434" spans="1:2" x14ac:dyDescent="0.2">
      <c r="A5434" s="40"/>
      <c r="B5434" s="40"/>
    </row>
    <row r="5435" spans="1:2" x14ac:dyDescent="0.2">
      <c r="A5435" s="40"/>
      <c r="B5435" s="40"/>
    </row>
    <row r="5436" spans="1:2" x14ac:dyDescent="0.2">
      <c r="A5436" s="40"/>
      <c r="B5436" s="40"/>
    </row>
    <row r="5437" spans="1:2" x14ac:dyDescent="0.2">
      <c r="A5437" s="40"/>
      <c r="B5437" s="40"/>
    </row>
    <row r="5438" spans="1:2" x14ac:dyDescent="0.2">
      <c r="A5438" s="40"/>
      <c r="B5438" s="40"/>
    </row>
    <row r="5439" spans="1:2" x14ac:dyDescent="0.2">
      <c r="A5439" s="40"/>
      <c r="B5439" s="40"/>
    </row>
    <row r="5440" spans="1:2" x14ac:dyDescent="0.2">
      <c r="A5440" s="40"/>
      <c r="B5440" s="40"/>
    </row>
    <row r="5441" spans="1:2" x14ac:dyDescent="0.2">
      <c r="A5441" s="40"/>
      <c r="B5441" s="40"/>
    </row>
    <row r="5442" spans="1:2" x14ac:dyDescent="0.2">
      <c r="A5442" s="40"/>
      <c r="B5442" s="40"/>
    </row>
    <row r="5443" spans="1:2" x14ac:dyDescent="0.2">
      <c r="A5443" s="40"/>
      <c r="B5443" s="40"/>
    </row>
    <row r="5444" spans="1:2" x14ac:dyDescent="0.2">
      <c r="A5444" s="40"/>
      <c r="B5444" s="40"/>
    </row>
    <row r="5445" spans="1:2" x14ac:dyDescent="0.2">
      <c r="A5445" s="40"/>
      <c r="B5445" s="40"/>
    </row>
    <row r="5446" spans="1:2" x14ac:dyDescent="0.2">
      <c r="A5446" s="40"/>
      <c r="B5446" s="40"/>
    </row>
    <row r="5447" spans="1:2" x14ac:dyDescent="0.2">
      <c r="A5447" s="40"/>
      <c r="B5447" s="40"/>
    </row>
    <row r="5448" spans="1:2" x14ac:dyDescent="0.2">
      <c r="A5448" s="40"/>
      <c r="B5448" s="40"/>
    </row>
    <row r="5449" spans="1:2" x14ac:dyDescent="0.2">
      <c r="A5449" s="40"/>
      <c r="B5449" s="40"/>
    </row>
    <row r="5450" spans="1:2" x14ac:dyDescent="0.2">
      <c r="A5450" s="40"/>
      <c r="B5450" s="40"/>
    </row>
    <row r="5451" spans="1:2" x14ac:dyDescent="0.2">
      <c r="A5451" s="40"/>
      <c r="B5451" s="40"/>
    </row>
    <row r="5452" spans="1:2" x14ac:dyDescent="0.2">
      <c r="A5452" s="40"/>
      <c r="B5452" s="40"/>
    </row>
    <row r="5453" spans="1:2" x14ac:dyDescent="0.2">
      <c r="A5453" s="40"/>
      <c r="B5453" s="40"/>
    </row>
    <row r="5454" spans="1:2" x14ac:dyDescent="0.2">
      <c r="A5454" s="40"/>
      <c r="B5454" s="40"/>
    </row>
    <row r="5455" spans="1:2" x14ac:dyDescent="0.2">
      <c r="A5455" s="40"/>
      <c r="B5455" s="40"/>
    </row>
    <row r="5456" spans="1:2" x14ac:dyDescent="0.2">
      <c r="A5456" s="40"/>
      <c r="B5456" s="40"/>
    </row>
    <row r="5457" spans="1:2" x14ac:dyDescent="0.2">
      <c r="A5457" s="40"/>
      <c r="B5457" s="40"/>
    </row>
    <row r="5458" spans="1:2" x14ac:dyDescent="0.2">
      <c r="A5458" s="40"/>
      <c r="B5458" s="40"/>
    </row>
    <row r="5459" spans="1:2" x14ac:dyDescent="0.2">
      <c r="A5459" s="40"/>
      <c r="B5459" s="40"/>
    </row>
    <row r="5460" spans="1:2" x14ac:dyDescent="0.2">
      <c r="A5460" s="40"/>
      <c r="B5460" s="40"/>
    </row>
    <row r="5461" spans="1:2" x14ac:dyDescent="0.2">
      <c r="A5461" s="40"/>
      <c r="B5461" s="40"/>
    </row>
    <row r="5462" spans="1:2" x14ac:dyDescent="0.2">
      <c r="A5462" s="40"/>
      <c r="B5462" s="40"/>
    </row>
    <row r="5463" spans="1:2" x14ac:dyDescent="0.2">
      <c r="A5463" s="40"/>
      <c r="B5463" s="40"/>
    </row>
    <row r="5464" spans="1:2" x14ac:dyDescent="0.2">
      <c r="A5464" s="40"/>
      <c r="B5464" s="40"/>
    </row>
    <row r="5465" spans="1:2" x14ac:dyDescent="0.2">
      <c r="A5465" s="40"/>
      <c r="B5465" s="40"/>
    </row>
    <row r="5466" spans="1:2" x14ac:dyDescent="0.2">
      <c r="A5466" s="40"/>
      <c r="B5466" s="40"/>
    </row>
    <row r="5467" spans="1:2" x14ac:dyDescent="0.2">
      <c r="A5467" s="40"/>
      <c r="B5467" s="40"/>
    </row>
    <row r="5468" spans="1:2" x14ac:dyDescent="0.2">
      <c r="A5468" s="40"/>
      <c r="B5468" s="40"/>
    </row>
    <row r="5469" spans="1:2" x14ac:dyDescent="0.2">
      <c r="A5469" s="40"/>
      <c r="B5469" s="40"/>
    </row>
    <row r="5470" spans="1:2" x14ac:dyDescent="0.2">
      <c r="A5470" s="40"/>
      <c r="B5470" s="40"/>
    </row>
    <row r="5471" spans="1:2" x14ac:dyDescent="0.2">
      <c r="A5471" s="40"/>
      <c r="B5471" s="40"/>
    </row>
    <row r="5472" spans="1:2" x14ac:dyDescent="0.2">
      <c r="A5472" s="40"/>
      <c r="B5472" s="40"/>
    </row>
    <row r="5473" spans="1:2" x14ac:dyDescent="0.2">
      <c r="A5473" s="40"/>
      <c r="B5473" s="40"/>
    </row>
    <row r="5474" spans="1:2" x14ac:dyDescent="0.2">
      <c r="A5474" s="40"/>
      <c r="B5474" s="40"/>
    </row>
    <row r="5475" spans="1:2" x14ac:dyDescent="0.2">
      <c r="A5475" s="40"/>
      <c r="B5475" s="40"/>
    </row>
    <row r="5476" spans="1:2" x14ac:dyDescent="0.2">
      <c r="A5476" s="40"/>
      <c r="B5476" s="40"/>
    </row>
    <row r="5477" spans="1:2" x14ac:dyDescent="0.2">
      <c r="A5477" s="40"/>
      <c r="B5477" s="40"/>
    </row>
    <row r="5478" spans="1:2" x14ac:dyDescent="0.2">
      <c r="A5478" s="40"/>
      <c r="B5478" s="40"/>
    </row>
    <row r="5479" spans="1:2" x14ac:dyDescent="0.2">
      <c r="A5479" s="40"/>
      <c r="B5479" s="40"/>
    </row>
    <row r="5480" spans="1:2" x14ac:dyDescent="0.2">
      <c r="A5480" s="40"/>
      <c r="B5480" s="40"/>
    </row>
    <row r="5481" spans="1:2" x14ac:dyDescent="0.2">
      <c r="A5481" s="40"/>
      <c r="B5481" s="40"/>
    </row>
    <row r="5482" spans="1:2" x14ac:dyDescent="0.2">
      <c r="A5482" s="40"/>
      <c r="B5482" s="40"/>
    </row>
    <row r="5483" spans="1:2" x14ac:dyDescent="0.2">
      <c r="A5483" s="40"/>
      <c r="B5483" s="40"/>
    </row>
    <row r="5484" spans="1:2" x14ac:dyDescent="0.2">
      <c r="A5484" s="40"/>
      <c r="B5484" s="40"/>
    </row>
    <row r="5485" spans="1:2" x14ac:dyDescent="0.2">
      <c r="A5485" s="40"/>
      <c r="B5485" s="40"/>
    </row>
    <row r="5486" spans="1:2" x14ac:dyDescent="0.2">
      <c r="A5486" s="40"/>
      <c r="B5486" s="40"/>
    </row>
    <row r="5487" spans="1:2" x14ac:dyDescent="0.2">
      <c r="A5487" s="40"/>
      <c r="B5487" s="40"/>
    </row>
    <row r="5488" spans="1:2" x14ac:dyDescent="0.2">
      <c r="A5488" s="40"/>
      <c r="B5488" s="40"/>
    </row>
    <row r="5489" spans="1:2" x14ac:dyDescent="0.2">
      <c r="A5489" s="40"/>
      <c r="B5489" s="40"/>
    </row>
    <row r="5490" spans="1:2" x14ac:dyDescent="0.2">
      <c r="A5490" s="40"/>
      <c r="B5490" s="40"/>
    </row>
    <row r="5491" spans="1:2" x14ac:dyDescent="0.2">
      <c r="A5491" s="40"/>
      <c r="B5491" s="40"/>
    </row>
    <row r="5492" spans="1:2" x14ac:dyDescent="0.2">
      <c r="A5492" s="40"/>
      <c r="B5492" s="40"/>
    </row>
    <row r="5493" spans="1:2" x14ac:dyDescent="0.2">
      <c r="A5493" s="40"/>
      <c r="B5493" s="40"/>
    </row>
    <row r="5494" spans="1:2" x14ac:dyDescent="0.2">
      <c r="A5494" s="40"/>
      <c r="B5494" s="40"/>
    </row>
    <row r="5495" spans="1:2" x14ac:dyDescent="0.2">
      <c r="A5495" s="40"/>
      <c r="B5495" s="40"/>
    </row>
    <row r="5496" spans="1:2" x14ac:dyDescent="0.2">
      <c r="A5496" s="40"/>
      <c r="B5496" s="40"/>
    </row>
    <row r="5497" spans="1:2" x14ac:dyDescent="0.2">
      <c r="A5497" s="40"/>
      <c r="B5497" s="40"/>
    </row>
    <row r="5498" spans="1:2" x14ac:dyDescent="0.2">
      <c r="A5498" s="40"/>
      <c r="B5498" s="40"/>
    </row>
    <row r="5499" spans="1:2" x14ac:dyDescent="0.2">
      <c r="A5499" s="40"/>
      <c r="B5499" s="40"/>
    </row>
    <row r="5500" spans="1:2" x14ac:dyDescent="0.2">
      <c r="A5500" s="40"/>
      <c r="B5500" s="40"/>
    </row>
    <row r="5501" spans="1:2" x14ac:dyDescent="0.2">
      <c r="A5501" s="40"/>
      <c r="B5501" s="40"/>
    </row>
    <row r="5502" spans="1:2" x14ac:dyDescent="0.2">
      <c r="A5502" s="40"/>
      <c r="B5502" s="40"/>
    </row>
    <row r="5503" spans="1:2" x14ac:dyDescent="0.2">
      <c r="A5503" s="40"/>
      <c r="B5503" s="40"/>
    </row>
    <row r="5504" spans="1:2" x14ac:dyDescent="0.2">
      <c r="A5504" s="40"/>
      <c r="B5504" s="40"/>
    </row>
    <row r="5505" spans="1:2" x14ac:dyDescent="0.2">
      <c r="A5505" s="40"/>
      <c r="B5505" s="40"/>
    </row>
    <row r="5506" spans="1:2" x14ac:dyDescent="0.2">
      <c r="A5506" s="40"/>
      <c r="B5506" s="40"/>
    </row>
    <row r="5507" spans="1:2" x14ac:dyDescent="0.2">
      <c r="A5507" s="40"/>
      <c r="B5507" s="40"/>
    </row>
    <row r="5508" spans="1:2" x14ac:dyDescent="0.2">
      <c r="A5508" s="40"/>
      <c r="B5508" s="40"/>
    </row>
    <row r="5509" spans="1:2" x14ac:dyDescent="0.2">
      <c r="A5509" s="40"/>
      <c r="B5509" s="40"/>
    </row>
    <row r="5510" spans="1:2" x14ac:dyDescent="0.2">
      <c r="A5510" s="40"/>
      <c r="B5510" s="40"/>
    </row>
    <row r="5511" spans="1:2" x14ac:dyDescent="0.2">
      <c r="A5511" s="40"/>
      <c r="B5511" s="40"/>
    </row>
    <row r="5512" spans="1:2" x14ac:dyDescent="0.2">
      <c r="A5512" s="40"/>
      <c r="B5512" s="40"/>
    </row>
    <row r="5513" spans="1:2" x14ac:dyDescent="0.2">
      <c r="A5513" s="40"/>
      <c r="B5513" s="40"/>
    </row>
    <row r="5514" spans="1:2" x14ac:dyDescent="0.2">
      <c r="A5514" s="40"/>
      <c r="B5514" s="40"/>
    </row>
    <row r="5515" spans="1:2" x14ac:dyDescent="0.2">
      <c r="A5515" s="40"/>
      <c r="B5515" s="40"/>
    </row>
    <row r="5516" spans="1:2" x14ac:dyDescent="0.2">
      <c r="A5516" s="40"/>
      <c r="B5516" s="40"/>
    </row>
    <row r="5517" spans="1:2" x14ac:dyDescent="0.2">
      <c r="A5517" s="40"/>
      <c r="B5517" s="40"/>
    </row>
    <row r="5518" spans="1:2" x14ac:dyDescent="0.2">
      <c r="A5518" s="40"/>
      <c r="B5518" s="40"/>
    </row>
    <row r="5519" spans="1:2" x14ac:dyDescent="0.2">
      <c r="A5519" s="40"/>
      <c r="B5519" s="40"/>
    </row>
    <row r="5520" spans="1:2" x14ac:dyDescent="0.2">
      <c r="A5520" s="40"/>
      <c r="B5520" s="40"/>
    </row>
    <row r="5521" spans="1:2" x14ac:dyDescent="0.2">
      <c r="A5521" s="40"/>
      <c r="B5521" s="40"/>
    </row>
    <row r="5522" spans="1:2" x14ac:dyDescent="0.2">
      <c r="A5522" s="40"/>
      <c r="B5522" s="40"/>
    </row>
    <row r="5523" spans="1:2" x14ac:dyDescent="0.2">
      <c r="A5523" s="40"/>
      <c r="B5523" s="40"/>
    </row>
    <row r="5524" spans="1:2" x14ac:dyDescent="0.2">
      <c r="A5524" s="40"/>
      <c r="B5524" s="40"/>
    </row>
    <row r="5525" spans="1:2" x14ac:dyDescent="0.2">
      <c r="A5525" s="40"/>
      <c r="B5525" s="40"/>
    </row>
    <row r="5526" spans="1:2" x14ac:dyDescent="0.2">
      <c r="A5526" s="40"/>
      <c r="B5526" s="40"/>
    </row>
    <row r="5527" spans="1:2" x14ac:dyDescent="0.2">
      <c r="A5527" s="40"/>
      <c r="B5527" s="40"/>
    </row>
    <row r="5528" spans="1:2" x14ac:dyDescent="0.2">
      <c r="A5528" s="40"/>
      <c r="B5528" s="40"/>
    </row>
    <row r="5529" spans="1:2" x14ac:dyDescent="0.2">
      <c r="A5529" s="40"/>
      <c r="B5529" s="40"/>
    </row>
    <row r="5530" spans="1:2" x14ac:dyDescent="0.2">
      <c r="A5530" s="40"/>
      <c r="B5530" s="40"/>
    </row>
    <row r="5531" spans="1:2" x14ac:dyDescent="0.2">
      <c r="A5531" s="40"/>
      <c r="B5531" s="40"/>
    </row>
    <row r="5532" spans="1:2" x14ac:dyDescent="0.2">
      <c r="A5532" s="40"/>
      <c r="B5532" s="40"/>
    </row>
    <row r="5533" spans="1:2" x14ac:dyDescent="0.2">
      <c r="A5533" s="40"/>
      <c r="B5533" s="40"/>
    </row>
    <row r="5534" spans="1:2" x14ac:dyDescent="0.2">
      <c r="A5534" s="40"/>
      <c r="B5534" s="40"/>
    </row>
    <row r="5535" spans="1:2" x14ac:dyDescent="0.2">
      <c r="A5535" s="40"/>
      <c r="B5535" s="40"/>
    </row>
    <row r="5536" spans="1:2" x14ac:dyDescent="0.2">
      <c r="A5536" s="40"/>
      <c r="B5536" s="40"/>
    </row>
    <row r="5537" spans="1:2" x14ac:dyDescent="0.2">
      <c r="A5537" s="40"/>
      <c r="B5537" s="40"/>
    </row>
    <row r="5538" spans="1:2" x14ac:dyDescent="0.2">
      <c r="A5538" s="40"/>
      <c r="B5538" s="40"/>
    </row>
    <row r="5539" spans="1:2" x14ac:dyDescent="0.2">
      <c r="A5539" s="40"/>
      <c r="B5539" s="40"/>
    </row>
    <row r="5540" spans="1:2" x14ac:dyDescent="0.2">
      <c r="A5540" s="40"/>
      <c r="B5540" s="40"/>
    </row>
    <row r="5541" spans="1:2" x14ac:dyDescent="0.2">
      <c r="A5541" s="40"/>
      <c r="B5541" s="40"/>
    </row>
    <row r="5542" spans="1:2" x14ac:dyDescent="0.2">
      <c r="A5542" s="40"/>
      <c r="B5542" s="40"/>
    </row>
    <row r="5543" spans="1:2" x14ac:dyDescent="0.2">
      <c r="A5543" s="40"/>
      <c r="B5543" s="40"/>
    </row>
    <row r="5544" spans="1:2" x14ac:dyDescent="0.2">
      <c r="A5544" s="40"/>
      <c r="B5544" s="40"/>
    </row>
    <row r="5545" spans="1:2" x14ac:dyDescent="0.2">
      <c r="A5545" s="40"/>
      <c r="B5545" s="40"/>
    </row>
    <row r="5546" spans="1:2" x14ac:dyDescent="0.2">
      <c r="A5546" s="40"/>
      <c r="B5546" s="40"/>
    </row>
    <row r="5547" spans="1:2" x14ac:dyDescent="0.2">
      <c r="A5547" s="40"/>
      <c r="B5547" s="40"/>
    </row>
    <row r="5548" spans="1:2" x14ac:dyDescent="0.2">
      <c r="A5548" s="40"/>
      <c r="B5548" s="40"/>
    </row>
    <row r="5549" spans="1:2" x14ac:dyDescent="0.2">
      <c r="A5549" s="40"/>
      <c r="B5549" s="40"/>
    </row>
    <row r="5550" spans="1:2" x14ac:dyDescent="0.2">
      <c r="A5550" s="40"/>
      <c r="B5550" s="40"/>
    </row>
    <row r="5551" spans="1:2" x14ac:dyDescent="0.2">
      <c r="A5551" s="40"/>
      <c r="B5551" s="40"/>
    </row>
    <row r="5552" spans="1:2" x14ac:dyDescent="0.2">
      <c r="A5552" s="40"/>
      <c r="B5552" s="40"/>
    </row>
    <row r="5553" spans="1:2" x14ac:dyDescent="0.2">
      <c r="A5553" s="40"/>
      <c r="B5553" s="40"/>
    </row>
    <row r="5554" spans="1:2" x14ac:dyDescent="0.2">
      <c r="A5554" s="40"/>
      <c r="B5554" s="40"/>
    </row>
    <row r="5555" spans="1:2" x14ac:dyDescent="0.2">
      <c r="A5555" s="40"/>
      <c r="B5555" s="40"/>
    </row>
    <row r="5556" spans="1:2" x14ac:dyDescent="0.2">
      <c r="A5556" s="40"/>
      <c r="B5556" s="40"/>
    </row>
    <row r="5557" spans="1:2" x14ac:dyDescent="0.2">
      <c r="A5557" s="40"/>
      <c r="B5557" s="40"/>
    </row>
    <row r="5558" spans="1:2" x14ac:dyDescent="0.2">
      <c r="A5558" s="40"/>
      <c r="B5558" s="40"/>
    </row>
    <row r="5559" spans="1:2" x14ac:dyDescent="0.2">
      <c r="A5559" s="40"/>
      <c r="B5559" s="40"/>
    </row>
    <row r="5560" spans="1:2" x14ac:dyDescent="0.2">
      <c r="A5560" s="40"/>
      <c r="B5560" s="40"/>
    </row>
    <row r="5561" spans="1:2" x14ac:dyDescent="0.2">
      <c r="A5561" s="40"/>
      <c r="B5561" s="40"/>
    </row>
    <row r="5562" spans="1:2" x14ac:dyDescent="0.2">
      <c r="A5562" s="40"/>
      <c r="B5562" s="40"/>
    </row>
    <row r="5563" spans="1:2" x14ac:dyDescent="0.2">
      <c r="A5563" s="40"/>
      <c r="B5563" s="40"/>
    </row>
    <row r="5564" spans="1:2" x14ac:dyDescent="0.2">
      <c r="A5564" s="40"/>
      <c r="B5564" s="40"/>
    </row>
    <row r="5565" spans="1:2" x14ac:dyDescent="0.2">
      <c r="A5565" s="40"/>
      <c r="B5565" s="40"/>
    </row>
    <row r="5566" spans="1:2" x14ac:dyDescent="0.2">
      <c r="A5566" s="40"/>
      <c r="B5566" s="40"/>
    </row>
    <row r="5567" spans="1:2" x14ac:dyDescent="0.2">
      <c r="A5567" s="40"/>
      <c r="B5567" s="40"/>
    </row>
    <row r="5568" spans="1:2" x14ac:dyDescent="0.2">
      <c r="A5568" s="40"/>
      <c r="B5568" s="40"/>
    </row>
    <row r="5569" spans="1:2" x14ac:dyDescent="0.2">
      <c r="A5569" s="40"/>
      <c r="B5569" s="40"/>
    </row>
    <row r="5570" spans="1:2" x14ac:dyDescent="0.2">
      <c r="A5570" s="40"/>
      <c r="B5570" s="40"/>
    </row>
    <row r="5571" spans="1:2" x14ac:dyDescent="0.2">
      <c r="A5571" s="40"/>
      <c r="B5571" s="40"/>
    </row>
    <row r="5572" spans="1:2" x14ac:dyDescent="0.2">
      <c r="A5572" s="40"/>
      <c r="B5572" s="40"/>
    </row>
    <row r="5573" spans="1:2" x14ac:dyDescent="0.2">
      <c r="A5573" s="40"/>
      <c r="B5573" s="40"/>
    </row>
    <row r="5574" spans="1:2" x14ac:dyDescent="0.2">
      <c r="A5574" s="40"/>
      <c r="B5574" s="40"/>
    </row>
    <row r="5575" spans="1:2" x14ac:dyDescent="0.2">
      <c r="A5575" s="40"/>
      <c r="B5575" s="40"/>
    </row>
    <row r="5576" spans="1:2" x14ac:dyDescent="0.2">
      <c r="A5576" s="40"/>
      <c r="B5576" s="40"/>
    </row>
    <row r="5577" spans="1:2" x14ac:dyDescent="0.2">
      <c r="A5577" s="40"/>
      <c r="B5577" s="40"/>
    </row>
    <row r="5578" spans="1:2" x14ac:dyDescent="0.2">
      <c r="A5578" s="40"/>
      <c r="B5578" s="40"/>
    </row>
    <row r="5579" spans="1:2" x14ac:dyDescent="0.2">
      <c r="A5579" s="40"/>
      <c r="B5579" s="40"/>
    </row>
    <row r="5580" spans="1:2" x14ac:dyDescent="0.2">
      <c r="A5580" s="40"/>
      <c r="B5580" s="40"/>
    </row>
    <row r="5581" spans="1:2" x14ac:dyDescent="0.2">
      <c r="A5581" s="40"/>
      <c r="B5581" s="40"/>
    </row>
    <row r="5582" spans="1:2" x14ac:dyDescent="0.2">
      <c r="A5582" s="40"/>
      <c r="B5582" s="40"/>
    </row>
    <row r="5583" spans="1:2" x14ac:dyDescent="0.2">
      <c r="A5583" s="40"/>
      <c r="B5583" s="40"/>
    </row>
    <row r="5584" spans="1:2" x14ac:dyDescent="0.2">
      <c r="A5584" s="40"/>
      <c r="B5584" s="40"/>
    </row>
    <row r="5585" spans="1:2" x14ac:dyDescent="0.2">
      <c r="A5585" s="40"/>
      <c r="B5585" s="40"/>
    </row>
    <row r="5586" spans="1:2" x14ac:dyDescent="0.2">
      <c r="A5586" s="40"/>
      <c r="B5586" s="40"/>
    </row>
    <row r="5587" spans="1:2" x14ac:dyDescent="0.2">
      <c r="A5587" s="40"/>
      <c r="B5587" s="40"/>
    </row>
    <row r="5588" spans="1:2" x14ac:dyDescent="0.2">
      <c r="A5588" s="40"/>
      <c r="B5588" s="40"/>
    </row>
    <row r="5589" spans="1:2" x14ac:dyDescent="0.2">
      <c r="A5589" s="40"/>
      <c r="B5589" s="40"/>
    </row>
    <row r="5590" spans="1:2" x14ac:dyDescent="0.2">
      <c r="A5590" s="40"/>
      <c r="B5590" s="40"/>
    </row>
    <row r="5591" spans="1:2" x14ac:dyDescent="0.2">
      <c r="A5591" s="40"/>
      <c r="B5591" s="40"/>
    </row>
    <row r="5592" spans="1:2" x14ac:dyDescent="0.2">
      <c r="A5592" s="40"/>
      <c r="B5592" s="40"/>
    </row>
    <row r="5593" spans="1:2" x14ac:dyDescent="0.2">
      <c r="A5593" s="40"/>
      <c r="B5593" s="40"/>
    </row>
    <row r="5594" spans="1:2" x14ac:dyDescent="0.2">
      <c r="A5594" s="40"/>
      <c r="B5594" s="40"/>
    </row>
    <row r="5595" spans="1:2" x14ac:dyDescent="0.2">
      <c r="A5595" s="40"/>
      <c r="B5595" s="40"/>
    </row>
    <row r="5596" spans="1:2" x14ac:dyDescent="0.2">
      <c r="A5596" s="40"/>
      <c r="B5596" s="40"/>
    </row>
    <row r="5597" spans="1:2" x14ac:dyDescent="0.2">
      <c r="A5597" s="40"/>
      <c r="B5597" s="40"/>
    </row>
    <row r="5598" spans="1:2" x14ac:dyDescent="0.2">
      <c r="A5598" s="40"/>
      <c r="B5598" s="40"/>
    </row>
    <row r="5599" spans="1:2" x14ac:dyDescent="0.2">
      <c r="A5599" s="40"/>
      <c r="B5599" s="40"/>
    </row>
    <row r="5600" spans="1:2" x14ac:dyDescent="0.2">
      <c r="A5600" s="40"/>
      <c r="B5600" s="40"/>
    </row>
    <row r="5601" spans="1:2" x14ac:dyDescent="0.2">
      <c r="A5601" s="40"/>
      <c r="B5601" s="40"/>
    </row>
    <row r="5602" spans="1:2" x14ac:dyDescent="0.2">
      <c r="A5602" s="40"/>
      <c r="B5602" s="40"/>
    </row>
    <row r="5603" spans="1:2" x14ac:dyDescent="0.2">
      <c r="A5603" s="40"/>
      <c r="B5603" s="40"/>
    </row>
    <row r="5604" spans="1:2" x14ac:dyDescent="0.2">
      <c r="A5604" s="40"/>
      <c r="B5604" s="40"/>
    </row>
    <row r="5605" spans="1:2" x14ac:dyDescent="0.2">
      <c r="A5605" s="40"/>
      <c r="B5605" s="40"/>
    </row>
    <row r="5606" spans="1:2" x14ac:dyDescent="0.2">
      <c r="A5606" s="40"/>
      <c r="B5606" s="40"/>
    </row>
    <row r="5607" spans="1:2" x14ac:dyDescent="0.2">
      <c r="A5607" s="40"/>
      <c r="B5607" s="40"/>
    </row>
    <row r="5608" spans="1:2" x14ac:dyDescent="0.2">
      <c r="A5608" s="40"/>
      <c r="B5608" s="40"/>
    </row>
    <row r="5609" spans="1:2" x14ac:dyDescent="0.2">
      <c r="A5609" s="40"/>
      <c r="B5609" s="40"/>
    </row>
    <row r="5610" spans="1:2" x14ac:dyDescent="0.2">
      <c r="A5610" s="40"/>
      <c r="B5610" s="40"/>
    </row>
    <row r="5611" spans="1:2" x14ac:dyDescent="0.2">
      <c r="A5611" s="40"/>
      <c r="B5611" s="40"/>
    </row>
    <row r="5612" spans="1:2" x14ac:dyDescent="0.2">
      <c r="A5612" s="40"/>
      <c r="B5612" s="40"/>
    </row>
    <row r="5613" spans="1:2" x14ac:dyDescent="0.2">
      <c r="A5613" s="40"/>
      <c r="B5613" s="40"/>
    </row>
    <row r="5614" spans="1:2" x14ac:dyDescent="0.2">
      <c r="A5614" s="40"/>
      <c r="B5614" s="40"/>
    </row>
    <row r="5615" spans="1:2" x14ac:dyDescent="0.2">
      <c r="A5615" s="40"/>
      <c r="B5615" s="40"/>
    </row>
    <row r="5616" spans="1:2" x14ac:dyDescent="0.2">
      <c r="A5616" s="40"/>
      <c r="B5616" s="40"/>
    </row>
    <row r="5617" spans="1:2" x14ac:dyDescent="0.2">
      <c r="A5617" s="40"/>
      <c r="B5617" s="40"/>
    </row>
    <row r="5618" spans="1:2" x14ac:dyDescent="0.2">
      <c r="A5618" s="40"/>
      <c r="B5618" s="40"/>
    </row>
    <row r="5619" spans="1:2" x14ac:dyDescent="0.2">
      <c r="A5619" s="40"/>
      <c r="B5619" s="40"/>
    </row>
    <row r="5620" spans="1:2" x14ac:dyDescent="0.2">
      <c r="A5620" s="40"/>
      <c r="B5620" s="40"/>
    </row>
    <row r="5621" spans="1:2" x14ac:dyDescent="0.2">
      <c r="A5621" s="40"/>
      <c r="B5621" s="40"/>
    </row>
    <row r="5622" spans="1:2" x14ac:dyDescent="0.2">
      <c r="A5622" s="40"/>
      <c r="B5622" s="40"/>
    </row>
    <row r="5623" spans="1:2" x14ac:dyDescent="0.2">
      <c r="A5623" s="40"/>
      <c r="B5623" s="40"/>
    </row>
    <row r="5624" spans="1:2" x14ac:dyDescent="0.2">
      <c r="A5624" s="40"/>
      <c r="B5624" s="40"/>
    </row>
    <row r="5625" spans="1:2" x14ac:dyDescent="0.2">
      <c r="A5625" s="40"/>
      <c r="B5625" s="40"/>
    </row>
    <row r="5626" spans="1:2" x14ac:dyDescent="0.2">
      <c r="A5626" s="40"/>
      <c r="B5626" s="40"/>
    </row>
    <row r="5627" spans="1:2" x14ac:dyDescent="0.2">
      <c r="A5627" s="40"/>
      <c r="B5627" s="40"/>
    </row>
    <row r="5628" spans="1:2" x14ac:dyDescent="0.2">
      <c r="A5628" s="40"/>
      <c r="B5628" s="40"/>
    </row>
    <row r="5629" spans="1:2" x14ac:dyDescent="0.2">
      <c r="A5629" s="40"/>
      <c r="B5629" s="40"/>
    </row>
    <row r="5630" spans="1:2" x14ac:dyDescent="0.2">
      <c r="A5630" s="40"/>
      <c r="B5630" s="40"/>
    </row>
    <row r="5631" spans="1:2" x14ac:dyDescent="0.2">
      <c r="A5631" s="40"/>
      <c r="B5631" s="40"/>
    </row>
    <row r="5632" spans="1:2" x14ac:dyDescent="0.2">
      <c r="A5632" s="40"/>
      <c r="B5632" s="40"/>
    </row>
    <row r="5633" spans="1:2" x14ac:dyDescent="0.2">
      <c r="A5633" s="40"/>
      <c r="B5633" s="40"/>
    </row>
    <row r="5634" spans="1:2" x14ac:dyDescent="0.2">
      <c r="A5634" s="40"/>
      <c r="B5634" s="40"/>
    </row>
    <row r="5635" spans="1:2" x14ac:dyDescent="0.2">
      <c r="A5635" s="40"/>
      <c r="B5635" s="40"/>
    </row>
    <row r="5636" spans="1:2" x14ac:dyDescent="0.2">
      <c r="A5636" s="40"/>
      <c r="B5636" s="40"/>
    </row>
    <row r="5637" spans="1:2" x14ac:dyDescent="0.2">
      <c r="A5637" s="40"/>
      <c r="B5637" s="40"/>
    </row>
    <row r="5638" spans="1:2" x14ac:dyDescent="0.2">
      <c r="A5638" s="40"/>
      <c r="B5638" s="40"/>
    </row>
    <row r="5639" spans="1:2" x14ac:dyDescent="0.2">
      <c r="A5639" s="40"/>
      <c r="B5639" s="40"/>
    </row>
    <row r="5640" spans="1:2" x14ac:dyDescent="0.2">
      <c r="A5640" s="40"/>
      <c r="B5640" s="40"/>
    </row>
    <row r="5641" spans="1:2" x14ac:dyDescent="0.2">
      <c r="A5641" s="40"/>
      <c r="B5641" s="40"/>
    </row>
    <row r="5642" spans="1:2" x14ac:dyDescent="0.2">
      <c r="A5642" s="40"/>
      <c r="B5642" s="40"/>
    </row>
    <row r="5643" spans="1:2" x14ac:dyDescent="0.2">
      <c r="A5643" s="40"/>
      <c r="B5643" s="40"/>
    </row>
    <row r="5644" spans="1:2" x14ac:dyDescent="0.2">
      <c r="A5644" s="40"/>
      <c r="B5644" s="40"/>
    </row>
    <row r="5645" spans="1:2" x14ac:dyDescent="0.2">
      <c r="A5645" s="40"/>
      <c r="B5645" s="40"/>
    </row>
    <row r="5646" spans="1:2" x14ac:dyDescent="0.2">
      <c r="A5646" s="40"/>
      <c r="B5646" s="40"/>
    </row>
    <row r="5647" spans="1:2" x14ac:dyDescent="0.2">
      <c r="A5647" s="40"/>
      <c r="B5647" s="40"/>
    </row>
    <row r="5648" spans="1:2" x14ac:dyDescent="0.2">
      <c r="A5648" s="40"/>
      <c r="B5648" s="40"/>
    </row>
    <row r="5649" spans="1:2" x14ac:dyDescent="0.2">
      <c r="A5649" s="40"/>
      <c r="B5649" s="40"/>
    </row>
    <row r="5650" spans="1:2" x14ac:dyDescent="0.2">
      <c r="A5650" s="40"/>
      <c r="B5650" s="40"/>
    </row>
    <row r="5651" spans="1:2" x14ac:dyDescent="0.2">
      <c r="A5651" s="40"/>
      <c r="B5651" s="40"/>
    </row>
    <row r="5652" spans="1:2" x14ac:dyDescent="0.2">
      <c r="A5652" s="40"/>
      <c r="B5652" s="40"/>
    </row>
    <row r="5653" spans="1:2" x14ac:dyDescent="0.2">
      <c r="A5653" s="40"/>
      <c r="B5653" s="40"/>
    </row>
    <row r="5654" spans="1:2" x14ac:dyDescent="0.2">
      <c r="A5654" s="40"/>
      <c r="B5654" s="40"/>
    </row>
    <row r="5655" spans="1:2" x14ac:dyDescent="0.2">
      <c r="A5655" s="40"/>
      <c r="B5655" s="40"/>
    </row>
    <row r="5656" spans="1:2" x14ac:dyDescent="0.2">
      <c r="A5656" s="40"/>
      <c r="B5656" s="40"/>
    </row>
    <row r="5657" spans="1:2" x14ac:dyDescent="0.2">
      <c r="A5657" s="40"/>
      <c r="B5657" s="40"/>
    </row>
    <row r="5658" spans="1:2" x14ac:dyDescent="0.2">
      <c r="A5658" s="40"/>
      <c r="B5658" s="40"/>
    </row>
    <row r="5659" spans="1:2" x14ac:dyDescent="0.2">
      <c r="A5659" s="40"/>
      <c r="B5659" s="40"/>
    </row>
    <row r="5660" spans="1:2" x14ac:dyDescent="0.2">
      <c r="A5660" s="40"/>
      <c r="B5660" s="40"/>
    </row>
    <row r="5661" spans="1:2" x14ac:dyDescent="0.2">
      <c r="A5661" s="40"/>
      <c r="B5661" s="40"/>
    </row>
    <row r="5662" spans="1:2" x14ac:dyDescent="0.2">
      <c r="A5662" s="40"/>
      <c r="B5662" s="40"/>
    </row>
    <row r="5663" spans="1:2" x14ac:dyDescent="0.2">
      <c r="A5663" s="40"/>
      <c r="B5663" s="40"/>
    </row>
    <row r="5664" spans="1:2" x14ac:dyDescent="0.2">
      <c r="A5664" s="40"/>
      <c r="B5664" s="40"/>
    </row>
    <row r="5665" spans="1:2" x14ac:dyDescent="0.2">
      <c r="A5665" s="40"/>
      <c r="B5665" s="40"/>
    </row>
    <row r="5666" spans="1:2" x14ac:dyDescent="0.2">
      <c r="A5666" s="40"/>
      <c r="B5666" s="40"/>
    </row>
    <row r="5667" spans="1:2" x14ac:dyDescent="0.2">
      <c r="A5667" s="40"/>
      <c r="B5667" s="40"/>
    </row>
    <row r="5668" spans="1:2" x14ac:dyDescent="0.2">
      <c r="A5668" s="40"/>
      <c r="B5668" s="40"/>
    </row>
    <row r="5669" spans="1:2" x14ac:dyDescent="0.2">
      <c r="A5669" s="40"/>
      <c r="B5669" s="40"/>
    </row>
    <row r="5670" spans="1:2" x14ac:dyDescent="0.2">
      <c r="A5670" s="40"/>
      <c r="B5670" s="40"/>
    </row>
    <row r="5671" spans="1:2" x14ac:dyDescent="0.2">
      <c r="A5671" s="40"/>
      <c r="B5671" s="40"/>
    </row>
    <row r="5672" spans="1:2" x14ac:dyDescent="0.2">
      <c r="A5672" s="40"/>
      <c r="B5672" s="40"/>
    </row>
    <row r="5673" spans="1:2" x14ac:dyDescent="0.2">
      <c r="A5673" s="40"/>
      <c r="B5673" s="40"/>
    </row>
    <row r="5674" spans="1:2" x14ac:dyDescent="0.2">
      <c r="A5674" s="40"/>
      <c r="B5674" s="40"/>
    </row>
    <row r="5675" spans="1:2" x14ac:dyDescent="0.2">
      <c r="A5675" s="40"/>
      <c r="B5675" s="40"/>
    </row>
    <row r="5676" spans="1:2" x14ac:dyDescent="0.2">
      <c r="A5676" s="40"/>
      <c r="B5676" s="40"/>
    </row>
    <row r="5677" spans="1:2" x14ac:dyDescent="0.2">
      <c r="A5677" s="40"/>
      <c r="B5677" s="40"/>
    </row>
    <row r="5678" spans="1:2" x14ac:dyDescent="0.2">
      <c r="A5678" s="40"/>
      <c r="B5678" s="40"/>
    </row>
    <row r="5679" spans="1:2" x14ac:dyDescent="0.2">
      <c r="A5679" s="40"/>
      <c r="B5679" s="40"/>
    </row>
    <row r="5680" spans="1:2" x14ac:dyDescent="0.2">
      <c r="A5680" s="40"/>
      <c r="B5680" s="40"/>
    </row>
    <row r="5681" spans="1:2" x14ac:dyDescent="0.2">
      <c r="A5681" s="40"/>
      <c r="B5681" s="40"/>
    </row>
    <row r="5682" spans="1:2" x14ac:dyDescent="0.2">
      <c r="A5682" s="40"/>
      <c r="B5682" s="40"/>
    </row>
    <row r="5683" spans="1:2" x14ac:dyDescent="0.2">
      <c r="A5683" s="40"/>
      <c r="B5683" s="40"/>
    </row>
    <row r="5684" spans="1:2" x14ac:dyDescent="0.2">
      <c r="A5684" s="40"/>
      <c r="B5684" s="40"/>
    </row>
    <row r="5685" spans="1:2" x14ac:dyDescent="0.2">
      <c r="A5685" s="40"/>
      <c r="B5685" s="40"/>
    </row>
    <row r="5686" spans="1:2" x14ac:dyDescent="0.2">
      <c r="A5686" s="40"/>
      <c r="B5686" s="40"/>
    </row>
    <row r="5687" spans="1:2" x14ac:dyDescent="0.2">
      <c r="A5687" s="40"/>
      <c r="B5687" s="40"/>
    </row>
    <row r="5688" spans="1:2" x14ac:dyDescent="0.2">
      <c r="A5688" s="40"/>
      <c r="B5688" s="40"/>
    </row>
    <row r="5689" spans="1:2" x14ac:dyDescent="0.2">
      <c r="A5689" s="40"/>
      <c r="B5689" s="40"/>
    </row>
    <row r="5690" spans="1:2" x14ac:dyDescent="0.2">
      <c r="A5690" s="40"/>
      <c r="B5690" s="40"/>
    </row>
    <row r="5691" spans="1:2" x14ac:dyDescent="0.2">
      <c r="A5691" s="40"/>
      <c r="B5691" s="40"/>
    </row>
    <row r="5692" spans="1:2" x14ac:dyDescent="0.2">
      <c r="A5692" s="40"/>
      <c r="B5692" s="40"/>
    </row>
    <row r="5693" spans="1:2" x14ac:dyDescent="0.2">
      <c r="A5693" s="40"/>
      <c r="B5693" s="40"/>
    </row>
    <row r="5694" spans="1:2" x14ac:dyDescent="0.2">
      <c r="A5694" s="40"/>
      <c r="B5694" s="40"/>
    </row>
    <row r="5695" spans="1:2" x14ac:dyDescent="0.2">
      <c r="A5695" s="40"/>
      <c r="B5695" s="40"/>
    </row>
    <row r="5696" spans="1:2" x14ac:dyDescent="0.2">
      <c r="A5696" s="40"/>
      <c r="B5696" s="40"/>
    </row>
    <row r="5697" spans="1:2" x14ac:dyDescent="0.2">
      <c r="A5697" s="40"/>
      <c r="B5697" s="40"/>
    </row>
    <row r="5698" spans="1:2" x14ac:dyDescent="0.2">
      <c r="A5698" s="40"/>
      <c r="B5698" s="40"/>
    </row>
    <row r="5699" spans="1:2" x14ac:dyDescent="0.2">
      <c r="A5699" s="40"/>
      <c r="B5699" s="40"/>
    </row>
    <row r="5700" spans="1:2" x14ac:dyDescent="0.2">
      <c r="A5700" s="40"/>
      <c r="B5700" s="40"/>
    </row>
    <row r="5701" spans="1:2" x14ac:dyDescent="0.2">
      <c r="A5701" s="40"/>
      <c r="B5701" s="40"/>
    </row>
    <row r="5702" spans="1:2" x14ac:dyDescent="0.2">
      <c r="A5702" s="40"/>
      <c r="B5702" s="40"/>
    </row>
    <row r="5703" spans="1:2" x14ac:dyDescent="0.2">
      <c r="A5703" s="40"/>
      <c r="B5703" s="40"/>
    </row>
    <row r="5704" spans="1:2" x14ac:dyDescent="0.2">
      <c r="A5704" s="40"/>
      <c r="B5704" s="40"/>
    </row>
    <row r="5705" spans="1:2" x14ac:dyDescent="0.2">
      <c r="A5705" s="40"/>
      <c r="B5705" s="40"/>
    </row>
    <row r="5706" spans="1:2" x14ac:dyDescent="0.2">
      <c r="A5706" s="40"/>
      <c r="B5706" s="40"/>
    </row>
    <row r="5707" spans="1:2" x14ac:dyDescent="0.2">
      <c r="A5707" s="40"/>
      <c r="B5707" s="40"/>
    </row>
    <row r="5708" spans="1:2" x14ac:dyDescent="0.2">
      <c r="A5708" s="40"/>
      <c r="B5708" s="40"/>
    </row>
    <row r="5709" spans="1:2" x14ac:dyDescent="0.2">
      <c r="A5709" s="40"/>
      <c r="B5709" s="40"/>
    </row>
    <row r="5710" spans="1:2" x14ac:dyDescent="0.2">
      <c r="A5710" s="40"/>
      <c r="B5710" s="40"/>
    </row>
    <row r="5711" spans="1:2" x14ac:dyDescent="0.2">
      <c r="A5711" s="40"/>
      <c r="B5711" s="40"/>
    </row>
    <row r="5712" spans="1:2" x14ac:dyDescent="0.2">
      <c r="A5712" s="40"/>
      <c r="B5712" s="40"/>
    </row>
    <row r="5713" spans="1:2" x14ac:dyDescent="0.2">
      <c r="A5713" s="40"/>
      <c r="B5713" s="40"/>
    </row>
    <row r="5714" spans="1:2" x14ac:dyDescent="0.2">
      <c r="A5714" s="40"/>
      <c r="B5714" s="40"/>
    </row>
    <row r="5715" spans="1:2" x14ac:dyDescent="0.2">
      <c r="A5715" s="40"/>
      <c r="B5715" s="40"/>
    </row>
    <row r="5716" spans="1:2" x14ac:dyDescent="0.2">
      <c r="A5716" s="40"/>
      <c r="B5716" s="40"/>
    </row>
    <row r="5717" spans="1:2" x14ac:dyDescent="0.2">
      <c r="A5717" s="40"/>
      <c r="B5717" s="40"/>
    </row>
    <row r="5718" spans="1:2" x14ac:dyDescent="0.2">
      <c r="A5718" s="40"/>
      <c r="B5718" s="40"/>
    </row>
    <row r="5719" spans="1:2" x14ac:dyDescent="0.2">
      <c r="A5719" s="40"/>
      <c r="B5719" s="40"/>
    </row>
    <row r="5720" spans="1:2" x14ac:dyDescent="0.2">
      <c r="A5720" s="40"/>
      <c r="B5720" s="40"/>
    </row>
    <row r="5721" spans="1:2" x14ac:dyDescent="0.2">
      <c r="A5721" s="40"/>
      <c r="B5721" s="40"/>
    </row>
    <row r="5722" spans="1:2" x14ac:dyDescent="0.2">
      <c r="A5722" s="40"/>
      <c r="B5722" s="40"/>
    </row>
    <row r="5723" spans="1:2" x14ac:dyDescent="0.2">
      <c r="A5723" s="40"/>
      <c r="B5723" s="40"/>
    </row>
    <row r="5724" spans="1:2" x14ac:dyDescent="0.2">
      <c r="A5724" s="40"/>
      <c r="B5724" s="40"/>
    </row>
    <row r="5725" spans="1:2" x14ac:dyDescent="0.2">
      <c r="A5725" s="40"/>
      <c r="B5725" s="40"/>
    </row>
    <row r="5726" spans="1:2" x14ac:dyDescent="0.2">
      <c r="A5726" s="40"/>
      <c r="B5726" s="40"/>
    </row>
    <row r="5727" spans="1:2" x14ac:dyDescent="0.2">
      <c r="A5727" s="40"/>
      <c r="B5727" s="40"/>
    </row>
    <row r="5728" spans="1:2" x14ac:dyDescent="0.2">
      <c r="A5728" s="40"/>
      <c r="B5728" s="40"/>
    </row>
    <row r="5729" spans="1:2" x14ac:dyDescent="0.2">
      <c r="A5729" s="40"/>
      <c r="B5729" s="40"/>
    </row>
    <row r="5730" spans="1:2" x14ac:dyDescent="0.2">
      <c r="A5730" s="40"/>
      <c r="B5730" s="40"/>
    </row>
    <row r="5731" spans="1:2" x14ac:dyDescent="0.2">
      <c r="A5731" s="40"/>
      <c r="B5731" s="40"/>
    </row>
    <row r="5732" spans="1:2" x14ac:dyDescent="0.2">
      <c r="A5732" s="40"/>
      <c r="B5732" s="40"/>
    </row>
    <row r="5733" spans="1:2" x14ac:dyDescent="0.2">
      <c r="A5733" s="40"/>
      <c r="B5733" s="40"/>
    </row>
    <row r="5734" spans="1:2" x14ac:dyDescent="0.2">
      <c r="A5734" s="40"/>
      <c r="B5734" s="40"/>
    </row>
    <row r="5735" spans="1:2" x14ac:dyDescent="0.2">
      <c r="A5735" s="40"/>
      <c r="B5735" s="40"/>
    </row>
    <row r="5736" spans="1:2" x14ac:dyDescent="0.2">
      <c r="A5736" s="40"/>
      <c r="B5736" s="40"/>
    </row>
    <row r="5737" spans="1:2" x14ac:dyDescent="0.2">
      <c r="A5737" s="40"/>
      <c r="B5737" s="40"/>
    </row>
    <row r="5738" spans="1:2" x14ac:dyDescent="0.2">
      <c r="A5738" s="40"/>
      <c r="B5738" s="40"/>
    </row>
    <row r="5739" spans="1:2" x14ac:dyDescent="0.2">
      <c r="A5739" s="40"/>
      <c r="B5739" s="40"/>
    </row>
    <row r="5740" spans="1:2" x14ac:dyDescent="0.2">
      <c r="A5740" s="40"/>
      <c r="B5740" s="40"/>
    </row>
    <row r="5741" spans="1:2" x14ac:dyDescent="0.2">
      <c r="A5741" s="40"/>
      <c r="B5741" s="40"/>
    </row>
    <row r="5742" spans="1:2" x14ac:dyDescent="0.2">
      <c r="A5742" s="40"/>
      <c r="B5742" s="40"/>
    </row>
    <row r="5743" spans="1:2" x14ac:dyDescent="0.2">
      <c r="A5743" s="40"/>
      <c r="B5743" s="40"/>
    </row>
    <row r="5744" spans="1:2" x14ac:dyDescent="0.2">
      <c r="A5744" s="40"/>
      <c r="B5744" s="40"/>
    </row>
    <row r="5745" spans="1:2" x14ac:dyDescent="0.2">
      <c r="A5745" s="40"/>
      <c r="B5745" s="40"/>
    </row>
    <row r="5746" spans="1:2" x14ac:dyDescent="0.2">
      <c r="A5746" s="40"/>
      <c r="B5746" s="40"/>
    </row>
    <row r="5747" spans="1:2" x14ac:dyDescent="0.2">
      <c r="A5747" s="40"/>
      <c r="B5747" s="40"/>
    </row>
    <row r="5748" spans="1:2" x14ac:dyDescent="0.2">
      <c r="A5748" s="40"/>
      <c r="B5748" s="40"/>
    </row>
    <row r="5749" spans="1:2" x14ac:dyDescent="0.2">
      <c r="A5749" s="40"/>
      <c r="B5749" s="40"/>
    </row>
    <row r="5750" spans="1:2" x14ac:dyDescent="0.2">
      <c r="A5750" s="40"/>
      <c r="B5750" s="40"/>
    </row>
    <row r="5751" spans="1:2" x14ac:dyDescent="0.2">
      <c r="A5751" s="40"/>
      <c r="B5751" s="40"/>
    </row>
    <row r="5752" spans="1:2" x14ac:dyDescent="0.2">
      <c r="A5752" s="40"/>
      <c r="B5752" s="40"/>
    </row>
    <row r="5753" spans="1:2" x14ac:dyDescent="0.2">
      <c r="A5753" s="40"/>
      <c r="B5753" s="40"/>
    </row>
    <row r="5754" spans="1:2" x14ac:dyDescent="0.2">
      <c r="A5754" s="40"/>
      <c r="B5754" s="40"/>
    </row>
    <row r="5755" spans="1:2" x14ac:dyDescent="0.2">
      <c r="A5755" s="40"/>
      <c r="B5755" s="40"/>
    </row>
    <row r="5756" spans="1:2" x14ac:dyDescent="0.2">
      <c r="A5756" s="40"/>
      <c r="B5756" s="40"/>
    </row>
    <row r="5757" spans="1:2" x14ac:dyDescent="0.2">
      <c r="A5757" s="40"/>
      <c r="B5757" s="40"/>
    </row>
    <row r="5758" spans="1:2" x14ac:dyDescent="0.2">
      <c r="A5758" s="40"/>
      <c r="B5758" s="40"/>
    </row>
    <row r="5759" spans="1:2" x14ac:dyDescent="0.2">
      <c r="A5759" s="40"/>
      <c r="B5759" s="40"/>
    </row>
    <row r="5760" spans="1:2" x14ac:dyDescent="0.2">
      <c r="A5760" s="40"/>
      <c r="B5760" s="40"/>
    </row>
    <row r="5761" spans="1:2" x14ac:dyDescent="0.2">
      <c r="A5761" s="40"/>
      <c r="B5761" s="40"/>
    </row>
    <row r="5762" spans="1:2" x14ac:dyDescent="0.2">
      <c r="A5762" s="40"/>
      <c r="B5762" s="40"/>
    </row>
    <row r="5763" spans="1:2" x14ac:dyDescent="0.2">
      <c r="A5763" s="40"/>
      <c r="B5763" s="40"/>
    </row>
    <row r="5764" spans="1:2" x14ac:dyDescent="0.2">
      <c r="A5764" s="40"/>
      <c r="B5764" s="40"/>
    </row>
    <row r="5765" spans="1:2" x14ac:dyDescent="0.2">
      <c r="A5765" s="40"/>
      <c r="B5765" s="40"/>
    </row>
    <row r="5766" spans="1:2" x14ac:dyDescent="0.2">
      <c r="A5766" s="40"/>
      <c r="B5766" s="40"/>
    </row>
    <row r="5767" spans="1:2" x14ac:dyDescent="0.2">
      <c r="A5767" s="40"/>
      <c r="B5767" s="40"/>
    </row>
    <row r="5768" spans="1:2" x14ac:dyDescent="0.2">
      <c r="A5768" s="40"/>
      <c r="B5768" s="40"/>
    </row>
    <row r="5769" spans="1:2" x14ac:dyDescent="0.2">
      <c r="A5769" s="40"/>
      <c r="B5769" s="40"/>
    </row>
    <row r="5770" spans="1:2" x14ac:dyDescent="0.2">
      <c r="A5770" s="40"/>
      <c r="B5770" s="40"/>
    </row>
    <row r="5771" spans="1:2" x14ac:dyDescent="0.2">
      <c r="A5771" s="40"/>
      <c r="B5771" s="40"/>
    </row>
    <row r="5772" spans="1:2" x14ac:dyDescent="0.2">
      <c r="A5772" s="40"/>
      <c r="B5772" s="40"/>
    </row>
    <row r="5773" spans="1:2" x14ac:dyDescent="0.2">
      <c r="A5773" s="40"/>
      <c r="B5773" s="40"/>
    </row>
    <row r="5774" spans="1:2" x14ac:dyDescent="0.2">
      <c r="A5774" s="40"/>
      <c r="B5774" s="40"/>
    </row>
    <row r="5775" spans="1:2" x14ac:dyDescent="0.2">
      <c r="A5775" s="40"/>
      <c r="B5775" s="40"/>
    </row>
    <row r="5776" spans="1:2" x14ac:dyDescent="0.2">
      <c r="A5776" s="40"/>
      <c r="B5776" s="40"/>
    </row>
    <row r="5777" spans="1:2" x14ac:dyDescent="0.2">
      <c r="A5777" s="40"/>
      <c r="B5777" s="40"/>
    </row>
    <row r="5778" spans="1:2" x14ac:dyDescent="0.2">
      <c r="A5778" s="40"/>
      <c r="B5778" s="40"/>
    </row>
    <row r="5779" spans="1:2" x14ac:dyDescent="0.2">
      <c r="A5779" s="40"/>
      <c r="B5779" s="40"/>
    </row>
    <row r="5780" spans="1:2" x14ac:dyDescent="0.2">
      <c r="A5780" s="40"/>
      <c r="B5780" s="40"/>
    </row>
    <row r="5781" spans="1:2" x14ac:dyDescent="0.2">
      <c r="A5781" s="40"/>
      <c r="B5781" s="40"/>
    </row>
    <row r="5782" spans="1:2" x14ac:dyDescent="0.2">
      <c r="A5782" s="40"/>
      <c r="B5782" s="40"/>
    </row>
    <row r="5783" spans="1:2" x14ac:dyDescent="0.2">
      <c r="A5783" s="40"/>
      <c r="B5783" s="40"/>
    </row>
    <row r="5784" spans="1:2" x14ac:dyDescent="0.2">
      <c r="A5784" s="40"/>
      <c r="B5784" s="40"/>
    </row>
    <row r="5785" spans="1:2" x14ac:dyDescent="0.2">
      <c r="A5785" s="40"/>
      <c r="B5785" s="40"/>
    </row>
    <row r="5786" spans="1:2" x14ac:dyDescent="0.2">
      <c r="A5786" s="40"/>
      <c r="B5786" s="40"/>
    </row>
    <row r="5787" spans="1:2" x14ac:dyDescent="0.2">
      <c r="A5787" s="40"/>
      <c r="B5787" s="40"/>
    </row>
    <row r="5788" spans="1:2" x14ac:dyDescent="0.2">
      <c r="A5788" s="40"/>
      <c r="B5788" s="40"/>
    </row>
    <row r="5789" spans="1:2" x14ac:dyDescent="0.2">
      <c r="A5789" s="40"/>
      <c r="B5789" s="40"/>
    </row>
    <row r="5790" spans="1:2" x14ac:dyDescent="0.2">
      <c r="A5790" s="40"/>
      <c r="B5790" s="40"/>
    </row>
    <row r="5791" spans="1:2" x14ac:dyDescent="0.2">
      <c r="A5791" s="40"/>
      <c r="B5791" s="40"/>
    </row>
    <row r="5792" spans="1:2" x14ac:dyDescent="0.2">
      <c r="A5792" s="40"/>
      <c r="B5792" s="40"/>
    </row>
    <row r="5793" spans="1:2" x14ac:dyDescent="0.2">
      <c r="A5793" s="40"/>
      <c r="B5793" s="40"/>
    </row>
    <row r="5794" spans="1:2" x14ac:dyDescent="0.2">
      <c r="A5794" s="40"/>
      <c r="B5794" s="40"/>
    </row>
    <row r="5795" spans="1:2" x14ac:dyDescent="0.2">
      <c r="A5795" s="40"/>
      <c r="B5795" s="40"/>
    </row>
    <row r="5796" spans="1:2" x14ac:dyDescent="0.2">
      <c r="A5796" s="40"/>
      <c r="B5796" s="40"/>
    </row>
    <row r="5797" spans="1:2" x14ac:dyDescent="0.2">
      <c r="A5797" s="40"/>
      <c r="B5797" s="40"/>
    </row>
    <row r="5798" spans="1:2" x14ac:dyDescent="0.2">
      <c r="A5798" s="40"/>
      <c r="B5798" s="40"/>
    </row>
    <row r="5799" spans="1:2" x14ac:dyDescent="0.2">
      <c r="A5799" s="40"/>
      <c r="B5799" s="40"/>
    </row>
    <row r="5800" spans="1:2" x14ac:dyDescent="0.2">
      <c r="A5800" s="40"/>
      <c r="B5800" s="40"/>
    </row>
    <row r="5801" spans="1:2" x14ac:dyDescent="0.2">
      <c r="A5801" s="40"/>
      <c r="B5801" s="40"/>
    </row>
    <row r="5802" spans="1:2" x14ac:dyDescent="0.2">
      <c r="A5802" s="40"/>
      <c r="B5802" s="40"/>
    </row>
    <row r="5803" spans="1:2" x14ac:dyDescent="0.2">
      <c r="A5803" s="40"/>
      <c r="B5803" s="40"/>
    </row>
    <row r="5804" spans="1:2" x14ac:dyDescent="0.2">
      <c r="A5804" s="40"/>
      <c r="B5804" s="40"/>
    </row>
    <row r="5805" spans="1:2" x14ac:dyDescent="0.2">
      <c r="A5805" s="40"/>
      <c r="B5805" s="40"/>
    </row>
    <row r="5806" spans="1:2" x14ac:dyDescent="0.2">
      <c r="A5806" s="40"/>
      <c r="B5806" s="40"/>
    </row>
    <row r="5807" spans="1:2" x14ac:dyDescent="0.2">
      <c r="A5807" s="40"/>
      <c r="B5807" s="40"/>
    </row>
    <row r="5808" spans="1:2" x14ac:dyDescent="0.2">
      <c r="A5808" s="40"/>
      <c r="B5808" s="40"/>
    </row>
    <row r="5809" spans="1:2" x14ac:dyDescent="0.2">
      <c r="A5809" s="40"/>
      <c r="B5809" s="40"/>
    </row>
    <row r="5810" spans="1:2" x14ac:dyDescent="0.2">
      <c r="A5810" s="40"/>
      <c r="B5810" s="40"/>
    </row>
    <row r="5811" spans="1:2" x14ac:dyDescent="0.2">
      <c r="A5811" s="40"/>
      <c r="B5811" s="40"/>
    </row>
    <row r="5812" spans="1:2" x14ac:dyDescent="0.2">
      <c r="A5812" s="40"/>
      <c r="B5812" s="40"/>
    </row>
    <row r="5813" spans="1:2" x14ac:dyDescent="0.2">
      <c r="A5813" s="40"/>
      <c r="B5813" s="40"/>
    </row>
    <row r="5814" spans="1:2" x14ac:dyDescent="0.2">
      <c r="A5814" s="40"/>
      <c r="B5814" s="40"/>
    </row>
    <row r="5815" spans="1:2" x14ac:dyDescent="0.2">
      <c r="A5815" s="40"/>
      <c r="B5815" s="40"/>
    </row>
    <row r="5816" spans="1:2" x14ac:dyDescent="0.2">
      <c r="A5816" s="40"/>
      <c r="B5816" s="40"/>
    </row>
    <row r="5817" spans="1:2" x14ac:dyDescent="0.2">
      <c r="A5817" s="40"/>
      <c r="B5817" s="40"/>
    </row>
    <row r="5818" spans="1:2" x14ac:dyDescent="0.2">
      <c r="A5818" s="40"/>
      <c r="B5818" s="40"/>
    </row>
    <row r="5819" spans="1:2" x14ac:dyDescent="0.2">
      <c r="A5819" s="40"/>
      <c r="B5819" s="40"/>
    </row>
    <row r="5820" spans="1:2" x14ac:dyDescent="0.2">
      <c r="A5820" s="40"/>
      <c r="B5820" s="40"/>
    </row>
    <row r="5821" spans="1:2" x14ac:dyDescent="0.2">
      <c r="A5821" s="40"/>
      <c r="B5821" s="40"/>
    </row>
    <row r="5822" spans="1:2" x14ac:dyDescent="0.2">
      <c r="A5822" s="40"/>
      <c r="B5822" s="40"/>
    </row>
    <row r="5823" spans="1:2" x14ac:dyDescent="0.2">
      <c r="A5823" s="40"/>
      <c r="B5823" s="40"/>
    </row>
    <row r="5824" spans="1:2" x14ac:dyDescent="0.2">
      <c r="A5824" s="40"/>
      <c r="B5824" s="40"/>
    </row>
    <row r="5825" spans="1:2" x14ac:dyDescent="0.2">
      <c r="A5825" s="40"/>
      <c r="B5825" s="40"/>
    </row>
    <row r="5826" spans="1:2" x14ac:dyDescent="0.2">
      <c r="A5826" s="40"/>
      <c r="B5826" s="40"/>
    </row>
    <row r="5827" spans="1:2" x14ac:dyDescent="0.2">
      <c r="A5827" s="40"/>
      <c r="B5827" s="40"/>
    </row>
    <row r="5828" spans="1:2" x14ac:dyDescent="0.2">
      <c r="A5828" s="40"/>
      <c r="B5828" s="40"/>
    </row>
    <row r="5829" spans="1:2" x14ac:dyDescent="0.2">
      <c r="A5829" s="40"/>
      <c r="B5829" s="40"/>
    </row>
    <row r="5830" spans="1:2" x14ac:dyDescent="0.2">
      <c r="A5830" s="40"/>
      <c r="B5830" s="40"/>
    </row>
    <row r="5831" spans="1:2" x14ac:dyDescent="0.2">
      <c r="A5831" s="40"/>
      <c r="B5831" s="40"/>
    </row>
    <row r="5832" spans="1:2" x14ac:dyDescent="0.2">
      <c r="A5832" s="40"/>
      <c r="B5832" s="40"/>
    </row>
    <row r="5833" spans="1:2" x14ac:dyDescent="0.2">
      <c r="A5833" s="40"/>
      <c r="B5833" s="40"/>
    </row>
    <row r="5834" spans="1:2" x14ac:dyDescent="0.2">
      <c r="A5834" s="40"/>
      <c r="B5834" s="40"/>
    </row>
    <row r="5835" spans="1:2" x14ac:dyDescent="0.2">
      <c r="A5835" s="40"/>
      <c r="B5835" s="40"/>
    </row>
    <row r="5836" spans="1:2" x14ac:dyDescent="0.2">
      <c r="A5836" s="40"/>
      <c r="B5836" s="40"/>
    </row>
    <row r="5837" spans="1:2" x14ac:dyDescent="0.2">
      <c r="A5837" s="40"/>
      <c r="B5837" s="40"/>
    </row>
    <row r="5838" spans="1:2" x14ac:dyDescent="0.2">
      <c r="A5838" s="40"/>
      <c r="B5838" s="40"/>
    </row>
    <row r="5839" spans="1:2" x14ac:dyDescent="0.2">
      <c r="A5839" s="40"/>
      <c r="B5839" s="40"/>
    </row>
    <row r="5840" spans="1:2" x14ac:dyDescent="0.2">
      <c r="A5840" s="40"/>
      <c r="B5840" s="40"/>
    </row>
    <row r="5841" spans="1:2" x14ac:dyDescent="0.2">
      <c r="A5841" s="40"/>
      <c r="B5841" s="40"/>
    </row>
    <row r="5842" spans="1:2" x14ac:dyDescent="0.2">
      <c r="A5842" s="40"/>
      <c r="B5842" s="40"/>
    </row>
    <row r="5843" spans="1:2" x14ac:dyDescent="0.2">
      <c r="A5843" s="40"/>
      <c r="B5843" s="40"/>
    </row>
    <row r="5844" spans="1:2" x14ac:dyDescent="0.2">
      <c r="A5844" s="40"/>
      <c r="B5844" s="40"/>
    </row>
    <row r="5845" spans="1:2" x14ac:dyDescent="0.2">
      <c r="A5845" s="40"/>
      <c r="B5845" s="40"/>
    </row>
    <row r="5846" spans="1:2" x14ac:dyDescent="0.2">
      <c r="A5846" s="40"/>
      <c r="B5846" s="40"/>
    </row>
    <row r="5847" spans="1:2" x14ac:dyDescent="0.2">
      <c r="A5847" s="40"/>
      <c r="B5847" s="40"/>
    </row>
    <row r="5848" spans="1:2" x14ac:dyDescent="0.2">
      <c r="A5848" s="40"/>
      <c r="B5848" s="40"/>
    </row>
    <row r="5849" spans="1:2" x14ac:dyDescent="0.2">
      <c r="A5849" s="40"/>
      <c r="B5849" s="40"/>
    </row>
    <row r="5850" spans="1:2" x14ac:dyDescent="0.2">
      <c r="A5850" s="40"/>
      <c r="B5850" s="40"/>
    </row>
    <row r="5851" spans="1:2" x14ac:dyDescent="0.2">
      <c r="A5851" s="40"/>
      <c r="B5851" s="40"/>
    </row>
    <row r="5852" spans="1:2" x14ac:dyDescent="0.2">
      <c r="A5852" s="40"/>
      <c r="B5852" s="40"/>
    </row>
    <row r="5853" spans="1:2" x14ac:dyDescent="0.2">
      <c r="A5853" s="40"/>
      <c r="B5853" s="40"/>
    </row>
    <row r="5854" spans="1:2" x14ac:dyDescent="0.2">
      <c r="A5854" s="40"/>
      <c r="B5854" s="40"/>
    </row>
    <row r="5855" spans="1:2" x14ac:dyDescent="0.2">
      <c r="A5855" s="40"/>
      <c r="B5855" s="40"/>
    </row>
    <row r="5856" spans="1:2" x14ac:dyDescent="0.2">
      <c r="A5856" s="40"/>
      <c r="B5856" s="40"/>
    </row>
    <row r="5857" spans="1:2" x14ac:dyDescent="0.2">
      <c r="A5857" s="40"/>
      <c r="B5857" s="40"/>
    </row>
    <row r="5858" spans="1:2" x14ac:dyDescent="0.2">
      <c r="A5858" s="40"/>
      <c r="B5858" s="40"/>
    </row>
    <row r="5859" spans="1:2" x14ac:dyDescent="0.2">
      <c r="A5859" s="40"/>
      <c r="B5859" s="40"/>
    </row>
    <row r="5860" spans="1:2" x14ac:dyDescent="0.2">
      <c r="A5860" s="40"/>
      <c r="B5860" s="40"/>
    </row>
    <row r="5861" spans="1:2" x14ac:dyDescent="0.2">
      <c r="A5861" s="40"/>
      <c r="B5861" s="40"/>
    </row>
    <row r="5862" spans="1:2" x14ac:dyDescent="0.2">
      <c r="A5862" s="40"/>
      <c r="B5862" s="40"/>
    </row>
    <row r="5863" spans="1:2" x14ac:dyDescent="0.2">
      <c r="A5863" s="40"/>
      <c r="B5863" s="40"/>
    </row>
    <row r="5864" spans="1:2" x14ac:dyDescent="0.2">
      <c r="A5864" s="40"/>
      <c r="B5864" s="40"/>
    </row>
    <row r="5865" spans="1:2" x14ac:dyDescent="0.2">
      <c r="A5865" s="40"/>
      <c r="B5865" s="40"/>
    </row>
    <row r="5866" spans="1:2" x14ac:dyDescent="0.2">
      <c r="A5866" s="40"/>
      <c r="B5866" s="40"/>
    </row>
    <row r="5867" spans="1:2" x14ac:dyDescent="0.2">
      <c r="A5867" s="40"/>
      <c r="B5867" s="40"/>
    </row>
    <row r="5868" spans="1:2" x14ac:dyDescent="0.2">
      <c r="A5868" s="40"/>
      <c r="B5868" s="40"/>
    </row>
    <row r="5869" spans="1:2" x14ac:dyDescent="0.2">
      <c r="A5869" s="40"/>
      <c r="B5869" s="40"/>
    </row>
    <row r="5870" spans="1:2" x14ac:dyDescent="0.2">
      <c r="A5870" s="40"/>
      <c r="B5870" s="40"/>
    </row>
    <row r="5871" spans="1:2" x14ac:dyDescent="0.2">
      <c r="A5871" s="40"/>
      <c r="B5871" s="40"/>
    </row>
    <row r="5872" spans="1:2" x14ac:dyDescent="0.2">
      <c r="A5872" s="40"/>
      <c r="B5872" s="40"/>
    </row>
    <row r="5873" spans="1:2" x14ac:dyDescent="0.2">
      <c r="A5873" s="40"/>
      <c r="B5873" s="40"/>
    </row>
    <row r="5874" spans="1:2" x14ac:dyDescent="0.2">
      <c r="A5874" s="40"/>
      <c r="B5874" s="40"/>
    </row>
    <row r="5875" spans="1:2" x14ac:dyDescent="0.2">
      <c r="A5875" s="40"/>
      <c r="B5875" s="40"/>
    </row>
    <row r="5876" spans="1:2" x14ac:dyDescent="0.2">
      <c r="A5876" s="40"/>
      <c r="B5876" s="40"/>
    </row>
    <row r="5877" spans="1:2" x14ac:dyDescent="0.2">
      <c r="A5877" s="40"/>
      <c r="B5877" s="40"/>
    </row>
    <row r="5878" spans="1:2" x14ac:dyDescent="0.2">
      <c r="A5878" s="40"/>
      <c r="B5878" s="40"/>
    </row>
    <row r="5879" spans="1:2" x14ac:dyDescent="0.2">
      <c r="A5879" s="40"/>
      <c r="B5879" s="40"/>
    </row>
    <row r="5880" spans="1:2" x14ac:dyDescent="0.2">
      <c r="A5880" s="40"/>
      <c r="B5880" s="40"/>
    </row>
    <row r="5881" spans="1:2" x14ac:dyDescent="0.2">
      <c r="A5881" s="40"/>
      <c r="B5881" s="40"/>
    </row>
    <row r="5882" spans="1:2" x14ac:dyDescent="0.2">
      <c r="A5882" s="40"/>
      <c r="B5882" s="40"/>
    </row>
    <row r="5883" spans="1:2" x14ac:dyDescent="0.2">
      <c r="A5883" s="40"/>
      <c r="B5883" s="40"/>
    </row>
    <row r="5884" spans="1:2" x14ac:dyDescent="0.2">
      <c r="A5884" s="40"/>
      <c r="B5884" s="40"/>
    </row>
    <row r="5885" spans="1:2" x14ac:dyDescent="0.2">
      <c r="A5885" s="40"/>
      <c r="B5885" s="40"/>
    </row>
    <row r="5886" spans="1:2" x14ac:dyDescent="0.2">
      <c r="A5886" s="40"/>
      <c r="B5886" s="40"/>
    </row>
    <row r="5887" spans="1:2" x14ac:dyDescent="0.2">
      <c r="A5887" s="40"/>
      <c r="B5887" s="40"/>
    </row>
    <row r="5888" spans="1:2" x14ac:dyDescent="0.2">
      <c r="A5888" s="40"/>
      <c r="B5888" s="40"/>
    </row>
    <row r="5889" spans="1:2" x14ac:dyDescent="0.2">
      <c r="A5889" s="40"/>
      <c r="B5889" s="40"/>
    </row>
    <row r="5890" spans="1:2" x14ac:dyDescent="0.2">
      <c r="A5890" s="40"/>
      <c r="B5890" s="40"/>
    </row>
    <row r="5891" spans="1:2" x14ac:dyDescent="0.2">
      <c r="A5891" s="40"/>
      <c r="B5891" s="40"/>
    </row>
    <row r="5892" spans="1:2" x14ac:dyDescent="0.2">
      <c r="A5892" s="40"/>
      <c r="B5892" s="40"/>
    </row>
    <row r="5893" spans="1:2" x14ac:dyDescent="0.2">
      <c r="A5893" s="40"/>
      <c r="B5893" s="40"/>
    </row>
    <row r="5894" spans="1:2" x14ac:dyDescent="0.2">
      <c r="A5894" s="40"/>
      <c r="B5894" s="40"/>
    </row>
    <row r="5895" spans="1:2" x14ac:dyDescent="0.2">
      <c r="A5895" s="40"/>
      <c r="B5895" s="40"/>
    </row>
    <row r="5896" spans="1:2" x14ac:dyDescent="0.2">
      <c r="A5896" s="40"/>
      <c r="B5896" s="40"/>
    </row>
    <row r="5897" spans="1:2" x14ac:dyDescent="0.2">
      <c r="A5897" s="40"/>
      <c r="B5897" s="40"/>
    </row>
    <row r="5898" spans="1:2" x14ac:dyDescent="0.2">
      <c r="A5898" s="40"/>
      <c r="B5898" s="40"/>
    </row>
    <row r="5899" spans="1:2" x14ac:dyDescent="0.2">
      <c r="A5899" s="40"/>
      <c r="B5899" s="40"/>
    </row>
    <row r="5900" spans="1:2" x14ac:dyDescent="0.2">
      <c r="A5900" s="40"/>
      <c r="B5900" s="40"/>
    </row>
    <row r="5901" spans="1:2" x14ac:dyDescent="0.2">
      <c r="A5901" s="40"/>
      <c r="B5901" s="40"/>
    </row>
    <row r="5902" spans="1:2" x14ac:dyDescent="0.2">
      <c r="A5902" s="40"/>
      <c r="B5902" s="40"/>
    </row>
    <row r="5903" spans="1:2" x14ac:dyDescent="0.2">
      <c r="A5903" s="40"/>
      <c r="B5903" s="40"/>
    </row>
    <row r="5904" spans="1:2" x14ac:dyDescent="0.2">
      <c r="A5904" s="40"/>
      <c r="B5904" s="40"/>
    </row>
    <row r="5905" spans="1:2" x14ac:dyDescent="0.2">
      <c r="A5905" s="40"/>
      <c r="B5905" s="40"/>
    </row>
    <row r="5906" spans="1:2" x14ac:dyDescent="0.2">
      <c r="A5906" s="40"/>
      <c r="B5906" s="40"/>
    </row>
    <row r="5907" spans="1:2" x14ac:dyDescent="0.2">
      <c r="A5907" s="40"/>
      <c r="B5907" s="40"/>
    </row>
    <row r="5908" spans="1:2" x14ac:dyDescent="0.2">
      <c r="A5908" s="40"/>
      <c r="B5908" s="40"/>
    </row>
    <row r="5909" spans="1:2" x14ac:dyDescent="0.2">
      <c r="A5909" s="40"/>
      <c r="B5909" s="40"/>
    </row>
    <row r="5910" spans="1:2" x14ac:dyDescent="0.2">
      <c r="A5910" s="40"/>
      <c r="B5910" s="40"/>
    </row>
    <row r="5911" spans="1:2" x14ac:dyDescent="0.2">
      <c r="A5911" s="40"/>
      <c r="B5911" s="40"/>
    </row>
    <row r="5912" spans="1:2" x14ac:dyDescent="0.2">
      <c r="A5912" s="40"/>
      <c r="B5912" s="40"/>
    </row>
    <row r="5913" spans="1:2" x14ac:dyDescent="0.2">
      <c r="A5913" s="40"/>
      <c r="B5913" s="40"/>
    </row>
    <row r="5914" spans="1:2" x14ac:dyDescent="0.2">
      <c r="A5914" s="40"/>
      <c r="B5914" s="40"/>
    </row>
    <row r="5915" spans="1:2" x14ac:dyDescent="0.2">
      <c r="A5915" s="40"/>
      <c r="B5915" s="40"/>
    </row>
    <row r="5916" spans="1:2" x14ac:dyDescent="0.2">
      <c r="A5916" s="40"/>
      <c r="B5916" s="40"/>
    </row>
    <row r="5917" spans="1:2" x14ac:dyDescent="0.2">
      <c r="A5917" s="40"/>
      <c r="B5917" s="40"/>
    </row>
    <row r="5918" spans="1:2" x14ac:dyDescent="0.2">
      <c r="A5918" s="40"/>
      <c r="B5918" s="40"/>
    </row>
    <row r="5919" spans="1:2" x14ac:dyDescent="0.2">
      <c r="A5919" s="40"/>
      <c r="B5919" s="40"/>
    </row>
    <row r="5920" spans="1:2" x14ac:dyDescent="0.2">
      <c r="A5920" s="40"/>
      <c r="B5920" s="40"/>
    </row>
    <row r="5921" spans="1:2" x14ac:dyDescent="0.2">
      <c r="A5921" s="40"/>
      <c r="B5921" s="40"/>
    </row>
    <row r="5922" spans="1:2" x14ac:dyDescent="0.2">
      <c r="A5922" s="40"/>
      <c r="B5922" s="40"/>
    </row>
    <row r="5923" spans="1:2" x14ac:dyDescent="0.2">
      <c r="A5923" s="40"/>
      <c r="B5923" s="40"/>
    </row>
    <row r="5924" spans="1:2" x14ac:dyDescent="0.2">
      <c r="A5924" s="40"/>
      <c r="B5924" s="40"/>
    </row>
    <row r="5925" spans="1:2" x14ac:dyDescent="0.2">
      <c r="A5925" s="40"/>
      <c r="B5925" s="40"/>
    </row>
    <row r="5926" spans="1:2" x14ac:dyDescent="0.2">
      <c r="A5926" s="40"/>
      <c r="B5926" s="40"/>
    </row>
    <row r="5927" spans="1:2" x14ac:dyDescent="0.2">
      <c r="A5927" s="40"/>
      <c r="B5927" s="40"/>
    </row>
    <row r="5928" spans="1:2" x14ac:dyDescent="0.2">
      <c r="A5928" s="40"/>
      <c r="B5928" s="40"/>
    </row>
    <row r="5929" spans="1:2" x14ac:dyDescent="0.2">
      <c r="A5929" s="40"/>
      <c r="B5929" s="40"/>
    </row>
    <row r="5930" spans="1:2" x14ac:dyDescent="0.2">
      <c r="A5930" s="40"/>
      <c r="B5930" s="40"/>
    </row>
    <row r="5931" spans="1:2" x14ac:dyDescent="0.2">
      <c r="A5931" s="40"/>
      <c r="B5931" s="40"/>
    </row>
    <row r="5932" spans="1:2" x14ac:dyDescent="0.2">
      <c r="A5932" s="40"/>
      <c r="B5932" s="40"/>
    </row>
    <row r="5933" spans="1:2" x14ac:dyDescent="0.2">
      <c r="A5933" s="40"/>
      <c r="B5933" s="40"/>
    </row>
    <row r="5934" spans="1:2" x14ac:dyDescent="0.2">
      <c r="A5934" s="40"/>
      <c r="B5934" s="40"/>
    </row>
    <row r="5935" spans="1:2" x14ac:dyDescent="0.2">
      <c r="A5935" s="40"/>
      <c r="B5935" s="40"/>
    </row>
    <row r="5936" spans="1:2" x14ac:dyDescent="0.2">
      <c r="A5936" s="40"/>
      <c r="B5936" s="40"/>
    </row>
    <row r="5937" spans="1:2" x14ac:dyDescent="0.2">
      <c r="A5937" s="40"/>
      <c r="B5937" s="40"/>
    </row>
    <row r="5938" spans="1:2" x14ac:dyDescent="0.2">
      <c r="A5938" s="40"/>
      <c r="B5938" s="40"/>
    </row>
    <row r="5939" spans="1:2" x14ac:dyDescent="0.2">
      <c r="A5939" s="40"/>
      <c r="B5939" s="40"/>
    </row>
    <row r="5940" spans="1:2" x14ac:dyDescent="0.2">
      <c r="A5940" s="40"/>
      <c r="B5940" s="40"/>
    </row>
    <row r="5941" spans="1:2" x14ac:dyDescent="0.2">
      <c r="A5941" s="40"/>
      <c r="B5941" s="40"/>
    </row>
    <row r="5942" spans="1:2" x14ac:dyDescent="0.2">
      <c r="A5942" s="40"/>
      <c r="B5942" s="40"/>
    </row>
    <row r="5943" spans="1:2" x14ac:dyDescent="0.2">
      <c r="A5943" s="40"/>
      <c r="B5943" s="40"/>
    </row>
    <row r="5944" spans="1:2" x14ac:dyDescent="0.2">
      <c r="A5944" s="40"/>
      <c r="B5944" s="40"/>
    </row>
    <row r="5945" spans="1:2" x14ac:dyDescent="0.2">
      <c r="A5945" s="40"/>
      <c r="B5945" s="40"/>
    </row>
    <row r="5946" spans="1:2" x14ac:dyDescent="0.2">
      <c r="A5946" s="40"/>
      <c r="B5946" s="40"/>
    </row>
    <row r="5947" spans="1:2" x14ac:dyDescent="0.2">
      <c r="A5947" s="40"/>
      <c r="B5947" s="40"/>
    </row>
    <row r="5948" spans="1:2" x14ac:dyDescent="0.2">
      <c r="A5948" s="40"/>
      <c r="B5948" s="40"/>
    </row>
    <row r="5949" spans="1:2" x14ac:dyDescent="0.2">
      <c r="A5949" s="40"/>
      <c r="B5949" s="40"/>
    </row>
    <row r="5950" spans="1:2" x14ac:dyDescent="0.2">
      <c r="A5950" s="40"/>
      <c r="B5950" s="40"/>
    </row>
    <row r="5951" spans="1:2" x14ac:dyDescent="0.2">
      <c r="A5951" s="40"/>
      <c r="B5951" s="40"/>
    </row>
    <row r="5952" spans="1:2" x14ac:dyDescent="0.2">
      <c r="A5952" s="40"/>
      <c r="B5952" s="40"/>
    </row>
    <row r="5953" spans="1:2" x14ac:dyDescent="0.2">
      <c r="A5953" s="40"/>
      <c r="B5953" s="40"/>
    </row>
    <row r="5954" spans="1:2" x14ac:dyDescent="0.2">
      <c r="A5954" s="40"/>
      <c r="B5954" s="40"/>
    </row>
    <row r="5955" spans="1:2" x14ac:dyDescent="0.2">
      <c r="A5955" s="40"/>
      <c r="B5955" s="40"/>
    </row>
    <row r="5956" spans="1:2" x14ac:dyDescent="0.2">
      <c r="A5956" s="40"/>
      <c r="B5956" s="40"/>
    </row>
    <row r="5957" spans="1:2" x14ac:dyDescent="0.2">
      <c r="A5957" s="40"/>
      <c r="B5957" s="40"/>
    </row>
    <row r="5958" spans="1:2" x14ac:dyDescent="0.2">
      <c r="A5958" s="40"/>
      <c r="B5958" s="40"/>
    </row>
    <row r="5959" spans="1:2" x14ac:dyDescent="0.2">
      <c r="A5959" s="40"/>
      <c r="B5959" s="40"/>
    </row>
    <row r="5960" spans="1:2" x14ac:dyDescent="0.2">
      <c r="A5960" s="40"/>
      <c r="B5960" s="40"/>
    </row>
    <row r="5961" spans="1:2" x14ac:dyDescent="0.2">
      <c r="A5961" s="40"/>
      <c r="B5961" s="40"/>
    </row>
    <row r="5962" spans="1:2" x14ac:dyDescent="0.2">
      <c r="A5962" s="40"/>
      <c r="B5962" s="40"/>
    </row>
    <row r="5963" spans="1:2" x14ac:dyDescent="0.2">
      <c r="A5963" s="40"/>
      <c r="B5963" s="40"/>
    </row>
    <row r="5964" spans="1:2" x14ac:dyDescent="0.2">
      <c r="A5964" s="40"/>
      <c r="B5964" s="40"/>
    </row>
    <row r="5965" spans="1:2" x14ac:dyDescent="0.2">
      <c r="A5965" s="40"/>
      <c r="B5965" s="40"/>
    </row>
    <row r="5966" spans="1:2" x14ac:dyDescent="0.2">
      <c r="A5966" s="40"/>
      <c r="B5966" s="40"/>
    </row>
    <row r="5967" spans="1:2" x14ac:dyDescent="0.2">
      <c r="A5967" s="40"/>
      <c r="B5967" s="40"/>
    </row>
    <row r="5968" spans="1:2" x14ac:dyDescent="0.2">
      <c r="A5968" s="40"/>
      <c r="B5968" s="40"/>
    </row>
    <row r="5969" spans="1:2" x14ac:dyDescent="0.2">
      <c r="A5969" s="40"/>
      <c r="B5969" s="40"/>
    </row>
    <row r="5970" spans="1:2" x14ac:dyDescent="0.2">
      <c r="A5970" s="40"/>
      <c r="B5970" s="40"/>
    </row>
    <row r="5971" spans="1:2" x14ac:dyDescent="0.2">
      <c r="A5971" s="40"/>
      <c r="B5971" s="40"/>
    </row>
    <row r="5972" spans="1:2" x14ac:dyDescent="0.2">
      <c r="A5972" s="40"/>
      <c r="B5972" s="40"/>
    </row>
    <row r="5973" spans="1:2" x14ac:dyDescent="0.2">
      <c r="A5973" s="40"/>
      <c r="B5973" s="40"/>
    </row>
    <row r="5974" spans="1:2" x14ac:dyDescent="0.2">
      <c r="A5974" s="40"/>
      <c r="B5974" s="40"/>
    </row>
    <row r="5975" spans="1:2" x14ac:dyDescent="0.2">
      <c r="A5975" s="40"/>
      <c r="B5975" s="40"/>
    </row>
    <row r="5976" spans="1:2" x14ac:dyDescent="0.2">
      <c r="A5976" s="40"/>
      <c r="B5976" s="40"/>
    </row>
    <row r="5977" spans="1:2" x14ac:dyDescent="0.2">
      <c r="A5977" s="40"/>
      <c r="B5977" s="40"/>
    </row>
    <row r="5978" spans="1:2" x14ac:dyDescent="0.2">
      <c r="A5978" s="40"/>
      <c r="B5978" s="40"/>
    </row>
    <row r="5979" spans="1:2" x14ac:dyDescent="0.2">
      <c r="A5979" s="40"/>
      <c r="B5979" s="40"/>
    </row>
    <row r="5980" spans="1:2" x14ac:dyDescent="0.2">
      <c r="A5980" s="40"/>
      <c r="B5980" s="40"/>
    </row>
    <row r="5981" spans="1:2" x14ac:dyDescent="0.2">
      <c r="A5981" s="40"/>
      <c r="B5981" s="40"/>
    </row>
    <row r="5982" spans="1:2" x14ac:dyDescent="0.2">
      <c r="A5982" s="40"/>
      <c r="B5982" s="40"/>
    </row>
    <row r="5983" spans="1:2" x14ac:dyDescent="0.2">
      <c r="A5983" s="40"/>
      <c r="B5983" s="40"/>
    </row>
    <row r="5984" spans="1:2" x14ac:dyDescent="0.2">
      <c r="A5984" s="40"/>
      <c r="B5984" s="40"/>
    </row>
    <row r="5985" spans="1:2" x14ac:dyDescent="0.2">
      <c r="A5985" s="40"/>
      <c r="B5985" s="40"/>
    </row>
    <row r="5986" spans="1:2" x14ac:dyDescent="0.2">
      <c r="A5986" s="40"/>
      <c r="B5986" s="40"/>
    </row>
    <row r="5987" spans="1:2" x14ac:dyDescent="0.2">
      <c r="A5987" s="40"/>
      <c r="B5987" s="40"/>
    </row>
    <row r="5988" spans="1:2" x14ac:dyDescent="0.2">
      <c r="A5988" s="40"/>
      <c r="B5988" s="40"/>
    </row>
    <row r="5989" spans="1:2" x14ac:dyDescent="0.2">
      <c r="A5989" s="40"/>
      <c r="B5989" s="40"/>
    </row>
    <row r="5990" spans="1:2" x14ac:dyDescent="0.2">
      <c r="A5990" s="40"/>
      <c r="B5990" s="40"/>
    </row>
    <row r="5991" spans="1:2" x14ac:dyDescent="0.2">
      <c r="A5991" s="40"/>
      <c r="B5991" s="40"/>
    </row>
    <row r="5992" spans="1:2" x14ac:dyDescent="0.2">
      <c r="A5992" s="40"/>
      <c r="B5992" s="40"/>
    </row>
    <row r="5993" spans="1:2" x14ac:dyDescent="0.2">
      <c r="A5993" s="40"/>
      <c r="B5993" s="40"/>
    </row>
    <row r="5994" spans="1:2" x14ac:dyDescent="0.2">
      <c r="A5994" s="40"/>
      <c r="B5994" s="40"/>
    </row>
    <row r="5995" spans="1:2" x14ac:dyDescent="0.2">
      <c r="A5995" s="40"/>
      <c r="B5995" s="40"/>
    </row>
    <row r="5996" spans="1:2" x14ac:dyDescent="0.2">
      <c r="A5996" s="40"/>
      <c r="B5996" s="40"/>
    </row>
    <row r="5997" spans="1:2" x14ac:dyDescent="0.2">
      <c r="A5997" s="40"/>
      <c r="B5997" s="40"/>
    </row>
    <row r="5998" spans="1:2" x14ac:dyDescent="0.2">
      <c r="A5998" s="40"/>
      <c r="B5998" s="40"/>
    </row>
    <row r="5999" spans="1:2" x14ac:dyDescent="0.2">
      <c r="A5999" s="40"/>
      <c r="B5999" s="40"/>
    </row>
    <row r="6000" spans="1:2" x14ac:dyDescent="0.2">
      <c r="A6000" s="40"/>
      <c r="B6000" s="40"/>
    </row>
    <row r="6001" spans="1:2" x14ac:dyDescent="0.2">
      <c r="A6001" s="40"/>
      <c r="B6001" s="40"/>
    </row>
    <row r="6002" spans="1:2" x14ac:dyDescent="0.2">
      <c r="A6002" s="40"/>
      <c r="B6002" s="40"/>
    </row>
    <row r="6003" spans="1:2" x14ac:dyDescent="0.2">
      <c r="A6003" s="40"/>
      <c r="B6003" s="40"/>
    </row>
    <row r="6004" spans="1:2" x14ac:dyDescent="0.2">
      <c r="A6004" s="40"/>
      <c r="B6004" s="40"/>
    </row>
    <row r="6005" spans="1:2" x14ac:dyDescent="0.2">
      <c r="A6005" s="40"/>
      <c r="B6005" s="40"/>
    </row>
    <row r="6006" spans="1:2" x14ac:dyDescent="0.2">
      <c r="A6006" s="40"/>
      <c r="B6006" s="40"/>
    </row>
    <row r="6007" spans="1:2" x14ac:dyDescent="0.2">
      <c r="A6007" s="40"/>
      <c r="B6007" s="40"/>
    </row>
    <row r="6008" spans="1:2" x14ac:dyDescent="0.2">
      <c r="A6008" s="40"/>
      <c r="B6008" s="40"/>
    </row>
    <row r="6009" spans="1:2" x14ac:dyDescent="0.2">
      <c r="A6009" s="40"/>
      <c r="B6009" s="40"/>
    </row>
    <row r="6010" spans="1:2" x14ac:dyDescent="0.2">
      <c r="A6010" s="40"/>
      <c r="B6010" s="40"/>
    </row>
    <row r="6011" spans="1:2" x14ac:dyDescent="0.2">
      <c r="A6011" s="40"/>
      <c r="B6011" s="40"/>
    </row>
    <row r="6012" spans="1:2" x14ac:dyDescent="0.2">
      <c r="A6012" s="40"/>
      <c r="B6012" s="40"/>
    </row>
    <row r="6013" spans="1:2" x14ac:dyDescent="0.2">
      <c r="A6013" s="40"/>
      <c r="B6013" s="40"/>
    </row>
    <row r="6014" spans="1:2" x14ac:dyDescent="0.2">
      <c r="A6014" s="40"/>
      <c r="B6014" s="40"/>
    </row>
    <row r="6015" spans="1:2" x14ac:dyDescent="0.2">
      <c r="A6015" s="40"/>
      <c r="B6015" s="40"/>
    </row>
    <row r="6016" spans="1:2" x14ac:dyDescent="0.2">
      <c r="A6016" s="40"/>
      <c r="B6016" s="40"/>
    </row>
    <row r="6017" spans="1:2" x14ac:dyDescent="0.2">
      <c r="A6017" s="40"/>
      <c r="B6017" s="40"/>
    </row>
    <row r="6018" spans="1:2" x14ac:dyDescent="0.2">
      <c r="A6018" s="40"/>
      <c r="B6018" s="40"/>
    </row>
    <row r="6019" spans="1:2" x14ac:dyDescent="0.2">
      <c r="A6019" s="40"/>
      <c r="B6019" s="40"/>
    </row>
    <row r="6020" spans="1:2" x14ac:dyDescent="0.2">
      <c r="A6020" s="40"/>
      <c r="B6020" s="40"/>
    </row>
    <row r="6021" spans="1:2" x14ac:dyDescent="0.2">
      <c r="A6021" s="40"/>
      <c r="B6021" s="40"/>
    </row>
    <row r="6022" spans="1:2" x14ac:dyDescent="0.2">
      <c r="A6022" s="40"/>
      <c r="B6022" s="40"/>
    </row>
    <row r="6023" spans="1:2" x14ac:dyDescent="0.2">
      <c r="A6023" s="40"/>
      <c r="B6023" s="40"/>
    </row>
    <row r="6024" spans="1:2" x14ac:dyDescent="0.2">
      <c r="A6024" s="40"/>
      <c r="B6024" s="40"/>
    </row>
    <row r="6025" spans="1:2" x14ac:dyDescent="0.2">
      <c r="A6025" s="40"/>
      <c r="B6025" s="40"/>
    </row>
    <row r="6026" spans="1:2" x14ac:dyDescent="0.2">
      <c r="A6026" s="40"/>
      <c r="B6026" s="40"/>
    </row>
    <row r="6027" spans="1:2" x14ac:dyDescent="0.2">
      <c r="A6027" s="40"/>
      <c r="B6027" s="40"/>
    </row>
    <row r="6028" spans="1:2" x14ac:dyDescent="0.2">
      <c r="A6028" s="40"/>
      <c r="B6028" s="40"/>
    </row>
    <row r="6029" spans="1:2" x14ac:dyDescent="0.2">
      <c r="A6029" s="40"/>
      <c r="B6029" s="40"/>
    </row>
    <row r="6030" spans="1:2" x14ac:dyDescent="0.2">
      <c r="A6030" s="40"/>
      <c r="B6030" s="40"/>
    </row>
    <row r="6031" spans="1:2" x14ac:dyDescent="0.2">
      <c r="A6031" s="40"/>
      <c r="B6031" s="40"/>
    </row>
    <row r="6032" spans="1:2" x14ac:dyDescent="0.2">
      <c r="A6032" s="40"/>
      <c r="B6032" s="40"/>
    </row>
    <row r="6033" spans="1:2" x14ac:dyDescent="0.2">
      <c r="A6033" s="40"/>
      <c r="B6033" s="40"/>
    </row>
    <row r="6034" spans="1:2" x14ac:dyDescent="0.2">
      <c r="A6034" s="40"/>
      <c r="B6034" s="40"/>
    </row>
    <row r="6035" spans="1:2" x14ac:dyDescent="0.2">
      <c r="A6035" s="40"/>
      <c r="B6035" s="40"/>
    </row>
    <row r="6036" spans="1:2" x14ac:dyDescent="0.2">
      <c r="A6036" s="40"/>
      <c r="B6036" s="40"/>
    </row>
    <row r="6037" spans="1:2" x14ac:dyDescent="0.2">
      <c r="A6037" s="40"/>
      <c r="B6037" s="40"/>
    </row>
    <row r="6038" spans="1:2" x14ac:dyDescent="0.2">
      <c r="A6038" s="40"/>
      <c r="B6038" s="40"/>
    </row>
    <row r="6039" spans="1:2" x14ac:dyDescent="0.2">
      <c r="A6039" s="40"/>
      <c r="B6039" s="40"/>
    </row>
    <row r="6040" spans="1:2" x14ac:dyDescent="0.2">
      <c r="A6040" s="40"/>
      <c r="B6040" s="40"/>
    </row>
    <row r="6041" spans="1:2" x14ac:dyDescent="0.2">
      <c r="A6041" s="40"/>
      <c r="B6041" s="40"/>
    </row>
    <row r="6042" spans="1:2" x14ac:dyDescent="0.2">
      <c r="A6042" s="40"/>
      <c r="B6042" s="40"/>
    </row>
    <row r="6043" spans="1:2" x14ac:dyDescent="0.2">
      <c r="A6043" s="40"/>
      <c r="B6043" s="40"/>
    </row>
    <row r="6044" spans="1:2" x14ac:dyDescent="0.2">
      <c r="A6044" s="40"/>
      <c r="B6044" s="40"/>
    </row>
    <row r="6045" spans="1:2" x14ac:dyDescent="0.2">
      <c r="A6045" s="40"/>
      <c r="B6045" s="40"/>
    </row>
    <row r="6046" spans="1:2" x14ac:dyDescent="0.2">
      <c r="A6046" s="40"/>
      <c r="B6046" s="40"/>
    </row>
    <row r="6047" spans="1:2" x14ac:dyDescent="0.2">
      <c r="A6047" s="40"/>
      <c r="B6047" s="40"/>
    </row>
    <row r="6048" spans="1:2" x14ac:dyDescent="0.2">
      <c r="A6048" s="40"/>
      <c r="B6048" s="40"/>
    </row>
    <row r="6049" spans="1:2" x14ac:dyDescent="0.2">
      <c r="A6049" s="40"/>
      <c r="B6049" s="40"/>
    </row>
    <row r="6050" spans="1:2" x14ac:dyDescent="0.2">
      <c r="A6050" s="40"/>
      <c r="B6050" s="40"/>
    </row>
    <row r="6051" spans="1:2" x14ac:dyDescent="0.2">
      <c r="A6051" s="40"/>
      <c r="B6051" s="40"/>
    </row>
    <row r="6052" spans="1:2" x14ac:dyDescent="0.2">
      <c r="A6052" s="40"/>
      <c r="B6052" s="40"/>
    </row>
    <row r="6053" spans="1:2" x14ac:dyDescent="0.2">
      <c r="A6053" s="40"/>
      <c r="B6053" s="40"/>
    </row>
    <row r="6054" spans="1:2" x14ac:dyDescent="0.2">
      <c r="A6054" s="40"/>
      <c r="B6054" s="40"/>
    </row>
    <row r="6055" spans="1:2" x14ac:dyDescent="0.2">
      <c r="A6055" s="40"/>
      <c r="B6055" s="40"/>
    </row>
    <row r="6056" spans="1:2" x14ac:dyDescent="0.2">
      <c r="A6056" s="40"/>
      <c r="B6056" s="40"/>
    </row>
    <row r="6057" spans="1:2" x14ac:dyDescent="0.2">
      <c r="A6057" s="40"/>
      <c r="B6057" s="40"/>
    </row>
    <row r="6058" spans="1:2" x14ac:dyDescent="0.2">
      <c r="A6058" s="40"/>
      <c r="B6058" s="40"/>
    </row>
    <row r="6059" spans="1:2" x14ac:dyDescent="0.2">
      <c r="A6059" s="40"/>
      <c r="B6059" s="40"/>
    </row>
    <row r="6060" spans="1:2" x14ac:dyDescent="0.2">
      <c r="A6060" s="40"/>
      <c r="B6060" s="40"/>
    </row>
    <row r="6061" spans="1:2" x14ac:dyDescent="0.2">
      <c r="A6061" s="40"/>
      <c r="B6061" s="40"/>
    </row>
    <row r="6062" spans="1:2" x14ac:dyDescent="0.2">
      <c r="A6062" s="40"/>
      <c r="B6062" s="40"/>
    </row>
    <row r="6063" spans="1:2" x14ac:dyDescent="0.2">
      <c r="A6063" s="40"/>
      <c r="B6063" s="40"/>
    </row>
    <row r="6064" spans="1:2" x14ac:dyDescent="0.2">
      <c r="A6064" s="40"/>
      <c r="B6064" s="40"/>
    </row>
    <row r="6065" spans="1:2" x14ac:dyDescent="0.2">
      <c r="A6065" s="40"/>
      <c r="B6065" s="40"/>
    </row>
    <row r="6066" spans="1:2" x14ac:dyDescent="0.2">
      <c r="A6066" s="40"/>
      <c r="B6066" s="40"/>
    </row>
    <row r="6067" spans="1:2" x14ac:dyDescent="0.2">
      <c r="A6067" s="40"/>
      <c r="B6067" s="40"/>
    </row>
    <row r="6068" spans="1:2" x14ac:dyDescent="0.2">
      <c r="A6068" s="40"/>
      <c r="B6068" s="40"/>
    </row>
    <row r="6069" spans="1:2" x14ac:dyDescent="0.2">
      <c r="A6069" s="40"/>
      <c r="B6069" s="40"/>
    </row>
    <row r="6070" spans="1:2" x14ac:dyDescent="0.2">
      <c r="A6070" s="40"/>
      <c r="B6070" s="40"/>
    </row>
    <row r="6071" spans="1:2" x14ac:dyDescent="0.2">
      <c r="A6071" s="40"/>
      <c r="B6071" s="40"/>
    </row>
    <row r="6072" spans="1:2" x14ac:dyDescent="0.2">
      <c r="A6072" s="40"/>
      <c r="B6072" s="40"/>
    </row>
    <row r="6073" spans="1:2" x14ac:dyDescent="0.2">
      <c r="A6073" s="40"/>
      <c r="B6073" s="40"/>
    </row>
    <row r="6074" spans="1:2" x14ac:dyDescent="0.2">
      <c r="A6074" s="40"/>
      <c r="B6074" s="40"/>
    </row>
    <row r="6075" spans="1:2" x14ac:dyDescent="0.2">
      <c r="A6075" s="40"/>
      <c r="B6075" s="40"/>
    </row>
    <row r="6076" spans="1:2" x14ac:dyDescent="0.2">
      <c r="A6076" s="40"/>
      <c r="B6076" s="40"/>
    </row>
    <row r="6077" spans="1:2" x14ac:dyDescent="0.2">
      <c r="A6077" s="40"/>
      <c r="B6077" s="40"/>
    </row>
    <row r="6078" spans="1:2" x14ac:dyDescent="0.2">
      <c r="A6078" s="40"/>
      <c r="B6078" s="40"/>
    </row>
    <row r="6079" spans="1:2" x14ac:dyDescent="0.2">
      <c r="A6079" s="40"/>
      <c r="B6079" s="40"/>
    </row>
    <row r="6080" spans="1:2" x14ac:dyDescent="0.2">
      <c r="A6080" s="40"/>
      <c r="B6080" s="40"/>
    </row>
    <row r="6081" spans="1:2" x14ac:dyDescent="0.2">
      <c r="A6081" s="40"/>
      <c r="B6081" s="40"/>
    </row>
    <row r="6082" spans="1:2" x14ac:dyDescent="0.2">
      <c r="A6082" s="40"/>
      <c r="B6082" s="40"/>
    </row>
    <row r="6083" spans="1:2" x14ac:dyDescent="0.2">
      <c r="A6083" s="40"/>
      <c r="B6083" s="40"/>
    </row>
    <row r="6084" spans="1:2" x14ac:dyDescent="0.2">
      <c r="A6084" s="40"/>
      <c r="B6084" s="40"/>
    </row>
    <row r="6085" spans="1:2" x14ac:dyDescent="0.2">
      <c r="A6085" s="40"/>
      <c r="B6085" s="40"/>
    </row>
    <row r="6086" spans="1:2" x14ac:dyDescent="0.2">
      <c r="A6086" s="40"/>
      <c r="B6086" s="40"/>
    </row>
    <row r="6087" spans="1:2" x14ac:dyDescent="0.2">
      <c r="A6087" s="40"/>
      <c r="B6087" s="40"/>
    </row>
    <row r="6088" spans="1:2" x14ac:dyDescent="0.2">
      <c r="A6088" s="40"/>
      <c r="B6088" s="40"/>
    </row>
    <row r="6089" spans="1:2" x14ac:dyDescent="0.2">
      <c r="A6089" s="40"/>
      <c r="B6089" s="40"/>
    </row>
    <row r="6090" spans="1:2" x14ac:dyDescent="0.2">
      <c r="A6090" s="40"/>
      <c r="B6090" s="40"/>
    </row>
    <row r="6091" spans="1:2" x14ac:dyDescent="0.2">
      <c r="A6091" s="40"/>
      <c r="B6091" s="40"/>
    </row>
    <row r="6092" spans="1:2" x14ac:dyDescent="0.2">
      <c r="A6092" s="40"/>
      <c r="B6092" s="40"/>
    </row>
    <row r="6093" spans="1:2" x14ac:dyDescent="0.2">
      <c r="A6093" s="40"/>
      <c r="B6093" s="40"/>
    </row>
    <row r="6094" spans="1:2" x14ac:dyDescent="0.2">
      <c r="A6094" s="40"/>
      <c r="B6094" s="40"/>
    </row>
    <row r="6095" spans="1:2" x14ac:dyDescent="0.2">
      <c r="A6095" s="40"/>
      <c r="B6095" s="40"/>
    </row>
    <row r="6096" spans="1:2" x14ac:dyDescent="0.2">
      <c r="A6096" s="40"/>
      <c r="B6096" s="40"/>
    </row>
    <row r="6097" spans="1:2" x14ac:dyDescent="0.2">
      <c r="A6097" s="40"/>
      <c r="B6097" s="40"/>
    </row>
    <row r="6098" spans="1:2" x14ac:dyDescent="0.2">
      <c r="A6098" s="40"/>
      <c r="B6098" s="40"/>
    </row>
    <row r="6099" spans="1:2" x14ac:dyDescent="0.2">
      <c r="A6099" s="40"/>
      <c r="B6099" s="40"/>
    </row>
    <row r="6100" spans="1:2" x14ac:dyDescent="0.2">
      <c r="A6100" s="40"/>
      <c r="B6100" s="40"/>
    </row>
    <row r="6101" spans="1:2" x14ac:dyDescent="0.2">
      <c r="A6101" s="40"/>
      <c r="B6101" s="40"/>
    </row>
    <row r="6102" spans="1:2" x14ac:dyDescent="0.2">
      <c r="A6102" s="40"/>
      <c r="B6102" s="40"/>
    </row>
    <row r="6103" spans="1:2" x14ac:dyDescent="0.2">
      <c r="A6103" s="40"/>
      <c r="B6103" s="40"/>
    </row>
    <row r="6104" spans="1:2" x14ac:dyDescent="0.2">
      <c r="A6104" s="40"/>
      <c r="B6104" s="40"/>
    </row>
    <row r="6105" spans="1:2" x14ac:dyDescent="0.2">
      <c r="A6105" s="40"/>
      <c r="B6105" s="40"/>
    </row>
    <row r="6106" spans="1:2" x14ac:dyDescent="0.2">
      <c r="A6106" s="40"/>
      <c r="B6106" s="40"/>
    </row>
    <row r="6107" spans="1:2" x14ac:dyDescent="0.2">
      <c r="A6107" s="40"/>
      <c r="B6107" s="40"/>
    </row>
    <row r="6108" spans="1:2" x14ac:dyDescent="0.2">
      <c r="A6108" s="40"/>
      <c r="B6108" s="40"/>
    </row>
    <row r="6109" spans="1:2" x14ac:dyDescent="0.2">
      <c r="A6109" s="40"/>
      <c r="B6109" s="40"/>
    </row>
    <row r="6110" spans="1:2" x14ac:dyDescent="0.2">
      <c r="A6110" s="40"/>
      <c r="B6110" s="40"/>
    </row>
    <row r="6111" spans="1:2" x14ac:dyDescent="0.2">
      <c r="A6111" s="40"/>
      <c r="B6111" s="40"/>
    </row>
    <row r="6112" spans="1:2" x14ac:dyDescent="0.2">
      <c r="A6112" s="40"/>
      <c r="B6112" s="40"/>
    </row>
    <row r="6113" spans="1:2" x14ac:dyDescent="0.2">
      <c r="A6113" s="40"/>
      <c r="B6113" s="40"/>
    </row>
    <row r="6114" spans="1:2" x14ac:dyDescent="0.2">
      <c r="A6114" s="40"/>
      <c r="B6114" s="40"/>
    </row>
    <row r="6115" spans="1:2" x14ac:dyDescent="0.2">
      <c r="A6115" s="40"/>
      <c r="B6115" s="40"/>
    </row>
    <row r="6116" spans="1:2" x14ac:dyDescent="0.2">
      <c r="A6116" s="40"/>
      <c r="B6116" s="40"/>
    </row>
    <row r="6117" spans="1:2" x14ac:dyDescent="0.2">
      <c r="A6117" s="40"/>
      <c r="B6117" s="40"/>
    </row>
    <row r="6118" spans="1:2" x14ac:dyDescent="0.2">
      <c r="A6118" s="40"/>
      <c r="B6118" s="40"/>
    </row>
    <row r="6119" spans="1:2" x14ac:dyDescent="0.2">
      <c r="A6119" s="40"/>
      <c r="B6119" s="40"/>
    </row>
    <row r="6120" spans="1:2" x14ac:dyDescent="0.2">
      <c r="A6120" s="40"/>
      <c r="B6120" s="40"/>
    </row>
    <row r="6121" spans="1:2" x14ac:dyDescent="0.2">
      <c r="A6121" s="40"/>
      <c r="B6121" s="40"/>
    </row>
    <row r="6122" spans="1:2" x14ac:dyDescent="0.2">
      <c r="A6122" s="40"/>
      <c r="B6122" s="40"/>
    </row>
    <row r="6123" spans="1:2" x14ac:dyDescent="0.2">
      <c r="A6123" s="40"/>
      <c r="B6123" s="40"/>
    </row>
    <row r="6124" spans="1:2" x14ac:dyDescent="0.2">
      <c r="A6124" s="40"/>
      <c r="B6124" s="40"/>
    </row>
    <row r="6125" spans="1:2" x14ac:dyDescent="0.2">
      <c r="A6125" s="40"/>
      <c r="B6125" s="40"/>
    </row>
    <row r="6126" spans="1:2" x14ac:dyDescent="0.2">
      <c r="A6126" s="40"/>
      <c r="B6126" s="40"/>
    </row>
    <row r="6127" spans="1:2" x14ac:dyDescent="0.2">
      <c r="A6127" s="40"/>
      <c r="B6127" s="40"/>
    </row>
    <row r="6128" spans="1:2" x14ac:dyDescent="0.2">
      <c r="A6128" s="40"/>
      <c r="B6128" s="40"/>
    </row>
    <row r="6129" spans="1:2" x14ac:dyDescent="0.2">
      <c r="A6129" s="40"/>
      <c r="B6129" s="40"/>
    </row>
    <row r="6130" spans="1:2" x14ac:dyDescent="0.2">
      <c r="A6130" s="40"/>
      <c r="B6130" s="40"/>
    </row>
    <row r="6131" spans="1:2" x14ac:dyDescent="0.2">
      <c r="A6131" s="40"/>
      <c r="B6131" s="40"/>
    </row>
    <row r="6132" spans="1:2" x14ac:dyDescent="0.2">
      <c r="A6132" s="40"/>
      <c r="B6132" s="40"/>
    </row>
    <row r="6133" spans="1:2" x14ac:dyDescent="0.2">
      <c r="A6133" s="40"/>
      <c r="B6133" s="40"/>
    </row>
    <row r="6134" spans="1:2" x14ac:dyDescent="0.2">
      <c r="A6134" s="40"/>
      <c r="B6134" s="40"/>
    </row>
    <row r="6135" spans="1:2" x14ac:dyDescent="0.2">
      <c r="A6135" s="40"/>
      <c r="B6135" s="40"/>
    </row>
    <row r="6136" spans="1:2" x14ac:dyDescent="0.2">
      <c r="A6136" s="40"/>
      <c r="B6136" s="40"/>
    </row>
    <row r="6137" spans="1:2" x14ac:dyDescent="0.2">
      <c r="A6137" s="40"/>
      <c r="B6137" s="40"/>
    </row>
    <row r="6138" spans="1:2" x14ac:dyDescent="0.2">
      <c r="A6138" s="40"/>
      <c r="B6138" s="40"/>
    </row>
    <row r="6139" spans="1:2" x14ac:dyDescent="0.2">
      <c r="A6139" s="40"/>
      <c r="B6139" s="40"/>
    </row>
    <row r="6140" spans="1:2" x14ac:dyDescent="0.2">
      <c r="A6140" s="40"/>
      <c r="B6140" s="40"/>
    </row>
    <row r="6141" spans="1:2" x14ac:dyDescent="0.2">
      <c r="A6141" s="40"/>
      <c r="B6141" s="40"/>
    </row>
    <row r="6142" spans="1:2" x14ac:dyDescent="0.2">
      <c r="A6142" s="40"/>
      <c r="B6142" s="40"/>
    </row>
    <row r="6143" spans="1:2" x14ac:dyDescent="0.2">
      <c r="A6143" s="40"/>
      <c r="B6143" s="40"/>
    </row>
    <row r="6144" spans="1:2" x14ac:dyDescent="0.2">
      <c r="A6144" s="40"/>
      <c r="B6144" s="40"/>
    </row>
    <row r="6145" spans="1:2" x14ac:dyDescent="0.2">
      <c r="A6145" s="40"/>
      <c r="B6145" s="40"/>
    </row>
    <row r="6146" spans="1:2" x14ac:dyDescent="0.2">
      <c r="A6146" s="40"/>
      <c r="B6146" s="40"/>
    </row>
    <row r="6147" spans="1:2" x14ac:dyDescent="0.2">
      <c r="A6147" s="40"/>
      <c r="B6147" s="40"/>
    </row>
    <row r="6148" spans="1:2" x14ac:dyDescent="0.2">
      <c r="A6148" s="40"/>
      <c r="B6148" s="40"/>
    </row>
    <row r="6149" spans="1:2" x14ac:dyDescent="0.2">
      <c r="A6149" s="40"/>
      <c r="B6149" s="40"/>
    </row>
    <row r="6150" spans="1:2" x14ac:dyDescent="0.2">
      <c r="A6150" s="40"/>
      <c r="B6150" s="40"/>
    </row>
    <row r="6151" spans="1:2" x14ac:dyDescent="0.2">
      <c r="A6151" s="40"/>
      <c r="B6151" s="40"/>
    </row>
    <row r="6152" spans="1:2" x14ac:dyDescent="0.2">
      <c r="A6152" s="40"/>
      <c r="B6152" s="40"/>
    </row>
    <row r="6153" spans="1:2" x14ac:dyDescent="0.2">
      <c r="A6153" s="40"/>
      <c r="B6153" s="40"/>
    </row>
    <row r="6154" spans="1:2" x14ac:dyDescent="0.2">
      <c r="A6154" s="40"/>
      <c r="B6154" s="40"/>
    </row>
    <row r="6155" spans="1:2" x14ac:dyDescent="0.2">
      <c r="A6155" s="40"/>
      <c r="B6155" s="40"/>
    </row>
    <row r="6156" spans="1:2" x14ac:dyDescent="0.2">
      <c r="A6156" s="40"/>
      <c r="B6156" s="40"/>
    </row>
    <row r="6157" spans="1:2" x14ac:dyDescent="0.2">
      <c r="A6157" s="40"/>
      <c r="B6157" s="40"/>
    </row>
    <row r="6158" spans="1:2" x14ac:dyDescent="0.2">
      <c r="A6158" s="40"/>
      <c r="B6158" s="40"/>
    </row>
    <row r="6159" spans="1:2" x14ac:dyDescent="0.2">
      <c r="A6159" s="40"/>
      <c r="B6159" s="40"/>
    </row>
    <row r="6160" spans="1:2" x14ac:dyDescent="0.2">
      <c r="A6160" s="40"/>
      <c r="B6160" s="40"/>
    </row>
    <row r="6161" spans="1:2" x14ac:dyDescent="0.2">
      <c r="A6161" s="40"/>
      <c r="B6161" s="40"/>
    </row>
    <row r="6162" spans="1:2" x14ac:dyDescent="0.2">
      <c r="A6162" s="40"/>
      <c r="B6162" s="40"/>
    </row>
    <row r="6163" spans="1:2" x14ac:dyDescent="0.2">
      <c r="A6163" s="40"/>
      <c r="B6163" s="40"/>
    </row>
    <row r="6164" spans="1:2" x14ac:dyDescent="0.2">
      <c r="A6164" s="40"/>
      <c r="B6164" s="40"/>
    </row>
    <row r="6165" spans="1:2" x14ac:dyDescent="0.2">
      <c r="A6165" s="40"/>
      <c r="B6165" s="40"/>
    </row>
    <row r="6166" spans="1:2" x14ac:dyDescent="0.2">
      <c r="A6166" s="40"/>
      <c r="B6166" s="40"/>
    </row>
    <row r="6167" spans="1:2" x14ac:dyDescent="0.2">
      <c r="A6167" s="40"/>
      <c r="B6167" s="40"/>
    </row>
    <row r="6168" spans="1:2" x14ac:dyDescent="0.2">
      <c r="A6168" s="40"/>
      <c r="B6168" s="40"/>
    </row>
    <row r="6169" spans="1:2" x14ac:dyDescent="0.2">
      <c r="A6169" s="40"/>
      <c r="B6169" s="40"/>
    </row>
    <row r="6170" spans="1:2" x14ac:dyDescent="0.2">
      <c r="A6170" s="40"/>
      <c r="B6170" s="40"/>
    </row>
    <row r="6171" spans="1:2" x14ac:dyDescent="0.2">
      <c r="A6171" s="40"/>
      <c r="B6171" s="40"/>
    </row>
    <row r="6172" spans="1:2" x14ac:dyDescent="0.2">
      <c r="A6172" s="40"/>
      <c r="B6172" s="40"/>
    </row>
    <row r="6173" spans="1:2" x14ac:dyDescent="0.2">
      <c r="A6173" s="40"/>
      <c r="B6173" s="40"/>
    </row>
    <row r="6174" spans="1:2" x14ac:dyDescent="0.2">
      <c r="A6174" s="40"/>
      <c r="B6174" s="40"/>
    </row>
    <row r="6175" spans="1:2" x14ac:dyDescent="0.2">
      <c r="A6175" s="40"/>
      <c r="B6175" s="40"/>
    </row>
    <row r="6176" spans="1:2" x14ac:dyDescent="0.2">
      <c r="A6176" s="40"/>
      <c r="B6176" s="40"/>
    </row>
    <row r="6177" spans="1:2" x14ac:dyDescent="0.2">
      <c r="A6177" s="40"/>
      <c r="B6177" s="40"/>
    </row>
    <row r="6178" spans="1:2" x14ac:dyDescent="0.2">
      <c r="A6178" s="40"/>
      <c r="B6178" s="40"/>
    </row>
    <row r="6179" spans="1:2" x14ac:dyDescent="0.2">
      <c r="A6179" s="40"/>
      <c r="B6179" s="40"/>
    </row>
    <row r="6180" spans="1:2" x14ac:dyDescent="0.2">
      <c r="A6180" s="40"/>
      <c r="B6180" s="40"/>
    </row>
    <row r="6181" spans="1:2" x14ac:dyDescent="0.2">
      <c r="A6181" s="40"/>
      <c r="B6181" s="40"/>
    </row>
    <row r="6182" spans="1:2" x14ac:dyDescent="0.2">
      <c r="A6182" s="40"/>
      <c r="B6182" s="40"/>
    </row>
    <row r="6183" spans="1:2" x14ac:dyDescent="0.2">
      <c r="A6183" s="40"/>
      <c r="B6183" s="40"/>
    </row>
    <row r="6184" spans="1:2" x14ac:dyDescent="0.2">
      <c r="A6184" s="40"/>
      <c r="B6184" s="40"/>
    </row>
    <row r="6185" spans="1:2" x14ac:dyDescent="0.2">
      <c r="A6185" s="40"/>
      <c r="B6185" s="40"/>
    </row>
    <row r="6186" spans="1:2" x14ac:dyDescent="0.2">
      <c r="A6186" s="40"/>
      <c r="B6186" s="40"/>
    </row>
    <row r="6187" spans="1:2" x14ac:dyDescent="0.2">
      <c r="A6187" s="40"/>
      <c r="B6187" s="40"/>
    </row>
    <row r="6188" spans="1:2" x14ac:dyDescent="0.2">
      <c r="A6188" s="40"/>
      <c r="B6188" s="40"/>
    </row>
    <row r="6189" spans="1:2" x14ac:dyDescent="0.2">
      <c r="A6189" s="40"/>
      <c r="B6189" s="40"/>
    </row>
    <row r="6190" spans="1:2" x14ac:dyDescent="0.2">
      <c r="A6190" s="40"/>
      <c r="B6190" s="40"/>
    </row>
    <row r="6191" spans="1:2" x14ac:dyDescent="0.2">
      <c r="A6191" s="40"/>
      <c r="B6191" s="40"/>
    </row>
    <row r="6192" spans="1:2" x14ac:dyDescent="0.2">
      <c r="A6192" s="40"/>
      <c r="B6192" s="40"/>
    </row>
    <row r="6193" spans="1:2" x14ac:dyDescent="0.2">
      <c r="A6193" s="40"/>
      <c r="B6193" s="40"/>
    </row>
    <row r="6194" spans="1:2" x14ac:dyDescent="0.2">
      <c r="A6194" s="40"/>
      <c r="B6194" s="40"/>
    </row>
    <row r="6195" spans="1:2" x14ac:dyDescent="0.2">
      <c r="A6195" s="40"/>
      <c r="B6195" s="40"/>
    </row>
    <row r="6196" spans="1:2" x14ac:dyDescent="0.2">
      <c r="A6196" s="40"/>
      <c r="B6196" s="40"/>
    </row>
    <row r="6197" spans="1:2" x14ac:dyDescent="0.2">
      <c r="A6197" s="40"/>
      <c r="B6197" s="40"/>
    </row>
    <row r="6198" spans="1:2" x14ac:dyDescent="0.2">
      <c r="A6198" s="40"/>
      <c r="B6198" s="40"/>
    </row>
    <row r="6199" spans="1:2" x14ac:dyDescent="0.2">
      <c r="A6199" s="40"/>
      <c r="B6199" s="40"/>
    </row>
    <row r="6200" spans="1:2" x14ac:dyDescent="0.2">
      <c r="A6200" s="40"/>
      <c r="B6200" s="40"/>
    </row>
    <row r="6201" spans="1:2" x14ac:dyDescent="0.2">
      <c r="A6201" s="40"/>
      <c r="B6201" s="40"/>
    </row>
    <row r="6202" spans="1:2" x14ac:dyDescent="0.2">
      <c r="A6202" s="40"/>
      <c r="B6202" s="40"/>
    </row>
    <row r="6203" spans="1:2" x14ac:dyDescent="0.2">
      <c r="A6203" s="40"/>
      <c r="B6203" s="40"/>
    </row>
    <row r="6204" spans="1:2" x14ac:dyDescent="0.2">
      <c r="A6204" s="40"/>
      <c r="B6204" s="40"/>
    </row>
    <row r="6205" spans="1:2" x14ac:dyDescent="0.2">
      <c r="A6205" s="40"/>
      <c r="B6205" s="40"/>
    </row>
    <row r="6206" spans="1:2" x14ac:dyDescent="0.2">
      <c r="A6206" s="40"/>
      <c r="B6206" s="40"/>
    </row>
    <row r="6207" spans="1:2" x14ac:dyDescent="0.2">
      <c r="A6207" s="40"/>
      <c r="B6207" s="40"/>
    </row>
    <row r="6208" spans="1:2" x14ac:dyDescent="0.2">
      <c r="A6208" s="40"/>
      <c r="B6208" s="40"/>
    </row>
    <row r="6209" spans="1:2" x14ac:dyDescent="0.2">
      <c r="A6209" s="40"/>
      <c r="B6209" s="40"/>
    </row>
    <row r="6210" spans="1:2" x14ac:dyDescent="0.2">
      <c r="A6210" s="40"/>
      <c r="B6210" s="40"/>
    </row>
    <row r="6211" spans="1:2" x14ac:dyDescent="0.2">
      <c r="A6211" s="40"/>
      <c r="B6211" s="40"/>
    </row>
    <row r="6212" spans="1:2" x14ac:dyDescent="0.2">
      <c r="A6212" s="40"/>
      <c r="B6212" s="40"/>
    </row>
    <row r="6213" spans="1:2" x14ac:dyDescent="0.2">
      <c r="A6213" s="40"/>
      <c r="B6213" s="40"/>
    </row>
    <row r="6214" spans="1:2" x14ac:dyDescent="0.2">
      <c r="A6214" s="40"/>
      <c r="B6214" s="40"/>
    </row>
    <row r="6215" spans="1:2" x14ac:dyDescent="0.2">
      <c r="A6215" s="40"/>
      <c r="B6215" s="40"/>
    </row>
    <row r="6216" spans="1:2" x14ac:dyDescent="0.2">
      <c r="A6216" s="40"/>
      <c r="B6216" s="40"/>
    </row>
    <row r="6217" spans="1:2" x14ac:dyDescent="0.2">
      <c r="A6217" s="40"/>
      <c r="B6217" s="40"/>
    </row>
    <row r="6218" spans="1:2" x14ac:dyDescent="0.2">
      <c r="A6218" s="40"/>
      <c r="B6218" s="40"/>
    </row>
    <row r="6219" spans="1:2" x14ac:dyDescent="0.2">
      <c r="A6219" s="40"/>
      <c r="B6219" s="40"/>
    </row>
    <row r="6220" spans="1:2" x14ac:dyDescent="0.2">
      <c r="A6220" s="40"/>
      <c r="B6220" s="40"/>
    </row>
    <row r="6221" spans="1:2" x14ac:dyDescent="0.2">
      <c r="A6221" s="40"/>
      <c r="B6221" s="40"/>
    </row>
    <row r="6222" spans="1:2" x14ac:dyDescent="0.2">
      <c r="A6222" s="40"/>
      <c r="B6222" s="40"/>
    </row>
    <row r="6223" spans="1:2" x14ac:dyDescent="0.2">
      <c r="A6223" s="40"/>
      <c r="B6223" s="40"/>
    </row>
    <row r="6224" spans="1:2" x14ac:dyDescent="0.2">
      <c r="A6224" s="40"/>
      <c r="B6224" s="40"/>
    </row>
    <row r="6225" spans="1:2" x14ac:dyDescent="0.2">
      <c r="A6225" s="40"/>
      <c r="B6225" s="40"/>
    </row>
    <row r="6226" spans="1:2" x14ac:dyDescent="0.2">
      <c r="A6226" s="40"/>
      <c r="B6226" s="40"/>
    </row>
    <row r="6227" spans="1:2" x14ac:dyDescent="0.2">
      <c r="A6227" s="40"/>
      <c r="B6227" s="40"/>
    </row>
    <row r="6228" spans="1:2" x14ac:dyDescent="0.2">
      <c r="A6228" s="40"/>
      <c r="B6228" s="40"/>
    </row>
    <row r="6229" spans="1:2" x14ac:dyDescent="0.2">
      <c r="A6229" s="40"/>
      <c r="B6229" s="40"/>
    </row>
    <row r="6230" spans="1:2" x14ac:dyDescent="0.2">
      <c r="A6230" s="40"/>
      <c r="B6230" s="40"/>
    </row>
    <row r="6231" spans="1:2" x14ac:dyDescent="0.2">
      <c r="A6231" s="40"/>
      <c r="B6231" s="40"/>
    </row>
    <row r="6232" spans="1:2" x14ac:dyDescent="0.2">
      <c r="A6232" s="40"/>
      <c r="B6232" s="40"/>
    </row>
    <row r="6233" spans="1:2" x14ac:dyDescent="0.2">
      <c r="A6233" s="40"/>
      <c r="B6233" s="40"/>
    </row>
    <row r="6234" spans="1:2" x14ac:dyDescent="0.2">
      <c r="A6234" s="40"/>
      <c r="B6234" s="40"/>
    </row>
    <row r="6235" spans="1:2" x14ac:dyDescent="0.2">
      <c r="A6235" s="40"/>
      <c r="B6235" s="40"/>
    </row>
    <row r="6236" spans="1:2" x14ac:dyDescent="0.2">
      <c r="A6236" s="40"/>
      <c r="B6236" s="40"/>
    </row>
    <row r="6237" spans="1:2" x14ac:dyDescent="0.2">
      <c r="A6237" s="40"/>
      <c r="B6237" s="40"/>
    </row>
    <row r="6238" spans="1:2" x14ac:dyDescent="0.2">
      <c r="A6238" s="40"/>
      <c r="B6238" s="40"/>
    </row>
    <row r="6239" spans="1:2" x14ac:dyDescent="0.2">
      <c r="A6239" s="40"/>
      <c r="B6239" s="40"/>
    </row>
    <row r="6240" spans="1:2" x14ac:dyDescent="0.2">
      <c r="A6240" s="40"/>
      <c r="B6240" s="40"/>
    </row>
    <row r="6241" spans="1:2" x14ac:dyDescent="0.2">
      <c r="A6241" s="40"/>
      <c r="B6241" s="40"/>
    </row>
    <row r="6242" spans="1:2" x14ac:dyDescent="0.2">
      <c r="A6242" s="40"/>
      <c r="B6242" s="40"/>
    </row>
    <row r="6243" spans="1:2" x14ac:dyDescent="0.2">
      <c r="A6243" s="40"/>
      <c r="B6243" s="40"/>
    </row>
    <row r="6244" spans="1:2" x14ac:dyDescent="0.2">
      <c r="A6244" s="40"/>
      <c r="B6244" s="40"/>
    </row>
    <row r="6245" spans="1:2" x14ac:dyDescent="0.2">
      <c r="A6245" s="40"/>
      <c r="B6245" s="40"/>
    </row>
    <row r="6246" spans="1:2" x14ac:dyDescent="0.2">
      <c r="A6246" s="40"/>
      <c r="B6246" s="40"/>
    </row>
    <row r="6247" spans="1:2" x14ac:dyDescent="0.2">
      <c r="A6247" s="40"/>
      <c r="B6247" s="40"/>
    </row>
    <row r="6248" spans="1:2" x14ac:dyDescent="0.2">
      <c r="A6248" s="40"/>
      <c r="B6248" s="40"/>
    </row>
    <row r="6249" spans="1:2" x14ac:dyDescent="0.2">
      <c r="A6249" s="40"/>
      <c r="B6249" s="40"/>
    </row>
    <row r="6250" spans="1:2" x14ac:dyDescent="0.2">
      <c r="A6250" s="40"/>
      <c r="B6250" s="40"/>
    </row>
    <row r="6251" spans="1:2" x14ac:dyDescent="0.2">
      <c r="A6251" s="40"/>
      <c r="B6251" s="40"/>
    </row>
    <row r="6252" spans="1:2" x14ac:dyDescent="0.2">
      <c r="A6252" s="40"/>
      <c r="B6252" s="40"/>
    </row>
    <row r="6253" spans="1:2" x14ac:dyDescent="0.2">
      <c r="A6253" s="40"/>
      <c r="B6253" s="40"/>
    </row>
    <row r="6254" spans="1:2" x14ac:dyDescent="0.2">
      <c r="A6254" s="40"/>
      <c r="B6254" s="40"/>
    </row>
    <row r="6255" spans="1:2" x14ac:dyDescent="0.2">
      <c r="A6255" s="40"/>
      <c r="B6255" s="40"/>
    </row>
    <row r="6256" spans="1:2" x14ac:dyDescent="0.2">
      <c r="A6256" s="40"/>
      <c r="B6256" s="40"/>
    </row>
    <row r="6257" spans="1:2" x14ac:dyDescent="0.2">
      <c r="A6257" s="40"/>
      <c r="B6257" s="40"/>
    </row>
    <row r="6258" spans="1:2" x14ac:dyDescent="0.2">
      <c r="A6258" s="40"/>
      <c r="B6258" s="40"/>
    </row>
    <row r="6259" spans="1:2" x14ac:dyDescent="0.2">
      <c r="A6259" s="40"/>
      <c r="B6259" s="40"/>
    </row>
    <row r="6260" spans="1:2" x14ac:dyDescent="0.2">
      <c r="A6260" s="40"/>
      <c r="B6260" s="40"/>
    </row>
    <row r="6261" spans="1:2" x14ac:dyDescent="0.2">
      <c r="A6261" s="40"/>
      <c r="B6261" s="40"/>
    </row>
    <row r="6262" spans="1:2" x14ac:dyDescent="0.2">
      <c r="A6262" s="40"/>
      <c r="B6262" s="40"/>
    </row>
    <row r="6263" spans="1:2" x14ac:dyDescent="0.2">
      <c r="A6263" s="40"/>
      <c r="B6263" s="40"/>
    </row>
    <row r="6264" spans="1:2" x14ac:dyDescent="0.2">
      <c r="A6264" s="40"/>
      <c r="B6264" s="40"/>
    </row>
    <row r="6265" spans="1:2" x14ac:dyDescent="0.2">
      <c r="A6265" s="40"/>
      <c r="B6265" s="40"/>
    </row>
    <row r="6266" spans="1:2" x14ac:dyDescent="0.2">
      <c r="A6266" s="40"/>
      <c r="B6266" s="40"/>
    </row>
    <row r="6267" spans="1:2" x14ac:dyDescent="0.2">
      <c r="A6267" s="40"/>
      <c r="B6267" s="40"/>
    </row>
    <row r="6268" spans="1:2" x14ac:dyDescent="0.2">
      <c r="A6268" s="40"/>
      <c r="B6268" s="40"/>
    </row>
    <row r="6269" spans="1:2" x14ac:dyDescent="0.2">
      <c r="A6269" s="40"/>
      <c r="B6269" s="40"/>
    </row>
    <row r="6270" spans="1:2" x14ac:dyDescent="0.2">
      <c r="A6270" s="40"/>
      <c r="B6270" s="40"/>
    </row>
    <row r="6271" spans="1:2" x14ac:dyDescent="0.2">
      <c r="A6271" s="40"/>
      <c r="B6271" s="40"/>
    </row>
    <row r="6272" spans="1:2" x14ac:dyDescent="0.2">
      <c r="A6272" s="40"/>
      <c r="B6272" s="40"/>
    </row>
    <row r="6273" spans="1:2" x14ac:dyDescent="0.2">
      <c r="A6273" s="40"/>
      <c r="B6273" s="40"/>
    </row>
    <row r="6274" spans="1:2" x14ac:dyDescent="0.2">
      <c r="A6274" s="40"/>
      <c r="B6274" s="40"/>
    </row>
    <row r="6275" spans="1:2" x14ac:dyDescent="0.2">
      <c r="A6275" s="40"/>
      <c r="B6275" s="40"/>
    </row>
    <row r="6276" spans="1:2" x14ac:dyDescent="0.2">
      <c r="A6276" s="40"/>
      <c r="B6276" s="40"/>
    </row>
    <row r="6277" spans="1:2" x14ac:dyDescent="0.2">
      <c r="A6277" s="40"/>
      <c r="B6277" s="40"/>
    </row>
    <row r="6278" spans="1:2" x14ac:dyDescent="0.2">
      <c r="A6278" s="40"/>
      <c r="B6278" s="40"/>
    </row>
    <row r="6279" spans="1:2" x14ac:dyDescent="0.2">
      <c r="A6279" s="40"/>
      <c r="B6279" s="40"/>
    </row>
    <row r="6280" spans="1:2" x14ac:dyDescent="0.2">
      <c r="A6280" s="40"/>
      <c r="B6280" s="40"/>
    </row>
    <row r="6281" spans="1:2" x14ac:dyDescent="0.2">
      <c r="A6281" s="40"/>
      <c r="B6281" s="40"/>
    </row>
    <row r="6282" spans="1:2" x14ac:dyDescent="0.2">
      <c r="A6282" s="40"/>
      <c r="B6282" s="40"/>
    </row>
    <row r="6283" spans="1:2" x14ac:dyDescent="0.2">
      <c r="A6283" s="40"/>
      <c r="B6283" s="40"/>
    </row>
    <row r="6284" spans="1:2" x14ac:dyDescent="0.2">
      <c r="A6284" s="40"/>
      <c r="B6284" s="40"/>
    </row>
    <row r="6285" spans="1:2" x14ac:dyDescent="0.2">
      <c r="A6285" s="40"/>
      <c r="B6285" s="40"/>
    </row>
    <row r="6286" spans="1:2" x14ac:dyDescent="0.2">
      <c r="A6286" s="40"/>
      <c r="B6286" s="40"/>
    </row>
    <row r="6287" spans="1:2" x14ac:dyDescent="0.2">
      <c r="A6287" s="40"/>
      <c r="B6287" s="40"/>
    </row>
    <row r="6288" spans="1:2" x14ac:dyDescent="0.2">
      <c r="A6288" s="40"/>
      <c r="B6288" s="40"/>
    </row>
    <row r="6289" spans="1:2" x14ac:dyDescent="0.2">
      <c r="A6289" s="40"/>
      <c r="B6289" s="40"/>
    </row>
    <row r="6290" spans="1:2" x14ac:dyDescent="0.2">
      <c r="A6290" s="40"/>
      <c r="B6290" s="40"/>
    </row>
    <row r="6291" spans="1:2" x14ac:dyDescent="0.2">
      <c r="A6291" s="40"/>
      <c r="B6291" s="40"/>
    </row>
    <row r="6292" spans="1:2" x14ac:dyDescent="0.2">
      <c r="A6292" s="40"/>
      <c r="B6292" s="40"/>
    </row>
    <row r="6293" spans="1:2" x14ac:dyDescent="0.2">
      <c r="A6293" s="40"/>
      <c r="B6293" s="40"/>
    </row>
    <row r="6294" spans="1:2" x14ac:dyDescent="0.2">
      <c r="A6294" s="40"/>
      <c r="B6294" s="40"/>
    </row>
    <row r="6295" spans="1:2" x14ac:dyDescent="0.2">
      <c r="A6295" s="40"/>
      <c r="B6295" s="40"/>
    </row>
    <row r="6296" spans="1:2" x14ac:dyDescent="0.2">
      <c r="A6296" s="40"/>
      <c r="B6296" s="40"/>
    </row>
    <row r="6297" spans="1:2" x14ac:dyDescent="0.2">
      <c r="A6297" s="40"/>
      <c r="B6297" s="40"/>
    </row>
    <row r="6298" spans="1:2" x14ac:dyDescent="0.2">
      <c r="A6298" s="40"/>
      <c r="B6298" s="40"/>
    </row>
    <row r="6299" spans="1:2" x14ac:dyDescent="0.2">
      <c r="A6299" s="40"/>
      <c r="B6299" s="40"/>
    </row>
    <row r="6300" spans="1:2" x14ac:dyDescent="0.2">
      <c r="A6300" s="40"/>
      <c r="B6300" s="40"/>
    </row>
    <row r="6301" spans="1:2" x14ac:dyDescent="0.2">
      <c r="A6301" s="40"/>
      <c r="B6301" s="40"/>
    </row>
    <row r="6302" spans="1:2" x14ac:dyDescent="0.2">
      <c r="A6302" s="40"/>
      <c r="B6302" s="40"/>
    </row>
    <row r="6303" spans="1:2" x14ac:dyDescent="0.2">
      <c r="A6303" s="40"/>
      <c r="B6303" s="40"/>
    </row>
    <row r="6304" spans="1:2" x14ac:dyDescent="0.2">
      <c r="A6304" s="40"/>
      <c r="B6304" s="40"/>
    </row>
    <row r="6305" spans="1:2" x14ac:dyDescent="0.2">
      <c r="A6305" s="40"/>
      <c r="B6305" s="40"/>
    </row>
    <row r="6306" spans="1:2" x14ac:dyDescent="0.2">
      <c r="A6306" s="40"/>
      <c r="B6306" s="40"/>
    </row>
    <row r="6307" spans="1:2" x14ac:dyDescent="0.2">
      <c r="A6307" s="40"/>
      <c r="B6307" s="40"/>
    </row>
    <row r="6308" spans="1:2" x14ac:dyDescent="0.2">
      <c r="A6308" s="40"/>
      <c r="B6308" s="40"/>
    </row>
    <row r="6309" spans="1:2" x14ac:dyDescent="0.2">
      <c r="A6309" s="40"/>
      <c r="B6309" s="40"/>
    </row>
    <row r="6310" spans="1:2" x14ac:dyDescent="0.2">
      <c r="A6310" s="40"/>
      <c r="B6310" s="40"/>
    </row>
    <row r="6311" spans="1:2" x14ac:dyDescent="0.2">
      <c r="A6311" s="40"/>
      <c r="B6311" s="40"/>
    </row>
    <row r="6312" spans="1:2" x14ac:dyDescent="0.2">
      <c r="A6312" s="40"/>
      <c r="B6312" s="40"/>
    </row>
    <row r="6313" spans="1:2" x14ac:dyDescent="0.2">
      <c r="A6313" s="40"/>
      <c r="B6313" s="40"/>
    </row>
    <row r="6314" spans="1:2" x14ac:dyDescent="0.2">
      <c r="A6314" s="40"/>
      <c r="B6314" s="40"/>
    </row>
    <row r="6315" spans="1:2" x14ac:dyDescent="0.2">
      <c r="A6315" s="40"/>
      <c r="B6315" s="40"/>
    </row>
    <row r="6316" spans="1:2" x14ac:dyDescent="0.2">
      <c r="A6316" s="40"/>
      <c r="B6316" s="40"/>
    </row>
    <row r="6317" spans="1:2" x14ac:dyDescent="0.2">
      <c r="A6317" s="40"/>
      <c r="B6317" s="40"/>
    </row>
    <row r="6318" spans="1:2" x14ac:dyDescent="0.2">
      <c r="A6318" s="40"/>
      <c r="B6318" s="40"/>
    </row>
    <row r="6319" spans="1:2" x14ac:dyDescent="0.2">
      <c r="A6319" s="40"/>
      <c r="B6319" s="40"/>
    </row>
    <row r="6320" spans="1:2" x14ac:dyDescent="0.2">
      <c r="A6320" s="40"/>
      <c r="B6320" s="40"/>
    </row>
    <row r="6321" spans="1:2" x14ac:dyDescent="0.2">
      <c r="A6321" s="40"/>
      <c r="B6321" s="40"/>
    </row>
    <row r="6322" spans="1:2" x14ac:dyDescent="0.2">
      <c r="A6322" s="40"/>
      <c r="B6322" s="40"/>
    </row>
    <row r="6323" spans="1:2" x14ac:dyDescent="0.2">
      <c r="A6323" s="40"/>
      <c r="B6323" s="40"/>
    </row>
    <row r="6324" spans="1:2" x14ac:dyDescent="0.2">
      <c r="A6324" s="40"/>
      <c r="B6324" s="40"/>
    </row>
    <row r="6325" spans="1:2" x14ac:dyDescent="0.2">
      <c r="A6325" s="40"/>
      <c r="B6325" s="40"/>
    </row>
    <row r="6326" spans="1:2" x14ac:dyDescent="0.2">
      <c r="A6326" s="40"/>
      <c r="B6326" s="40"/>
    </row>
    <row r="6327" spans="1:2" x14ac:dyDescent="0.2">
      <c r="A6327" s="40"/>
      <c r="B6327" s="40"/>
    </row>
    <row r="6328" spans="1:2" x14ac:dyDescent="0.2">
      <c r="A6328" s="40"/>
      <c r="B6328" s="40"/>
    </row>
    <row r="6329" spans="1:2" x14ac:dyDescent="0.2">
      <c r="A6329" s="40"/>
      <c r="B6329" s="40"/>
    </row>
    <row r="6330" spans="1:2" x14ac:dyDescent="0.2">
      <c r="A6330" s="40"/>
      <c r="B6330" s="40"/>
    </row>
    <row r="6331" spans="1:2" x14ac:dyDescent="0.2">
      <c r="A6331" s="40"/>
      <c r="B6331" s="40"/>
    </row>
    <row r="6332" spans="1:2" x14ac:dyDescent="0.2">
      <c r="A6332" s="40"/>
      <c r="B6332" s="40"/>
    </row>
    <row r="6333" spans="1:2" x14ac:dyDescent="0.2">
      <c r="A6333" s="40"/>
      <c r="B6333" s="40"/>
    </row>
    <row r="6334" spans="1:2" x14ac:dyDescent="0.2">
      <c r="A6334" s="40"/>
      <c r="B6334" s="40"/>
    </row>
    <row r="6335" spans="1:2" x14ac:dyDescent="0.2">
      <c r="A6335" s="40"/>
      <c r="B6335" s="40"/>
    </row>
    <row r="6336" spans="1:2" x14ac:dyDescent="0.2">
      <c r="A6336" s="40"/>
      <c r="B6336" s="40"/>
    </row>
    <row r="6337" spans="1:2" x14ac:dyDescent="0.2">
      <c r="A6337" s="40"/>
      <c r="B6337" s="40"/>
    </row>
    <row r="6338" spans="1:2" x14ac:dyDescent="0.2">
      <c r="A6338" s="40"/>
      <c r="B6338" s="40"/>
    </row>
    <row r="6339" spans="1:2" x14ac:dyDescent="0.2">
      <c r="A6339" s="40"/>
      <c r="B6339" s="40"/>
    </row>
    <row r="6340" spans="1:2" x14ac:dyDescent="0.2">
      <c r="A6340" s="40"/>
      <c r="B6340" s="40"/>
    </row>
    <row r="6341" spans="1:2" x14ac:dyDescent="0.2">
      <c r="A6341" s="40"/>
      <c r="B6341" s="40"/>
    </row>
    <row r="6342" spans="1:2" x14ac:dyDescent="0.2">
      <c r="A6342" s="40"/>
      <c r="B6342" s="40"/>
    </row>
    <row r="6343" spans="1:2" x14ac:dyDescent="0.2">
      <c r="A6343" s="40"/>
      <c r="B6343" s="40"/>
    </row>
    <row r="6344" spans="1:2" x14ac:dyDescent="0.2">
      <c r="A6344" s="40"/>
      <c r="B6344" s="40"/>
    </row>
    <row r="6345" spans="1:2" x14ac:dyDescent="0.2">
      <c r="A6345" s="40"/>
      <c r="B6345" s="40"/>
    </row>
    <row r="6346" spans="1:2" x14ac:dyDescent="0.2">
      <c r="A6346" s="40"/>
      <c r="B6346" s="40"/>
    </row>
    <row r="6347" spans="1:2" x14ac:dyDescent="0.2">
      <c r="A6347" s="40"/>
      <c r="B6347" s="40"/>
    </row>
    <row r="6348" spans="1:2" x14ac:dyDescent="0.2">
      <c r="A6348" s="40"/>
      <c r="B6348" s="40"/>
    </row>
    <row r="6349" spans="1:2" x14ac:dyDescent="0.2">
      <c r="A6349" s="40"/>
      <c r="B6349" s="40"/>
    </row>
    <row r="6350" spans="1:2" x14ac:dyDescent="0.2">
      <c r="A6350" s="40"/>
      <c r="B6350" s="40"/>
    </row>
    <row r="6351" spans="1:2" x14ac:dyDescent="0.2">
      <c r="A6351" s="40"/>
      <c r="B6351" s="40"/>
    </row>
    <row r="6352" spans="1:2" x14ac:dyDescent="0.2">
      <c r="A6352" s="40"/>
      <c r="B6352" s="40"/>
    </row>
    <row r="6353" spans="1:2" x14ac:dyDescent="0.2">
      <c r="A6353" s="40"/>
      <c r="B6353" s="40"/>
    </row>
    <row r="6354" spans="1:2" x14ac:dyDescent="0.2">
      <c r="A6354" s="40"/>
      <c r="B6354" s="40"/>
    </row>
    <row r="6355" spans="1:2" x14ac:dyDescent="0.2">
      <c r="A6355" s="40"/>
      <c r="B6355" s="40"/>
    </row>
    <row r="6356" spans="1:2" x14ac:dyDescent="0.2">
      <c r="A6356" s="40"/>
      <c r="B6356" s="40"/>
    </row>
    <row r="6357" spans="1:2" x14ac:dyDescent="0.2">
      <c r="A6357" s="40"/>
      <c r="B6357" s="40"/>
    </row>
    <row r="6358" spans="1:2" x14ac:dyDescent="0.2">
      <c r="A6358" s="40"/>
      <c r="B6358" s="40"/>
    </row>
    <row r="6359" spans="1:2" x14ac:dyDescent="0.2">
      <c r="A6359" s="40"/>
      <c r="B6359" s="40"/>
    </row>
    <row r="6360" spans="1:2" x14ac:dyDescent="0.2">
      <c r="A6360" s="40"/>
      <c r="B6360" s="40"/>
    </row>
    <row r="6361" spans="1:2" x14ac:dyDescent="0.2">
      <c r="A6361" s="40"/>
      <c r="B6361" s="40"/>
    </row>
    <row r="6362" spans="1:2" x14ac:dyDescent="0.2">
      <c r="A6362" s="40"/>
      <c r="B6362" s="40"/>
    </row>
    <row r="6363" spans="1:2" x14ac:dyDescent="0.2">
      <c r="A6363" s="40"/>
      <c r="B6363" s="40"/>
    </row>
    <row r="6364" spans="1:2" x14ac:dyDescent="0.2">
      <c r="A6364" s="40"/>
      <c r="B6364" s="40"/>
    </row>
    <row r="6365" spans="1:2" x14ac:dyDescent="0.2">
      <c r="A6365" s="40"/>
      <c r="B6365" s="40"/>
    </row>
    <row r="6366" spans="1:2" x14ac:dyDescent="0.2">
      <c r="A6366" s="40"/>
      <c r="B6366" s="40"/>
    </row>
    <row r="6367" spans="1:2" x14ac:dyDescent="0.2">
      <c r="A6367" s="40"/>
      <c r="B6367" s="40"/>
    </row>
    <row r="6368" spans="1:2" x14ac:dyDescent="0.2">
      <c r="A6368" s="40"/>
      <c r="B6368" s="40"/>
    </row>
    <row r="6369" spans="1:2" x14ac:dyDescent="0.2">
      <c r="A6369" s="40"/>
      <c r="B6369" s="40"/>
    </row>
    <row r="6370" spans="1:2" x14ac:dyDescent="0.2">
      <c r="A6370" s="40"/>
      <c r="B6370" s="40"/>
    </row>
    <row r="6371" spans="1:2" x14ac:dyDescent="0.2">
      <c r="A6371" s="40"/>
      <c r="B6371" s="40"/>
    </row>
    <row r="6372" spans="1:2" x14ac:dyDescent="0.2">
      <c r="A6372" s="40"/>
      <c r="B6372" s="40"/>
    </row>
    <row r="6373" spans="1:2" x14ac:dyDescent="0.2">
      <c r="A6373" s="40"/>
      <c r="B6373" s="40"/>
    </row>
    <row r="6374" spans="1:2" x14ac:dyDescent="0.2">
      <c r="A6374" s="40"/>
      <c r="B6374" s="40"/>
    </row>
    <row r="6375" spans="1:2" x14ac:dyDescent="0.2">
      <c r="A6375" s="40"/>
      <c r="B6375" s="40"/>
    </row>
    <row r="6376" spans="1:2" x14ac:dyDescent="0.2">
      <c r="A6376" s="40"/>
      <c r="B6376" s="40"/>
    </row>
    <row r="6377" spans="1:2" x14ac:dyDescent="0.2">
      <c r="A6377" s="40"/>
      <c r="B6377" s="40"/>
    </row>
    <row r="6378" spans="1:2" x14ac:dyDescent="0.2">
      <c r="A6378" s="40"/>
      <c r="B6378" s="40"/>
    </row>
    <row r="6379" spans="1:2" x14ac:dyDescent="0.2">
      <c r="A6379" s="40"/>
      <c r="B6379" s="40"/>
    </row>
    <row r="6380" spans="1:2" x14ac:dyDescent="0.2">
      <c r="A6380" s="40"/>
      <c r="B6380" s="40"/>
    </row>
    <row r="6381" spans="1:2" x14ac:dyDescent="0.2">
      <c r="A6381" s="40"/>
      <c r="B6381" s="40"/>
    </row>
    <row r="6382" spans="1:2" x14ac:dyDescent="0.2">
      <c r="A6382" s="40"/>
      <c r="B6382" s="40"/>
    </row>
    <row r="6383" spans="1:2" x14ac:dyDescent="0.2">
      <c r="A6383" s="40"/>
      <c r="B6383" s="40"/>
    </row>
    <row r="6384" spans="1:2" x14ac:dyDescent="0.2">
      <c r="A6384" s="40"/>
      <c r="B6384" s="40"/>
    </row>
    <row r="6385" spans="1:2" x14ac:dyDescent="0.2">
      <c r="A6385" s="40"/>
      <c r="B6385" s="40"/>
    </row>
    <row r="6386" spans="1:2" x14ac:dyDescent="0.2">
      <c r="A6386" s="40"/>
      <c r="B6386" s="40"/>
    </row>
    <row r="6387" spans="1:2" x14ac:dyDescent="0.2">
      <c r="A6387" s="40"/>
      <c r="B6387" s="40"/>
    </row>
    <row r="6388" spans="1:2" x14ac:dyDescent="0.2">
      <c r="A6388" s="40"/>
      <c r="B6388" s="40"/>
    </row>
    <row r="6389" spans="1:2" x14ac:dyDescent="0.2">
      <c r="A6389" s="40"/>
      <c r="B6389" s="40"/>
    </row>
    <row r="6390" spans="1:2" x14ac:dyDescent="0.2">
      <c r="A6390" s="40"/>
      <c r="B6390" s="40"/>
    </row>
    <row r="6391" spans="1:2" x14ac:dyDescent="0.2">
      <c r="A6391" s="40"/>
      <c r="B6391" s="40"/>
    </row>
    <row r="6392" spans="1:2" x14ac:dyDescent="0.2">
      <c r="A6392" s="40"/>
      <c r="B6392" s="40"/>
    </row>
    <row r="6393" spans="1:2" x14ac:dyDescent="0.2">
      <c r="A6393" s="40"/>
      <c r="B6393" s="40"/>
    </row>
    <row r="6394" spans="1:2" x14ac:dyDescent="0.2">
      <c r="A6394" s="40"/>
      <c r="B6394" s="40"/>
    </row>
    <row r="6395" spans="1:2" x14ac:dyDescent="0.2">
      <c r="A6395" s="40"/>
      <c r="B6395" s="40"/>
    </row>
    <row r="6396" spans="1:2" x14ac:dyDescent="0.2">
      <c r="A6396" s="40"/>
      <c r="B6396" s="40"/>
    </row>
    <row r="6397" spans="1:2" x14ac:dyDescent="0.2">
      <c r="A6397" s="40"/>
      <c r="B6397" s="40"/>
    </row>
    <row r="6398" spans="1:2" x14ac:dyDescent="0.2">
      <c r="A6398" s="40"/>
      <c r="B6398" s="40"/>
    </row>
    <row r="6399" spans="1:2" x14ac:dyDescent="0.2">
      <c r="A6399" s="40"/>
      <c r="B6399" s="40"/>
    </row>
    <row r="6400" spans="1:2" x14ac:dyDescent="0.2">
      <c r="A6400" s="40"/>
      <c r="B6400" s="40"/>
    </row>
    <row r="6401" spans="1:2" x14ac:dyDescent="0.2">
      <c r="A6401" s="40"/>
      <c r="B6401" s="40"/>
    </row>
    <row r="6402" spans="1:2" x14ac:dyDescent="0.2">
      <c r="A6402" s="40"/>
      <c r="B6402" s="40"/>
    </row>
    <row r="6403" spans="1:2" x14ac:dyDescent="0.2">
      <c r="A6403" s="40"/>
      <c r="B6403" s="40"/>
    </row>
    <row r="6404" spans="1:2" x14ac:dyDescent="0.2">
      <c r="A6404" s="40"/>
      <c r="B6404" s="40"/>
    </row>
    <row r="6405" spans="1:2" x14ac:dyDescent="0.2">
      <c r="A6405" s="40"/>
      <c r="B6405" s="40"/>
    </row>
    <row r="6406" spans="1:2" x14ac:dyDescent="0.2">
      <c r="A6406" s="40"/>
      <c r="B6406" s="40"/>
    </row>
    <row r="6407" spans="1:2" x14ac:dyDescent="0.2">
      <c r="A6407" s="40"/>
      <c r="B6407" s="40"/>
    </row>
    <row r="6408" spans="1:2" x14ac:dyDescent="0.2">
      <c r="A6408" s="40"/>
      <c r="B6408" s="40"/>
    </row>
    <row r="6409" spans="1:2" x14ac:dyDescent="0.2">
      <c r="A6409" s="40"/>
      <c r="B6409" s="40"/>
    </row>
    <row r="6410" spans="1:2" x14ac:dyDescent="0.2">
      <c r="A6410" s="40"/>
      <c r="B6410" s="40"/>
    </row>
    <row r="6411" spans="1:2" x14ac:dyDescent="0.2">
      <c r="A6411" s="40"/>
      <c r="B6411" s="40"/>
    </row>
    <row r="6412" spans="1:2" x14ac:dyDescent="0.2">
      <c r="A6412" s="40"/>
      <c r="B6412" s="40"/>
    </row>
    <row r="6413" spans="1:2" x14ac:dyDescent="0.2">
      <c r="A6413" s="40"/>
      <c r="B6413" s="40"/>
    </row>
    <row r="6414" spans="1:2" x14ac:dyDescent="0.2">
      <c r="A6414" s="40"/>
      <c r="B6414" s="40"/>
    </row>
    <row r="6415" spans="1:2" x14ac:dyDescent="0.2">
      <c r="A6415" s="40"/>
      <c r="B6415" s="40"/>
    </row>
    <row r="6416" spans="1:2" x14ac:dyDescent="0.2">
      <c r="A6416" s="40"/>
      <c r="B6416" s="40"/>
    </row>
    <row r="6417" spans="1:2" x14ac:dyDescent="0.2">
      <c r="A6417" s="40"/>
      <c r="B6417" s="40"/>
    </row>
    <row r="6418" spans="1:2" x14ac:dyDescent="0.2">
      <c r="A6418" s="40"/>
      <c r="B6418" s="40"/>
    </row>
    <row r="6419" spans="1:2" x14ac:dyDescent="0.2">
      <c r="A6419" s="40"/>
      <c r="B6419" s="40"/>
    </row>
    <row r="6420" spans="1:2" x14ac:dyDescent="0.2">
      <c r="A6420" s="40"/>
      <c r="B6420" s="40"/>
    </row>
    <row r="6421" spans="1:2" x14ac:dyDescent="0.2">
      <c r="A6421" s="40"/>
      <c r="B6421" s="40"/>
    </row>
    <row r="6422" spans="1:2" x14ac:dyDescent="0.2">
      <c r="A6422" s="40"/>
      <c r="B6422" s="40"/>
    </row>
    <row r="6423" spans="1:2" x14ac:dyDescent="0.2">
      <c r="A6423" s="40"/>
      <c r="B6423" s="40"/>
    </row>
    <row r="6424" spans="1:2" x14ac:dyDescent="0.2">
      <c r="A6424" s="40"/>
      <c r="B6424" s="40"/>
    </row>
    <row r="6425" spans="1:2" x14ac:dyDescent="0.2">
      <c r="A6425" s="40"/>
      <c r="B6425" s="40"/>
    </row>
    <row r="6426" spans="1:2" x14ac:dyDescent="0.2">
      <c r="A6426" s="40"/>
      <c r="B6426" s="40"/>
    </row>
    <row r="6427" spans="1:2" x14ac:dyDescent="0.2">
      <c r="A6427" s="40"/>
      <c r="B6427" s="40"/>
    </row>
    <row r="6428" spans="1:2" x14ac:dyDescent="0.2">
      <c r="A6428" s="40"/>
      <c r="B6428" s="40"/>
    </row>
    <row r="6429" spans="1:2" x14ac:dyDescent="0.2">
      <c r="A6429" s="40"/>
      <c r="B6429" s="40"/>
    </row>
    <row r="6430" spans="1:2" x14ac:dyDescent="0.2">
      <c r="A6430" s="40"/>
      <c r="B6430" s="40"/>
    </row>
    <row r="6431" spans="1:2" x14ac:dyDescent="0.2">
      <c r="A6431" s="40"/>
      <c r="B6431" s="40"/>
    </row>
    <row r="6432" spans="1:2" x14ac:dyDescent="0.2">
      <c r="A6432" s="40"/>
      <c r="B6432" s="40"/>
    </row>
    <row r="6433" spans="1:2" x14ac:dyDescent="0.2">
      <c r="A6433" s="40"/>
      <c r="B6433" s="40"/>
    </row>
    <row r="6434" spans="1:2" x14ac:dyDescent="0.2">
      <c r="A6434" s="40"/>
      <c r="B6434" s="40"/>
    </row>
    <row r="6435" spans="1:2" x14ac:dyDescent="0.2">
      <c r="A6435" s="40"/>
      <c r="B6435" s="40"/>
    </row>
    <row r="6436" spans="1:2" x14ac:dyDescent="0.2">
      <c r="A6436" s="40"/>
      <c r="B6436" s="40"/>
    </row>
    <row r="6437" spans="1:2" x14ac:dyDescent="0.2">
      <c r="A6437" s="40"/>
      <c r="B6437" s="40"/>
    </row>
    <row r="6438" spans="1:2" x14ac:dyDescent="0.2">
      <c r="A6438" s="40"/>
      <c r="B6438" s="40"/>
    </row>
    <row r="6439" spans="1:2" x14ac:dyDescent="0.2">
      <c r="A6439" s="40"/>
      <c r="B6439" s="40"/>
    </row>
    <row r="6440" spans="1:2" x14ac:dyDescent="0.2">
      <c r="A6440" s="40"/>
      <c r="B6440" s="40"/>
    </row>
    <row r="6441" spans="1:2" x14ac:dyDescent="0.2">
      <c r="A6441" s="40"/>
      <c r="B6441" s="40"/>
    </row>
    <row r="6442" spans="1:2" x14ac:dyDescent="0.2">
      <c r="A6442" s="40"/>
      <c r="B6442" s="40"/>
    </row>
    <row r="6443" spans="1:2" x14ac:dyDescent="0.2">
      <c r="A6443" s="40"/>
      <c r="B6443" s="40"/>
    </row>
    <row r="6444" spans="1:2" x14ac:dyDescent="0.2">
      <c r="A6444" s="40"/>
      <c r="B6444" s="40"/>
    </row>
    <row r="6445" spans="1:2" x14ac:dyDescent="0.2">
      <c r="A6445" s="40"/>
      <c r="B6445" s="40"/>
    </row>
    <row r="6446" spans="1:2" x14ac:dyDescent="0.2">
      <c r="A6446" s="40"/>
      <c r="B6446" s="40"/>
    </row>
    <row r="6447" spans="1:2" x14ac:dyDescent="0.2">
      <c r="A6447" s="40"/>
      <c r="B6447" s="40"/>
    </row>
    <row r="6448" spans="1:2" x14ac:dyDescent="0.2">
      <c r="A6448" s="40"/>
      <c r="B6448" s="40"/>
    </row>
    <row r="6449" spans="1:2" x14ac:dyDescent="0.2">
      <c r="A6449" s="40"/>
      <c r="B6449" s="40"/>
    </row>
    <row r="6450" spans="1:2" x14ac:dyDescent="0.2">
      <c r="A6450" s="40"/>
      <c r="B6450" s="40"/>
    </row>
    <row r="6451" spans="1:2" x14ac:dyDescent="0.2">
      <c r="A6451" s="40"/>
      <c r="B6451" s="40"/>
    </row>
    <row r="6452" spans="1:2" x14ac:dyDescent="0.2">
      <c r="A6452" s="40"/>
      <c r="B6452" s="40"/>
    </row>
    <row r="6453" spans="1:2" x14ac:dyDescent="0.2">
      <c r="A6453" s="40"/>
      <c r="B6453" s="40"/>
    </row>
    <row r="6454" spans="1:2" x14ac:dyDescent="0.2">
      <c r="A6454" s="40"/>
      <c r="B6454" s="40"/>
    </row>
    <row r="6455" spans="1:2" x14ac:dyDescent="0.2">
      <c r="A6455" s="40"/>
      <c r="B6455" s="40"/>
    </row>
    <row r="6456" spans="1:2" x14ac:dyDescent="0.2">
      <c r="A6456" s="40"/>
      <c r="B6456" s="40"/>
    </row>
    <row r="6457" spans="1:2" x14ac:dyDescent="0.2">
      <c r="A6457" s="40"/>
      <c r="B6457" s="40"/>
    </row>
    <row r="6458" spans="1:2" x14ac:dyDescent="0.2">
      <c r="A6458" s="40"/>
      <c r="B6458" s="40"/>
    </row>
    <row r="6459" spans="1:2" x14ac:dyDescent="0.2">
      <c r="A6459" s="40"/>
      <c r="B6459" s="40"/>
    </row>
    <row r="6460" spans="1:2" x14ac:dyDescent="0.2">
      <c r="A6460" s="40"/>
      <c r="B6460" s="40"/>
    </row>
    <row r="6461" spans="1:2" x14ac:dyDescent="0.2">
      <c r="A6461" s="40"/>
      <c r="B6461" s="40"/>
    </row>
    <row r="6462" spans="1:2" x14ac:dyDescent="0.2">
      <c r="A6462" s="40"/>
      <c r="B6462" s="40"/>
    </row>
    <row r="6463" spans="1:2" x14ac:dyDescent="0.2">
      <c r="A6463" s="40"/>
      <c r="B6463" s="40"/>
    </row>
    <row r="6464" spans="1:2" x14ac:dyDescent="0.2">
      <c r="A6464" s="40"/>
      <c r="B6464" s="40"/>
    </row>
    <row r="6465" spans="1:2" x14ac:dyDescent="0.2">
      <c r="A6465" s="40"/>
      <c r="B6465" s="40"/>
    </row>
    <row r="6466" spans="1:2" x14ac:dyDescent="0.2">
      <c r="A6466" s="40"/>
      <c r="B6466" s="40"/>
    </row>
    <row r="6467" spans="1:2" x14ac:dyDescent="0.2">
      <c r="A6467" s="40"/>
      <c r="B6467" s="40"/>
    </row>
    <row r="6468" spans="1:2" x14ac:dyDescent="0.2">
      <c r="A6468" s="40"/>
      <c r="B6468" s="40"/>
    </row>
    <row r="6469" spans="1:2" x14ac:dyDescent="0.2">
      <c r="A6469" s="40"/>
      <c r="B6469" s="40"/>
    </row>
    <row r="6470" spans="1:2" x14ac:dyDescent="0.2">
      <c r="A6470" s="40"/>
      <c r="B6470" s="40"/>
    </row>
    <row r="6471" spans="1:2" x14ac:dyDescent="0.2">
      <c r="A6471" s="40"/>
      <c r="B6471" s="40"/>
    </row>
    <row r="6472" spans="1:2" x14ac:dyDescent="0.2">
      <c r="A6472" s="40"/>
      <c r="B6472" s="40"/>
    </row>
    <row r="6473" spans="1:2" x14ac:dyDescent="0.2">
      <c r="A6473" s="40"/>
      <c r="B6473" s="40"/>
    </row>
    <row r="6474" spans="1:2" x14ac:dyDescent="0.2">
      <c r="A6474" s="40"/>
      <c r="B6474" s="40"/>
    </row>
    <row r="6475" spans="1:2" x14ac:dyDescent="0.2">
      <c r="A6475" s="40"/>
      <c r="B6475" s="40"/>
    </row>
    <row r="6476" spans="1:2" x14ac:dyDescent="0.2">
      <c r="A6476" s="40"/>
      <c r="B6476" s="40"/>
    </row>
    <row r="6477" spans="1:2" x14ac:dyDescent="0.2">
      <c r="A6477" s="40"/>
      <c r="B6477" s="40"/>
    </row>
    <row r="6478" spans="1:2" x14ac:dyDescent="0.2">
      <c r="A6478" s="40"/>
      <c r="B6478" s="40"/>
    </row>
    <row r="6479" spans="1:2" x14ac:dyDescent="0.2">
      <c r="A6479" s="40"/>
      <c r="B6479" s="40"/>
    </row>
    <row r="6480" spans="1:2" x14ac:dyDescent="0.2">
      <c r="A6480" s="40"/>
      <c r="B6480" s="40"/>
    </row>
    <row r="6481" spans="1:2" x14ac:dyDescent="0.2">
      <c r="A6481" s="40"/>
      <c r="B6481" s="40"/>
    </row>
    <row r="6482" spans="1:2" x14ac:dyDescent="0.2">
      <c r="A6482" s="40"/>
      <c r="B6482" s="40"/>
    </row>
    <row r="6483" spans="1:2" x14ac:dyDescent="0.2">
      <c r="A6483" s="40"/>
      <c r="B6483" s="40"/>
    </row>
    <row r="6484" spans="1:2" x14ac:dyDescent="0.2">
      <c r="A6484" s="40"/>
      <c r="B6484" s="40"/>
    </row>
    <row r="6485" spans="1:2" x14ac:dyDescent="0.2">
      <c r="A6485" s="40"/>
      <c r="B6485" s="40"/>
    </row>
    <row r="6486" spans="1:2" x14ac:dyDescent="0.2">
      <c r="A6486" s="40"/>
      <c r="B6486" s="40"/>
    </row>
    <row r="6487" spans="1:2" x14ac:dyDescent="0.2">
      <c r="A6487" s="40"/>
      <c r="B6487" s="40"/>
    </row>
    <row r="6488" spans="1:2" x14ac:dyDescent="0.2">
      <c r="A6488" s="40"/>
      <c r="B6488" s="40"/>
    </row>
    <row r="6489" spans="1:2" x14ac:dyDescent="0.2">
      <c r="A6489" s="40"/>
      <c r="B6489" s="40"/>
    </row>
    <row r="6490" spans="1:2" x14ac:dyDescent="0.2">
      <c r="A6490" s="40"/>
      <c r="B6490" s="40"/>
    </row>
    <row r="6491" spans="1:2" x14ac:dyDescent="0.2">
      <c r="A6491" s="40"/>
      <c r="B6491" s="40"/>
    </row>
    <row r="6492" spans="1:2" x14ac:dyDescent="0.2">
      <c r="A6492" s="40"/>
      <c r="B6492" s="40"/>
    </row>
    <row r="6493" spans="1:2" x14ac:dyDescent="0.2">
      <c r="A6493" s="40"/>
      <c r="B6493" s="40"/>
    </row>
    <row r="6494" spans="1:2" x14ac:dyDescent="0.2">
      <c r="A6494" s="40"/>
      <c r="B6494" s="40"/>
    </row>
    <row r="6495" spans="1:2" x14ac:dyDescent="0.2">
      <c r="A6495" s="40"/>
      <c r="B6495" s="40"/>
    </row>
    <row r="6496" spans="1:2" x14ac:dyDescent="0.2">
      <c r="A6496" s="40"/>
      <c r="B6496" s="40"/>
    </row>
    <row r="6497" spans="1:2" x14ac:dyDescent="0.2">
      <c r="A6497" s="40"/>
      <c r="B6497" s="40"/>
    </row>
    <row r="6498" spans="1:2" x14ac:dyDescent="0.2">
      <c r="A6498" s="40"/>
      <c r="B6498" s="40"/>
    </row>
    <row r="6499" spans="1:2" x14ac:dyDescent="0.2">
      <c r="A6499" s="40"/>
      <c r="B6499" s="40"/>
    </row>
    <row r="6500" spans="1:2" x14ac:dyDescent="0.2">
      <c r="A6500" s="40"/>
      <c r="B6500" s="40"/>
    </row>
    <row r="6501" spans="1:2" x14ac:dyDescent="0.2">
      <c r="A6501" s="40"/>
      <c r="B6501" s="40"/>
    </row>
    <row r="6502" spans="1:2" x14ac:dyDescent="0.2">
      <c r="A6502" s="40"/>
      <c r="B6502" s="40"/>
    </row>
    <row r="6503" spans="1:2" x14ac:dyDescent="0.2">
      <c r="A6503" s="40"/>
      <c r="B6503" s="40"/>
    </row>
    <row r="6504" spans="1:2" x14ac:dyDescent="0.2">
      <c r="A6504" s="40"/>
      <c r="B6504" s="40"/>
    </row>
    <row r="6505" spans="1:2" x14ac:dyDescent="0.2">
      <c r="A6505" s="40"/>
      <c r="B6505" s="40"/>
    </row>
    <row r="6506" spans="1:2" x14ac:dyDescent="0.2">
      <c r="A6506" s="40"/>
      <c r="B6506" s="40"/>
    </row>
    <row r="6507" spans="1:2" x14ac:dyDescent="0.2">
      <c r="A6507" s="40"/>
      <c r="B6507" s="40"/>
    </row>
    <row r="6508" spans="1:2" x14ac:dyDescent="0.2">
      <c r="A6508" s="40"/>
      <c r="B6508" s="40"/>
    </row>
    <row r="6509" spans="1:2" x14ac:dyDescent="0.2">
      <c r="A6509" s="40"/>
      <c r="B6509" s="40"/>
    </row>
    <row r="6510" spans="1:2" x14ac:dyDescent="0.2">
      <c r="A6510" s="40"/>
      <c r="B6510" s="40"/>
    </row>
    <row r="6511" spans="1:2" x14ac:dyDescent="0.2">
      <c r="A6511" s="40"/>
      <c r="B6511" s="40"/>
    </row>
    <row r="6512" spans="1:2" x14ac:dyDescent="0.2">
      <c r="A6512" s="40"/>
      <c r="B6512" s="40"/>
    </row>
    <row r="6513" spans="1:2" x14ac:dyDescent="0.2">
      <c r="A6513" s="40"/>
      <c r="B6513" s="40"/>
    </row>
    <row r="6514" spans="1:2" x14ac:dyDescent="0.2">
      <c r="A6514" s="40"/>
      <c r="B6514" s="40"/>
    </row>
    <row r="6515" spans="1:2" x14ac:dyDescent="0.2">
      <c r="A6515" s="40"/>
      <c r="B6515" s="40"/>
    </row>
    <row r="6516" spans="1:2" x14ac:dyDescent="0.2">
      <c r="A6516" s="40"/>
      <c r="B6516" s="40"/>
    </row>
    <row r="6517" spans="1:2" x14ac:dyDescent="0.2">
      <c r="A6517" s="40"/>
      <c r="B6517" s="40"/>
    </row>
    <row r="6518" spans="1:2" x14ac:dyDescent="0.2">
      <c r="A6518" s="40"/>
      <c r="B6518" s="40"/>
    </row>
    <row r="6519" spans="1:2" x14ac:dyDescent="0.2">
      <c r="A6519" s="40"/>
      <c r="B6519" s="40"/>
    </row>
    <row r="6520" spans="1:2" x14ac:dyDescent="0.2">
      <c r="A6520" s="40"/>
      <c r="B6520" s="40"/>
    </row>
    <row r="6521" spans="1:2" x14ac:dyDescent="0.2">
      <c r="A6521" s="40"/>
      <c r="B6521" s="40"/>
    </row>
    <row r="6522" spans="1:2" x14ac:dyDescent="0.2">
      <c r="A6522" s="40"/>
      <c r="B6522" s="40"/>
    </row>
    <row r="6523" spans="1:2" x14ac:dyDescent="0.2">
      <c r="A6523" s="40"/>
      <c r="B6523" s="40"/>
    </row>
    <row r="6524" spans="1:2" x14ac:dyDescent="0.2">
      <c r="A6524" s="40"/>
      <c r="B6524" s="40"/>
    </row>
    <row r="6525" spans="1:2" x14ac:dyDescent="0.2">
      <c r="A6525" s="40"/>
      <c r="B6525" s="40"/>
    </row>
    <row r="6526" spans="1:2" x14ac:dyDescent="0.2">
      <c r="A6526" s="40"/>
      <c r="B6526" s="40"/>
    </row>
    <row r="6527" spans="1:2" x14ac:dyDescent="0.2">
      <c r="A6527" s="40"/>
      <c r="B6527" s="40"/>
    </row>
    <row r="6528" spans="1:2" x14ac:dyDescent="0.2">
      <c r="A6528" s="40"/>
      <c r="B6528" s="40"/>
    </row>
    <row r="6529" spans="1:2" x14ac:dyDescent="0.2">
      <c r="A6529" s="40"/>
      <c r="B6529" s="40"/>
    </row>
    <row r="6530" spans="1:2" x14ac:dyDescent="0.2">
      <c r="A6530" s="40"/>
      <c r="B6530" s="40"/>
    </row>
    <row r="6531" spans="1:2" x14ac:dyDescent="0.2">
      <c r="A6531" s="40"/>
      <c r="B6531" s="40"/>
    </row>
    <row r="6532" spans="1:2" x14ac:dyDescent="0.2">
      <c r="A6532" s="40"/>
      <c r="B6532" s="40"/>
    </row>
    <row r="6533" spans="1:2" x14ac:dyDescent="0.2">
      <c r="A6533" s="40"/>
      <c r="B6533" s="40"/>
    </row>
    <row r="6534" spans="1:2" x14ac:dyDescent="0.2">
      <c r="A6534" s="40"/>
      <c r="B6534" s="40"/>
    </row>
    <row r="6535" spans="1:2" x14ac:dyDescent="0.2">
      <c r="A6535" s="40"/>
      <c r="B6535" s="40"/>
    </row>
    <row r="6536" spans="1:2" x14ac:dyDescent="0.2">
      <c r="A6536" s="40"/>
      <c r="B6536" s="40"/>
    </row>
    <row r="6537" spans="1:2" x14ac:dyDescent="0.2">
      <c r="A6537" s="40"/>
      <c r="B6537" s="40"/>
    </row>
    <row r="6538" spans="1:2" x14ac:dyDescent="0.2">
      <c r="A6538" s="40"/>
      <c r="B6538" s="40"/>
    </row>
    <row r="6539" spans="1:2" x14ac:dyDescent="0.2">
      <c r="A6539" s="40"/>
      <c r="B6539" s="40"/>
    </row>
    <row r="6540" spans="1:2" x14ac:dyDescent="0.2">
      <c r="A6540" s="40"/>
      <c r="B6540" s="40"/>
    </row>
    <row r="6541" spans="1:2" x14ac:dyDescent="0.2">
      <c r="A6541" s="40"/>
      <c r="B6541" s="40"/>
    </row>
    <row r="6542" spans="1:2" x14ac:dyDescent="0.2">
      <c r="A6542" s="40"/>
      <c r="B6542" s="40"/>
    </row>
    <row r="6543" spans="1:2" x14ac:dyDescent="0.2">
      <c r="A6543" s="40"/>
      <c r="B6543" s="40"/>
    </row>
    <row r="6544" spans="1:2" x14ac:dyDescent="0.2">
      <c r="A6544" s="40"/>
      <c r="B6544" s="40"/>
    </row>
    <row r="6545" spans="1:2" x14ac:dyDescent="0.2">
      <c r="A6545" s="40"/>
      <c r="B6545" s="40"/>
    </row>
    <row r="6546" spans="1:2" x14ac:dyDescent="0.2">
      <c r="A6546" s="40"/>
      <c r="B6546" s="40"/>
    </row>
    <row r="6547" spans="1:2" x14ac:dyDescent="0.2">
      <c r="A6547" s="40"/>
      <c r="B6547" s="40"/>
    </row>
    <row r="6548" spans="1:2" x14ac:dyDescent="0.2">
      <c r="A6548" s="40"/>
      <c r="B6548" s="40"/>
    </row>
    <row r="6549" spans="1:2" x14ac:dyDescent="0.2">
      <c r="A6549" s="40"/>
      <c r="B6549" s="40"/>
    </row>
    <row r="6550" spans="1:2" x14ac:dyDescent="0.2">
      <c r="A6550" s="40"/>
      <c r="B6550" s="40"/>
    </row>
    <row r="6551" spans="1:2" x14ac:dyDescent="0.2">
      <c r="A6551" s="40"/>
      <c r="B6551" s="40"/>
    </row>
    <row r="6552" spans="1:2" x14ac:dyDescent="0.2">
      <c r="A6552" s="40"/>
      <c r="B6552" s="40"/>
    </row>
    <row r="6553" spans="1:2" x14ac:dyDescent="0.2">
      <c r="A6553" s="40"/>
      <c r="B6553" s="40"/>
    </row>
    <row r="6554" spans="1:2" x14ac:dyDescent="0.2">
      <c r="A6554" s="40"/>
      <c r="B6554" s="40"/>
    </row>
    <row r="6555" spans="1:2" x14ac:dyDescent="0.2">
      <c r="A6555" s="40"/>
      <c r="B6555" s="40"/>
    </row>
    <row r="6556" spans="1:2" x14ac:dyDescent="0.2">
      <c r="A6556" s="40"/>
      <c r="B6556" s="40"/>
    </row>
    <row r="6557" spans="1:2" x14ac:dyDescent="0.2">
      <c r="A6557" s="40"/>
      <c r="B6557" s="40"/>
    </row>
    <row r="6558" spans="1:2" x14ac:dyDescent="0.2">
      <c r="A6558" s="40"/>
      <c r="B6558" s="40"/>
    </row>
    <row r="6559" spans="1:2" x14ac:dyDescent="0.2">
      <c r="A6559" s="40"/>
      <c r="B6559" s="40"/>
    </row>
    <row r="6560" spans="1:2" x14ac:dyDescent="0.2">
      <c r="A6560" s="40"/>
      <c r="B6560" s="40"/>
    </row>
    <row r="6561" spans="1:2" x14ac:dyDescent="0.2">
      <c r="A6561" s="40"/>
      <c r="B6561" s="40"/>
    </row>
    <row r="6562" spans="1:2" x14ac:dyDescent="0.2">
      <c r="A6562" s="40"/>
      <c r="B6562" s="40"/>
    </row>
    <row r="6563" spans="1:2" x14ac:dyDescent="0.2">
      <c r="A6563" s="40"/>
      <c r="B6563" s="40"/>
    </row>
    <row r="6564" spans="1:2" x14ac:dyDescent="0.2">
      <c r="A6564" s="40"/>
      <c r="B6564" s="40"/>
    </row>
    <row r="6565" spans="1:2" x14ac:dyDescent="0.2">
      <c r="A6565" s="40"/>
      <c r="B6565" s="40"/>
    </row>
    <row r="6566" spans="1:2" x14ac:dyDescent="0.2">
      <c r="A6566" s="40"/>
      <c r="B6566" s="40"/>
    </row>
    <row r="6567" spans="1:2" x14ac:dyDescent="0.2">
      <c r="A6567" s="40"/>
      <c r="B6567" s="40"/>
    </row>
    <row r="6568" spans="1:2" x14ac:dyDescent="0.2">
      <c r="A6568" s="40"/>
      <c r="B6568" s="40"/>
    </row>
    <row r="6569" spans="1:2" x14ac:dyDescent="0.2">
      <c r="A6569" s="40"/>
      <c r="B6569" s="40"/>
    </row>
    <row r="6570" spans="1:2" x14ac:dyDescent="0.2">
      <c r="A6570" s="40"/>
      <c r="B6570" s="40"/>
    </row>
    <row r="6571" spans="1:2" x14ac:dyDescent="0.2">
      <c r="A6571" s="40"/>
      <c r="B6571" s="40"/>
    </row>
    <row r="6572" spans="1:2" x14ac:dyDescent="0.2">
      <c r="A6572" s="40"/>
      <c r="B6572" s="40"/>
    </row>
    <row r="6573" spans="1:2" x14ac:dyDescent="0.2">
      <c r="A6573" s="40"/>
      <c r="B6573" s="40"/>
    </row>
    <row r="6574" spans="1:2" x14ac:dyDescent="0.2">
      <c r="A6574" s="40"/>
      <c r="B6574" s="40"/>
    </row>
    <row r="6575" spans="1:2" x14ac:dyDescent="0.2">
      <c r="A6575" s="40"/>
      <c r="B6575" s="40"/>
    </row>
    <row r="6576" spans="1:2" x14ac:dyDescent="0.2">
      <c r="A6576" s="40"/>
      <c r="B6576" s="40"/>
    </row>
    <row r="6577" spans="1:2" x14ac:dyDescent="0.2">
      <c r="A6577" s="40"/>
      <c r="B6577" s="40"/>
    </row>
    <row r="6578" spans="1:2" x14ac:dyDescent="0.2">
      <c r="A6578" s="40"/>
      <c r="B6578" s="40"/>
    </row>
    <row r="6579" spans="1:2" x14ac:dyDescent="0.2">
      <c r="A6579" s="40"/>
      <c r="B6579" s="40"/>
    </row>
    <row r="6580" spans="1:2" x14ac:dyDescent="0.2">
      <c r="A6580" s="40"/>
      <c r="B6580" s="40"/>
    </row>
    <row r="6581" spans="1:2" x14ac:dyDescent="0.2">
      <c r="A6581" s="40"/>
      <c r="B6581" s="40"/>
    </row>
    <row r="6582" spans="1:2" x14ac:dyDescent="0.2">
      <c r="A6582" s="40"/>
      <c r="B6582" s="40"/>
    </row>
    <row r="6583" spans="1:2" x14ac:dyDescent="0.2">
      <c r="A6583" s="40"/>
      <c r="B6583" s="40"/>
    </row>
    <row r="6584" spans="1:2" x14ac:dyDescent="0.2">
      <c r="A6584" s="40"/>
      <c r="B6584" s="40"/>
    </row>
    <row r="6585" spans="1:2" x14ac:dyDescent="0.2">
      <c r="A6585" s="40"/>
      <c r="B6585" s="40"/>
    </row>
    <row r="6586" spans="1:2" x14ac:dyDescent="0.2">
      <c r="A6586" s="40"/>
      <c r="B6586" s="40"/>
    </row>
    <row r="6587" spans="1:2" x14ac:dyDescent="0.2">
      <c r="A6587" s="40"/>
      <c r="B6587" s="40"/>
    </row>
    <row r="6588" spans="1:2" x14ac:dyDescent="0.2">
      <c r="A6588" s="40"/>
      <c r="B6588" s="40"/>
    </row>
    <row r="6589" spans="1:2" x14ac:dyDescent="0.2">
      <c r="A6589" s="40"/>
      <c r="B6589" s="40"/>
    </row>
    <row r="6590" spans="1:2" x14ac:dyDescent="0.2">
      <c r="A6590" s="40"/>
      <c r="B6590" s="40"/>
    </row>
    <row r="6591" spans="1:2" x14ac:dyDescent="0.2">
      <c r="A6591" s="40"/>
      <c r="B6591" s="40"/>
    </row>
    <row r="6592" spans="1:2" x14ac:dyDescent="0.2">
      <c r="A6592" s="40"/>
      <c r="B6592" s="40"/>
    </row>
    <row r="6593" spans="1:2" x14ac:dyDescent="0.2">
      <c r="A6593" s="40"/>
      <c r="B6593" s="40"/>
    </row>
    <row r="6594" spans="1:2" x14ac:dyDescent="0.2">
      <c r="A6594" s="40"/>
      <c r="B6594" s="40"/>
    </row>
    <row r="6595" spans="1:2" x14ac:dyDescent="0.2">
      <c r="A6595" s="40"/>
      <c r="B6595" s="40"/>
    </row>
    <row r="6596" spans="1:2" x14ac:dyDescent="0.2">
      <c r="A6596" s="40"/>
      <c r="B6596" s="40"/>
    </row>
    <row r="6597" spans="1:2" x14ac:dyDescent="0.2">
      <c r="A6597" s="40"/>
      <c r="B6597" s="40"/>
    </row>
    <row r="6598" spans="1:2" x14ac:dyDescent="0.2">
      <c r="A6598" s="40"/>
      <c r="B6598" s="40"/>
    </row>
    <row r="6599" spans="1:2" x14ac:dyDescent="0.2">
      <c r="A6599" s="40"/>
      <c r="B6599" s="40"/>
    </row>
    <row r="6600" spans="1:2" x14ac:dyDescent="0.2">
      <c r="A6600" s="40"/>
      <c r="B6600" s="40"/>
    </row>
    <row r="6601" spans="1:2" x14ac:dyDescent="0.2">
      <c r="A6601" s="40"/>
      <c r="B6601" s="40"/>
    </row>
    <row r="6602" spans="1:2" x14ac:dyDescent="0.2">
      <c r="A6602" s="40"/>
      <c r="B6602" s="40"/>
    </row>
    <row r="6603" spans="1:2" x14ac:dyDescent="0.2">
      <c r="A6603" s="40"/>
      <c r="B6603" s="40"/>
    </row>
    <row r="6604" spans="1:2" x14ac:dyDescent="0.2">
      <c r="A6604" s="40"/>
      <c r="B6604" s="40"/>
    </row>
    <row r="6605" spans="1:2" x14ac:dyDescent="0.2">
      <c r="A6605" s="40"/>
      <c r="B6605" s="40"/>
    </row>
    <row r="6606" spans="1:2" x14ac:dyDescent="0.2">
      <c r="A6606" s="40"/>
      <c r="B6606" s="40"/>
    </row>
    <row r="6607" spans="1:2" x14ac:dyDescent="0.2">
      <c r="A6607" s="40"/>
      <c r="B6607" s="40"/>
    </row>
    <row r="6608" spans="1:2" x14ac:dyDescent="0.2">
      <c r="A6608" s="40"/>
      <c r="B6608" s="40"/>
    </row>
    <row r="6609" spans="1:2" x14ac:dyDescent="0.2">
      <c r="A6609" s="40"/>
      <c r="B6609" s="40"/>
    </row>
    <row r="6610" spans="1:2" x14ac:dyDescent="0.2">
      <c r="A6610" s="40"/>
      <c r="B6610" s="40"/>
    </row>
    <row r="6611" spans="1:2" x14ac:dyDescent="0.2">
      <c r="A6611" s="40"/>
      <c r="B6611" s="40"/>
    </row>
    <row r="6612" spans="1:2" x14ac:dyDescent="0.2">
      <c r="A6612" s="40"/>
      <c r="B6612" s="40"/>
    </row>
    <row r="6613" spans="1:2" x14ac:dyDescent="0.2">
      <c r="A6613" s="40"/>
      <c r="B6613" s="40"/>
    </row>
    <row r="6614" spans="1:2" x14ac:dyDescent="0.2">
      <c r="A6614" s="40"/>
      <c r="B6614" s="40"/>
    </row>
    <row r="6615" spans="1:2" x14ac:dyDescent="0.2">
      <c r="A6615" s="40"/>
      <c r="B6615" s="40"/>
    </row>
    <row r="6616" spans="1:2" x14ac:dyDescent="0.2">
      <c r="A6616" s="40"/>
      <c r="B6616" s="40"/>
    </row>
    <row r="6617" spans="1:2" x14ac:dyDescent="0.2">
      <c r="A6617" s="40"/>
      <c r="B6617" s="40"/>
    </row>
    <row r="6618" spans="1:2" x14ac:dyDescent="0.2">
      <c r="A6618" s="40"/>
      <c r="B6618" s="40"/>
    </row>
    <row r="6619" spans="1:2" x14ac:dyDescent="0.2">
      <c r="A6619" s="40"/>
      <c r="B6619" s="40"/>
    </row>
    <row r="6620" spans="1:2" x14ac:dyDescent="0.2">
      <c r="A6620" s="40"/>
      <c r="B6620" s="40"/>
    </row>
    <row r="6621" spans="1:2" x14ac:dyDescent="0.2">
      <c r="A6621" s="40"/>
      <c r="B6621" s="40"/>
    </row>
    <row r="6622" spans="1:2" x14ac:dyDescent="0.2">
      <c r="A6622" s="40"/>
      <c r="B6622" s="40"/>
    </row>
    <row r="6623" spans="1:2" x14ac:dyDescent="0.2">
      <c r="A6623" s="40"/>
      <c r="B6623" s="40"/>
    </row>
    <row r="6624" spans="1:2" x14ac:dyDescent="0.2">
      <c r="A6624" s="40"/>
      <c r="B6624" s="40"/>
    </row>
    <row r="6625" spans="1:2" x14ac:dyDescent="0.2">
      <c r="A6625" s="40"/>
      <c r="B6625" s="40"/>
    </row>
    <row r="6626" spans="1:2" x14ac:dyDescent="0.2">
      <c r="A6626" s="40"/>
      <c r="B6626" s="40"/>
    </row>
    <row r="6627" spans="1:2" x14ac:dyDescent="0.2">
      <c r="A6627" s="40"/>
      <c r="B6627" s="40"/>
    </row>
    <row r="6628" spans="1:2" x14ac:dyDescent="0.2">
      <c r="A6628" s="40"/>
      <c r="B6628" s="40"/>
    </row>
    <row r="6629" spans="1:2" x14ac:dyDescent="0.2">
      <c r="A6629" s="40"/>
      <c r="B6629" s="40"/>
    </row>
    <row r="6630" spans="1:2" x14ac:dyDescent="0.2">
      <c r="A6630" s="40"/>
      <c r="B6630" s="40"/>
    </row>
    <row r="6631" spans="1:2" x14ac:dyDescent="0.2">
      <c r="A6631" s="40"/>
      <c r="B6631" s="40"/>
    </row>
    <row r="6632" spans="1:2" x14ac:dyDescent="0.2">
      <c r="A6632" s="40"/>
      <c r="B6632" s="40"/>
    </row>
    <row r="6633" spans="1:2" x14ac:dyDescent="0.2">
      <c r="A6633" s="40"/>
      <c r="B6633" s="40"/>
    </row>
    <row r="6634" spans="1:2" x14ac:dyDescent="0.2">
      <c r="A6634" s="40"/>
      <c r="B6634" s="40"/>
    </row>
    <row r="6635" spans="1:2" x14ac:dyDescent="0.2">
      <c r="A6635" s="40"/>
      <c r="B6635" s="40"/>
    </row>
    <row r="6636" spans="1:2" x14ac:dyDescent="0.2">
      <c r="A6636" s="40"/>
      <c r="B6636" s="40"/>
    </row>
    <row r="6637" spans="1:2" x14ac:dyDescent="0.2">
      <c r="A6637" s="40"/>
      <c r="B6637" s="40"/>
    </row>
    <row r="6638" spans="1:2" x14ac:dyDescent="0.2">
      <c r="A6638" s="40"/>
      <c r="B6638" s="40"/>
    </row>
    <row r="6639" spans="1:2" x14ac:dyDescent="0.2">
      <c r="A6639" s="40"/>
      <c r="B6639" s="40"/>
    </row>
    <row r="6640" spans="1:2" x14ac:dyDescent="0.2">
      <c r="A6640" s="40"/>
      <c r="B6640" s="40"/>
    </row>
    <row r="6641" spans="1:2" x14ac:dyDescent="0.2">
      <c r="A6641" s="40"/>
      <c r="B6641" s="40"/>
    </row>
    <row r="6642" spans="1:2" x14ac:dyDescent="0.2">
      <c r="A6642" s="40"/>
      <c r="B6642" s="40"/>
    </row>
    <row r="6643" spans="1:2" x14ac:dyDescent="0.2">
      <c r="A6643" s="40"/>
      <c r="B6643" s="40"/>
    </row>
    <row r="6644" spans="1:2" x14ac:dyDescent="0.2">
      <c r="A6644" s="40"/>
      <c r="B6644" s="40"/>
    </row>
    <row r="6645" spans="1:2" x14ac:dyDescent="0.2">
      <c r="A6645" s="40"/>
      <c r="B6645" s="40"/>
    </row>
    <row r="6646" spans="1:2" x14ac:dyDescent="0.2">
      <c r="A6646" s="40"/>
      <c r="B6646" s="40"/>
    </row>
    <row r="6647" spans="1:2" x14ac:dyDescent="0.2">
      <c r="A6647" s="40"/>
      <c r="B6647" s="40"/>
    </row>
    <row r="6648" spans="1:2" x14ac:dyDescent="0.2">
      <c r="A6648" s="40"/>
      <c r="B6648" s="40"/>
    </row>
    <row r="6649" spans="1:2" x14ac:dyDescent="0.2">
      <c r="A6649" s="40"/>
      <c r="B6649" s="40"/>
    </row>
    <row r="6650" spans="1:2" x14ac:dyDescent="0.2">
      <c r="A6650" s="40"/>
      <c r="B6650" s="40"/>
    </row>
    <row r="6651" spans="1:2" x14ac:dyDescent="0.2">
      <c r="A6651" s="40"/>
      <c r="B6651" s="40"/>
    </row>
    <row r="6652" spans="1:2" x14ac:dyDescent="0.2">
      <c r="A6652" s="40"/>
      <c r="B6652" s="40"/>
    </row>
    <row r="6653" spans="1:2" x14ac:dyDescent="0.2">
      <c r="A6653" s="40"/>
      <c r="B6653" s="40"/>
    </row>
    <row r="6654" spans="1:2" x14ac:dyDescent="0.2">
      <c r="A6654" s="40"/>
      <c r="B6654" s="40"/>
    </row>
    <row r="6655" spans="1:2" x14ac:dyDescent="0.2">
      <c r="A6655" s="40"/>
      <c r="B6655" s="40"/>
    </row>
    <row r="6656" spans="1:2" x14ac:dyDescent="0.2">
      <c r="A6656" s="40"/>
      <c r="B6656" s="40"/>
    </row>
    <row r="6657" spans="1:2" x14ac:dyDescent="0.2">
      <c r="A6657" s="40"/>
      <c r="B6657" s="40"/>
    </row>
    <row r="6658" spans="1:2" x14ac:dyDescent="0.2">
      <c r="A6658" s="40"/>
      <c r="B6658" s="40"/>
    </row>
    <row r="6659" spans="1:2" x14ac:dyDescent="0.2">
      <c r="A6659" s="40"/>
      <c r="B6659" s="40"/>
    </row>
    <row r="6660" spans="1:2" x14ac:dyDescent="0.2">
      <c r="A6660" s="40"/>
      <c r="B6660" s="40"/>
    </row>
    <row r="6661" spans="1:2" x14ac:dyDescent="0.2">
      <c r="A6661" s="40"/>
      <c r="B6661" s="40"/>
    </row>
    <row r="6662" spans="1:2" x14ac:dyDescent="0.2">
      <c r="A6662" s="40"/>
      <c r="B6662" s="40"/>
    </row>
    <row r="6663" spans="1:2" x14ac:dyDescent="0.2">
      <c r="A6663" s="40"/>
      <c r="B6663" s="40"/>
    </row>
    <row r="6664" spans="1:2" x14ac:dyDescent="0.2">
      <c r="A6664" s="40"/>
      <c r="B6664" s="40"/>
    </row>
    <row r="6665" spans="1:2" x14ac:dyDescent="0.2">
      <c r="A6665" s="40"/>
      <c r="B6665" s="40"/>
    </row>
    <row r="6666" spans="1:2" x14ac:dyDescent="0.2">
      <c r="A6666" s="40"/>
      <c r="B6666" s="40"/>
    </row>
    <row r="6667" spans="1:2" x14ac:dyDescent="0.2">
      <c r="A6667" s="40"/>
      <c r="B6667" s="40"/>
    </row>
    <row r="6668" spans="1:2" x14ac:dyDescent="0.2">
      <c r="A6668" s="40"/>
      <c r="B6668" s="40"/>
    </row>
    <row r="6669" spans="1:2" x14ac:dyDescent="0.2">
      <c r="A6669" s="40"/>
      <c r="B6669" s="40"/>
    </row>
    <row r="6670" spans="1:2" x14ac:dyDescent="0.2">
      <c r="A6670" s="40"/>
      <c r="B6670" s="40"/>
    </row>
    <row r="6671" spans="1:2" x14ac:dyDescent="0.2">
      <c r="A6671" s="40"/>
      <c r="B6671" s="40"/>
    </row>
    <row r="6672" spans="1:2" x14ac:dyDescent="0.2">
      <c r="A6672" s="40"/>
      <c r="B6672" s="40"/>
    </row>
    <row r="6673" spans="1:2" x14ac:dyDescent="0.2">
      <c r="A6673" s="40"/>
      <c r="B6673" s="40"/>
    </row>
    <row r="6674" spans="1:2" x14ac:dyDescent="0.2">
      <c r="A6674" s="40"/>
      <c r="B6674" s="40"/>
    </row>
    <row r="6675" spans="1:2" x14ac:dyDescent="0.2">
      <c r="A6675" s="40"/>
      <c r="B6675" s="40"/>
    </row>
    <row r="6676" spans="1:2" x14ac:dyDescent="0.2">
      <c r="A6676" s="40"/>
      <c r="B6676" s="40"/>
    </row>
    <row r="6677" spans="1:2" x14ac:dyDescent="0.2">
      <c r="A6677" s="40"/>
      <c r="B6677" s="40"/>
    </row>
    <row r="6678" spans="1:2" x14ac:dyDescent="0.2">
      <c r="A6678" s="40"/>
      <c r="B6678" s="40"/>
    </row>
    <row r="6679" spans="1:2" x14ac:dyDescent="0.2">
      <c r="A6679" s="40"/>
      <c r="B6679" s="40"/>
    </row>
    <row r="6680" spans="1:2" x14ac:dyDescent="0.2">
      <c r="A6680" s="40"/>
      <c r="B6680" s="40"/>
    </row>
    <row r="6681" spans="1:2" x14ac:dyDescent="0.2">
      <c r="A6681" s="40"/>
      <c r="B6681" s="40"/>
    </row>
    <row r="6682" spans="1:2" x14ac:dyDescent="0.2">
      <c r="A6682" s="40"/>
      <c r="B6682" s="40"/>
    </row>
    <row r="6683" spans="1:2" x14ac:dyDescent="0.2">
      <c r="A6683" s="40"/>
      <c r="B6683" s="40"/>
    </row>
    <row r="6684" spans="1:2" x14ac:dyDescent="0.2">
      <c r="A6684" s="40"/>
      <c r="B6684" s="40"/>
    </row>
    <row r="6685" spans="1:2" x14ac:dyDescent="0.2">
      <c r="A6685" s="40"/>
      <c r="B6685" s="40"/>
    </row>
    <row r="6686" spans="1:2" x14ac:dyDescent="0.2">
      <c r="A6686" s="40"/>
      <c r="B6686" s="40"/>
    </row>
    <row r="6687" spans="1:2" x14ac:dyDescent="0.2">
      <c r="A6687" s="40"/>
      <c r="B6687" s="40"/>
    </row>
    <row r="6688" spans="1:2" x14ac:dyDescent="0.2">
      <c r="A6688" s="40"/>
      <c r="B6688" s="40"/>
    </row>
    <row r="6689" spans="1:2" x14ac:dyDescent="0.2">
      <c r="A6689" s="40"/>
      <c r="B6689" s="40"/>
    </row>
    <row r="6690" spans="1:2" x14ac:dyDescent="0.2">
      <c r="A6690" s="40"/>
      <c r="B6690" s="40"/>
    </row>
    <row r="6691" spans="1:2" x14ac:dyDescent="0.2">
      <c r="A6691" s="40"/>
      <c r="B6691" s="40"/>
    </row>
    <row r="6692" spans="1:2" x14ac:dyDescent="0.2">
      <c r="A6692" s="40"/>
      <c r="B6692" s="40"/>
    </row>
    <row r="6693" spans="1:2" x14ac:dyDescent="0.2">
      <c r="A6693" s="40"/>
      <c r="B6693" s="40"/>
    </row>
    <row r="6694" spans="1:2" x14ac:dyDescent="0.2">
      <c r="A6694" s="40"/>
      <c r="B6694" s="40"/>
    </row>
    <row r="6695" spans="1:2" x14ac:dyDescent="0.2">
      <c r="A6695" s="40"/>
      <c r="B6695" s="40"/>
    </row>
    <row r="6696" spans="1:2" x14ac:dyDescent="0.2">
      <c r="A6696" s="40"/>
      <c r="B6696" s="40"/>
    </row>
    <row r="6697" spans="1:2" x14ac:dyDescent="0.2">
      <c r="A6697" s="40"/>
      <c r="B6697" s="40"/>
    </row>
    <row r="6698" spans="1:2" x14ac:dyDescent="0.2">
      <c r="A6698" s="40"/>
      <c r="B6698" s="40"/>
    </row>
    <row r="6699" spans="1:2" x14ac:dyDescent="0.2">
      <c r="A6699" s="40"/>
      <c r="B6699" s="40"/>
    </row>
    <row r="6700" spans="1:2" x14ac:dyDescent="0.2">
      <c r="A6700" s="40"/>
      <c r="B6700" s="40"/>
    </row>
    <row r="6701" spans="1:2" x14ac:dyDescent="0.2">
      <c r="A6701" s="40"/>
      <c r="B6701" s="40"/>
    </row>
    <row r="6702" spans="1:2" x14ac:dyDescent="0.2">
      <c r="A6702" s="40"/>
      <c r="B6702" s="40"/>
    </row>
    <row r="6703" spans="1:2" x14ac:dyDescent="0.2">
      <c r="A6703" s="40"/>
      <c r="B6703" s="40"/>
    </row>
    <row r="6704" spans="1:2" x14ac:dyDescent="0.2">
      <c r="A6704" s="40"/>
      <c r="B6704" s="40"/>
    </row>
    <row r="6705" spans="1:2" x14ac:dyDescent="0.2">
      <c r="A6705" s="40"/>
      <c r="B6705" s="40"/>
    </row>
    <row r="6706" spans="1:2" x14ac:dyDescent="0.2">
      <c r="A6706" s="40"/>
      <c r="B6706" s="40"/>
    </row>
    <row r="6707" spans="1:2" x14ac:dyDescent="0.2">
      <c r="A6707" s="40"/>
      <c r="B6707" s="40"/>
    </row>
    <row r="6708" spans="1:2" x14ac:dyDescent="0.2">
      <c r="A6708" s="40"/>
      <c r="B6708" s="40"/>
    </row>
    <row r="6709" spans="1:2" x14ac:dyDescent="0.2">
      <c r="A6709" s="40"/>
      <c r="B6709" s="40"/>
    </row>
    <row r="6710" spans="1:2" x14ac:dyDescent="0.2">
      <c r="A6710" s="40"/>
      <c r="B6710" s="40"/>
    </row>
    <row r="6711" spans="1:2" x14ac:dyDescent="0.2">
      <c r="A6711" s="40"/>
      <c r="B6711" s="40"/>
    </row>
    <row r="6712" spans="1:2" x14ac:dyDescent="0.2">
      <c r="A6712" s="40"/>
      <c r="B6712" s="40"/>
    </row>
    <row r="6713" spans="1:2" x14ac:dyDescent="0.2">
      <c r="A6713" s="40"/>
      <c r="B6713" s="40"/>
    </row>
    <row r="6714" spans="1:2" x14ac:dyDescent="0.2">
      <c r="A6714" s="40"/>
      <c r="B6714" s="40"/>
    </row>
    <row r="6715" spans="1:2" x14ac:dyDescent="0.2">
      <c r="A6715" s="40"/>
      <c r="B6715" s="40"/>
    </row>
    <row r="6716" spans="1:2" x14ac:dyDescent="0.2">
      <c r="A6716" s="40"/>
      <c r="B6716" s="40"/>
    </row>
    <row r="6717" spans="1:2" x14ac:dyDescent="0.2">
      <c r="A6717" s="40"/>
      <c r="B6717" s="40"/>
    </row>
    <row r="6718" spans="1:2" x14ac:dyDescent="0.2">
      <c r="A6718" s="40"/>
      <c r="B6718" s="40"/>
    </row>
    <row r="6719" spans="1:2" x14ac:dyDescent="0.2">
      <c r="A6719" s="40"/>
      <c r="B6719" s="40"/>
    </row>
    <row r="6720" spans="1:2" x14ac:dyDescent="0.2">
      <c r="A6720" s="40"/>
      <c r="B6720" s="40"/>
    </row>
    <row r="6721" spans="1:2" x14ac:dyDescent="0.2">
      <c r="A6721" s="40"/>
      <c r="B6721" s="40"/>
    </row>
    <row r="6722" spans="1:2" x14ac:dyDescent="0.2">
      <c r="A6722" s="40"/>
      <c r="B6722" s="40"/>
    </row>
    <row r="6723" spans="1:2" x14ac:dyDescent="0.2">
      <c r="A6723" s="40"/>
      <c r="B6723" s="40"/>
    </row>
    <row r="6724" spans="1:2" x14ac:dyDescent="0.2">
      <c r="A6724" s="40"/>
      <c r="B6724" s="40"/>
    </row>
    <row r="6725" spans="1:2" x14ac:dyDescent="0.2">
      <c r="A6725" s="40"/>
      <c r="B6725" s="40"/>
    </row>
    <row r="6726" spans="1:2" x14ac:dyDescent="0.2">
      <c r="A6726" s="40"/>
      <c r="B6726" s="40"/>
    </row>
    <row r="6727" spans="1:2" x14ac:dyDescent="0.2">
      <c r="A6727" s="40"/>
      <c r="B6727" s="40"/>
    </row>
    <row r="6728" spans="1:2" x14ac:dyDescent="0.2">
      <c r="A6728" s="40"/>
      <c r="B6728" s="40"/>
    </row>
    <row r="6729" spans="1:2" x14ac:dyDescent="0.2">
      <c r="A6729" s="40"/>
      <c r="B6729" s="40"/>
    </row>
    <row r="6730" spans="1:2" x14ac:dyDescent="0.2">
      <c r="A6730" s="40"/>
      <c r="B6730" s="40"/>
    </row>
    <row r="6731" spans="1:2" x14ac:dyDescent="0.2">
      <c r="A6731" s="40"/>
      <c r="B6731" s="40"/>
    </row>
    <row r="6732" spans="1:2" x14ac:dyDescent="0.2">
      <c r="A6732" s="40"/>
      <c r="B6732" s="40"/>
    </row>
    <row r="6733" spans="1:2" x14ac:dyDescent="0.2">
      <c r="A6733" s="40"/>
      <c r="B6733" s="40"/>
    </row>
    <row r="6734" spans="1:2" x14ac:dyDescent="0.2">
      <c r="A6734" s="40"/>
      <c r="B6734" s="40"/>
    </row>
    <row r="6735" spans="1:2" x14ac:dyDescent="0.2">
      <c r="A6735" s="40"/>
      <c r="B6735" s="40"/>
    </row>
    <row r="6736" spans="1:2" x14ac:dyDescent="0.2">
      <c r="A6736" s="40"/>
      <c r="B6736" s="40"/>
    </row>
    <row r="6737" spans="1:2" x14ac:dyDescent="0.2">
      <c r="A6737" s="40"/>
      <c r="B6737" s="40"/>
    </row>
    <row r="6738" spans="1:2" x14ac:dyDescent="0.2">
      <c r="A6738" s="40"/>
      <c r="B6738" s="40"/>
    </row>
    <row r="6739" spans="1:2" x14ac:dyDescent="0.2">
      <c r="A6739" s="40"/>
      <c r="B6739" s="40"/>
    </row>
    <row r="6740" spans="1:2" x14ac:dyDescent="0.2">
      <c r="A6740" s="40"/>
      <c r="B6740" s="40"/>
    </row>
    <row r="6741" spans="1:2" x14ac:dyDescent="0.2">
      <c r="A6741" s="40"/>
      <c r="B6741" s="40"/>
    </row>
    <row r="6742" spans="1:2" x14ac:dyDescent="0.2">
      <c r="A6742" s="40"/>
      <c r="B6742" s="40"/>
    </row>
    <row r="6743" spans="1:2" x14ac:dyDescent="0.2">
      <c r="A6743" s="40"/>
      <c r="B6743" s="40"/>
    </row>
    <row r="6744" spans="1:2" x14ac:dyDescent="0.2">
      <c r="A6744" s="40"/>
      <c r="B6744" s="40"/>
    </row>
    <row r="6745" spans="1:2" x14ac:dyDescent="0.2">
      <c r="A6745" s="40"/>
      <c r="B6745" s="40"/>
    </row>
    <row r="6746" spans="1:2" x14ac:dyDescent="0.2">
      <c r="A6746" s="40"/>
      <c r="B6746" s="40"/>
    </row>
    <row r="6747" spans="1:2" x14ac:dyDescent="0.2">
      <c r="A6747" s="40"/>
      <c r="B6747" s="40"/>
    </row>
    <row r="6748" spans="1:2" x14ac:dyDescent="0.2">
      <c r="A6748" s="40"/>
      <c r="B6748" s="40"/>
    </row>
    <row r="6749" spans="1:2" x14ac:dyDescent="0.2">
      <c r="A6749" s="40"/>
      <c r="B6749" s="40"/>
    </row>
    <row r="6750" spans="1:2" x14ac:dyDescent="0.2">
      <c r="A6750" s="40"/>
      <c r="B6750" s="40"/>
    </row>
    <row r="6751" spans="1:2" x14ac:dyDescent="0.2">
      <c r="A6751" s="40"/>
      <c r="B6751" s="40"/>
    </row>
    <row r="6752" spans="1:2" x14ac:dyDescent="0.2">
      <c r="A6752" s="40"/>
      <c r="B6752" s="40"/>
    </row>
    <row r="6753" spans="1:2" x14ac:dyDescent="0.2">
      <c r="A6753" s="40"/>
      <c r="B6753" s="40"/>
    </row>
    <row r="6754" spans="1:2" x14ac:dyDescent="0.2">
      <c r="A6754" s="40"/>
      <c r="B6754" s="40"/>
    </row>
    <row r="6755" spans="1:2" x14ac:dyDescent="0.2">
      <c r="A6755" s="40"/>
      <c r="B6755" s="40"/>
    </row>
    <row r="6756" spans="1:2" x14ac:dyDescent="0.2">
      <c r="A6756" s="40"/>
      <c r="B6756" s="40"/>
    </row>
    <row r="6757" spans="1:2" x14ac:dyDescent="0.2">
      <c r="A6757" s="40"/>
      <c r="B6757" s="40"/>
    </row>
    <row r="6758" spans="1:2" x14ac:dyDescent="0.2">
      <c r="A6758" s="40"/>
      <c r="B6758" s="40"/>
    </row>
    <row r="6759" spans="1:2" x14ac:dyDescent="0.2">
      <c r="A6759" s="40"/>
      <c r="B6759" s="40"/>
    </row>
    <row r="6760" spans="1:2" x14ac:dyDescent="0.2">
      <c r="A6760" s="40"/>
      <c r="B6760" s="40"/>
    </row>
    <row r="6761" spans="1:2" x14ac:dyDescent="0.2">
      <c r="A6761" s="40"/>
      <c r="B6761" s="40"/>
    </row>
    <row r="6762" spans="1:2" x14ac:dyDescent="0.2">
      <c r="A6762" s="40"/>
      <c r="B6762" s="40"/>
    </row>
    <row r="6763" spans="1:2" x14ac:dyDescent="0.2">
      <c r="A6763" s="40"/>
      <c r="B6763" s="40"/>
    </row>
    <row r="6764" spans="1:2" x14ac:dyDescent="0.2">
      <c r="A6764" s="40"/>
      <c r="B6764" s="40"/>
    </row>
    <row r="6765" spans="1:2" x14ac:dyDescent="0.2">
      <c r="A6765" s="40"/>
      <c r="B6765" s="40"/>
    </row>
    <row r="6766" spans="1:2" x14ac:dyDescent="0.2">
      <c r="A6766" s="40"/>
      <c r="B6766" s="40"/>
    </row>
    <row r="6767" spans="1:2" x14ac:dyDescent="0.2">
      <c r="A6767" s="40"/>
      <c r="B6767" s="40"/>
    </row>
    <row r="6768" spans="1:2" x14ac:dyDescent="0.2">
      <c r="A6768" s="40"/>
      <c r="B6768" s="40"/>
    </row>
    <row r="6769" spans="1:2" x14ac:dyDescent="0.2">
      <c r="A6769" s="40"/>
      <c r="B6769" s="40"/>
    </row>
    <row r="6770" spans="1:2" x14ac:dyDescent="0.2">
      <c r="A6770" s="40"/>
      <c r="B6770" s="40"/>
    </row>
    <row r="6771" spans="1:2" x14ac:dyDescent="0.2">
      <c r="A6771" s="40"/>
      <c r="B6771" s="40"/>
    </row>
    <row r="6772" spans="1:2" x14ac:dyDescent="0.2">
      <c r="A6772" s="40"/>
      <c r="B6772" s="40"/>
    </row>
    <row r="6773" spans="1:2" x14ac:dyDescent="0.2">
      <c r="A6773" s="40"/>
      <c r="B6773" s="40"/>
    </row>
    <row r="6774" spans="1:2" x14ac:dyDescent="0.2">
      <c r="A6774" s="40"/>
      <c r="B6774" s="40"/>
    </row>
    <row r="6775" spans="1:2" x14ac:dyDescent="0.2">
      <c r="A6775" s="40"/>
      <c r="B6775" s="40"/>
    </row>
    <row r="6776" spans="1:2" x14ac:dyDescent="0.2">
      <c r="A6776" s="40"/>
      <c r="B6776" s="40"/>
    </row>
    <row r="6777" spans="1:2" x14ac:dyDescent="0.2">
      <c r="A6777" s="40"/>
      <c r="B6777" s="40"/>
    </row>
    <row r="6778" spans="1:2" x14ac:dyDescent="0.2">
      <c r="A6778" s="40"/>
      <c r="B6778" s="40"/>
    </row>
    <row r="6779" spans="1:2" x14ac:dyDescent="0.2">
      <c r="A6779" s="40"/>
      <c r="B6779" s="40"/>
    </row>
    <row r="6780" spans="1:2" x14ac:dyDescent="0.2">
      <c r="A6780" s="40"/>
      <c r="B6780" s="40"/>
    </row>
    <row r="6781" spans="1:2" x14ac:dyDescent="0.2">
      <c r="A6781" s="40"/>
      <c r="B6781" s="40"/>
    </row>
    <row r="6782" spans="1:2" x14ac:dyDescent="0.2">
      <c r="A6782" s="40"/>
      <c r="B6782" s="40"/>
    </row>
    <row r="6783" spans="1:2" x14ac:dyDescent="0.2">
      <c r="A6783" s="40"/>
      <c r="B6783" s="40"/>
    </row>
    <row r="6784" spans="1:2" x14ac:dyDescent="0.2">
      <c r="A6784" s="40"/>
      <c r="B6784" s="40"/>
    </row>
    <row r="6785" spans="1:2" x14ac:dyDescent="0.2">
      <c r="A6785" s="40"/>
      <c r="B6785" s="40"/>
    </row>
    <row r="6786" spans="1:2" x14ac:dyDescent="0.2">
      <c r="A6786" s="40"/>
      <c r="B6786" s="40"/>
    </row>
    <row r="6787" spans="1:2" x14ac:dyDescent="0.2">
      <c r="A6787" s="40"/>
      <c r="B6787" s="40"/>
    </row>
    <row r="6788" spans="1:2" x14ac:dyDescent="0.2">
      <c r="A6788" s="40"/>
      <c r="B6788" s="40"/>
    </row>
    <row r="6789" spans="1:2" x14ac:dyDescent="0.2">
      <c r="A6789" s="40"/>
      <c r="B6789" s="40"/>
    </row>
    <row r="6790" spans="1:2" x14ac:dyDescent="0.2">
      <c r="A6790" s="40"/>
      <c r="B6790" s="40"/>
    </row>
    <row r="6791" spans="1:2" x14ac:dyDescent="0.2">
      <c r="A6791" s="40"/>
      <c r="B6791" s="40"/>
    </row>
    <row r="6792" spans="1:2" x14ac:dyDescent="0.2">
      <c r="A6792" s="40"/>
      <c r="B6792" s="40"/>
    </row>
    <row r="6793" spans="1:2" x14ac:dyDescent="0.2">
      <c r="A6793" s="40"/>
      <c r="B6793" s="40"/>
    </row>
    <row r="6794" spans="1:2" x14ac:dyDescent="0.2">
      <c r="A6794" s="40"/>
      <c r="B6794" s="40"/>
    </row>
    <row r="6795" spans="1:2" x14ac:dyDescent="0.2">
      <c r="A6795" s="40"/>
      <c r="B6795" s="40"/>
    </row>
    <row r="6796" spans="1:2" x14ac:dyDescent="0.2">
      <c r="A6796" s="40"/>
      <c r="B6796" s="40"/>
    </row>
    <row r="6797" spans="1:2" x14ac:dyDescent="0.2">
      <c r="A6797" s="40"/>
      <c r="B6797" s="40"/>
    </row>
    <row r="6798" spans="1:2" x14ac:dyDescent="0.2">
      <c r="A6798" s="40"/>
      <c r="B6798" s="40"/>
    </row>
    <row r="6799" spans="1:2" x14ac:dyDescent="0.2">
      <c r="A6799" s="40"/>
      <c r="B6799" s="40"/>
    </row>
    <row r="6800" spans="1:2" x14ac:dyDescent="0.2">
      <c r="A6800" s="40"/>
      <c r="B6800" s="40"/>
    </row>
    <row r="6801" spans="1:2" x14ac:dyDescent="0.2">
      <c r="A6801" s="40"/>
      <c r="B6801" s="40"/>
    </row>
    <row r="6802" spans="1:2" x14ac:dyDescent="0.2">
      <c r="A6802" s="40"/>
      <c r="B6802" s="40"/>
    </row>
    <row r="6803" spans="1:2" x14ac:dyDescent="0.2">
      <c r="A6803" s="40"/>
      <c r="B6803" s="40"/>
    </row>
    <row r="6804" spans="1:2" x14ac:dyDescent="0.2">
      <c r="A6804" s="40"/>
      <c r="B6804" s="40"/>
    </row>
    <row r="6805" spans="1:2" x14ac:dyDescent="0.2">
      <c r="A6805" s="40"/>
      <c r="B6805" s="40"/>
    </row>
    <row r="6806" spans="1:2" x14ac:dyDescent="0.2">
      <c r="A6806" s="40"/>
      <c r="B6806" s="40"/>
    </row>
    <row r="6807" spans="1:2" x14ac:dyDescent="0.2">
      <c r="A6807" s="40"/>
      <c r="B6807" s="40"/>
    </row>
    <row r="6808" spans="1:2" x14ac:dyDescent="0.2">
      <c r="A6808" s="40"/>
      <c r="B6808" s="40"/>
    </row>
    <row r="6809" spans="1:2" x14ac:dyDescent="0.2">
      <c r="A6809" s="40"/>
      <c r="B6809" s="40"/>
    </row>
    <row r="6810" spans="1:2" x14ac:dyDescent="0.2">
      <c r="A6810" s="40"/>
      <c r="B6810" s="40"/>
    </row>
    <row r="6811" spans="1:2" x14ac:dyDescent="0.2">
      <c r="A6811" s="40"/>
      <c r="B6811" s="40"/>
    </row>
    <row r="6812" spans="1:2" x14ac:dyDescent="0.2">
      <c r="A6812" s="40"/>
      <c r="B6812" s="40"/>
    </row>
    <row r="6813" spans="1:2" x14ac:dyDescent="0.2">
      <c r="A6813" s="40"/>
      <c r="B6813" s="40"/>
    </row>
    <row r="6814" spans="1:2" x14ac:dyDescent="0.2">
      <c r="A6814" s="40"/>
      <c r="B6814" s="40"/>
    </row>
    <row r="6815" spans="1:2" x14ac:dyDescent="0.2">
      <c r="A6815" s="40"/>
      <c r="B6815" s="40"/>
    </row>
    <row r="6816" spans="1:2" x14ac:dyDescent="0.2">
      <c r="A6816" s="40"/>
      <c r="B6816" s="40"/>
    </row>
    <row r="6817" spans="1:2" x14ac:dyDescent="0.2">
      <c r="A6817" s="40"/>
      <c r="B6817" s="40"/>
    </row>
    <row r="6818" spans="1:2" x14ac:dyDescent="0.2">
      <c r="A6818" s="40"/>
      <c r="B6818" s="40"/>
    </row>
    <row r="6819" spans="1:2" x14ac:dyDescent="0.2">
      <c r="A6819" s="40"/>
      <c r="B6819" s="40"/>
    </row>
    <row r="6820" spans="1:2" x14ac:dyDescent="0.2">
      <c r="A6820" s="40"/>
      <c r="B6820" s="40"/>
    </row>
    <row r="6821" spans="1:2" x14ac:dyDescent="0.2">
      <c r="A6821" s="40"/>
      <c r="B6821" s="40"/>
    </row>
    <row r="6822" spans="1:2" x14ac:dyDescent="0.2">
      <c r="A6822" s="40"/>
      <c r="B6822" s="40"/>
    </row>
    <row r="6823" spans="1:2" x14ac:dyDescent="0.2">
      <c r="A6823" s="40"/>
      <c r="B6823" s="40"/>
    </row>
    <row r="6824" spans="1:2" x14ac:dyDescent="0.2">
      <c r="A6824" s="40"/>
      <c r="B6824" s="40"/>
    </row>
    <row r="6825" spans="1:2" x14ac:dyDescent="0.2">
      <c r="A6825" s="40"/>
      <c r="B6825" s="40"/>
    </row>
    <row r="6826" spans="1:2" x14ac:dyDescent="0.2">
      <c r="A6826" s="40"/>
      <c r="B6826" s="40"/>
    </row>
    <row r="6827" spans="1:2" x14ac:dyDescent="0.2">
      <c r="A6827" s="40"/>
      <c r="B6827" s="40"/>
    </row>
    <row r="6828" spans="1:2" x14ac:dyDescent="0.2">
      <c r="A6828" s="40"/>
      <c r="B6828" s="40"/>
    </row>
    <row r="6829" spans="1:2" x14ac:dyDescent="0.2">
      <c r="A6829" s="40"/>
      <c r="B6829" s="40"/>
    </row>
    <row r="6830" spans="1:2" x14ac:dyDescent="0.2">
      <c r="A6830" s="40"/>
      <c r="B6830" s="40"/>
    </row>
    <row r="6831" spans="1:2" x14ac:dyDescent="0.2">
      <c r="A6831" s="40"/>
      <c r="B6831" s="40"/>
    </row>
    <row r="6832" spans="1:2" x14ac:dyDescent="0.2">
      <c r="A6832" s="40"/>
      <c r="B6832" s="40"/>
    </row>
    <row r="6833" spans="1:2" x14ac:dyDescent="0.2">
      <c r="A6833" s="40"/>
      <c r="B6833" s="40"/>
    </row>
    <row r="6834" spans="1:2" x14ac:dyDescent="0.2">
      <c r="A6834" s="40"/>
      <c r="B6834" s="40"/>
    </row>
    <row r="6835" spans="1:2" x14ac:dyDescent="0.2">
      <c r="A6835" s="40"/>
      <c r="B6835" s="40"/>
    </row>
    <row r="6836" spans="1:2" x14ac:dyDescent="0.2">
      <c r="A6836" s="40"/>
      <c r="B6836" s="40"/>
    </row>
    <row r="6837" spans="1:2" x14ac:dyDescent="0.2">
      <c r="A6837" s="40"/>
      <c r="B6837" s="40"/>
    </row>
    <row r="6838" spans="1:2" x14ac:dyDescent="0.2">
      <c r="A6838" s="40"/>
      <c r="B6838" s="40"/>
    </row>
    <row r="6839" spans="1:2" x14ac:dyDescent="0.2">
      <c r="A6839" s="40"/>
      <c r="B6839" s="40"/>
    </row>
    <row r="6840" spans="1:2" x14ac:dyDescent="0.2">
      <c r="A6840" s="40"/>
      <c r="B6840" s="40"/>
    </row>
    <row r="6841" spans="1:2" x14ac:dyDescent="0.2">
      <c r="A6841" s="40"/>
      <c r="B6841" s="40"/>
    </row>
    <row r="6842" spans="1:2" x14ac:dyDescent="0.2">
      <c r="A6842" s="40"/>
      <c r="B6842" s="40"/>
    </row>
    <row r="6843" spans="1:2" x14ac:dyDescent="0.2">
      <c r="A6843" s="40"/>
      <c r="B6843" s="40"/>
    </row>
    <row r="6844" spans="1:2" x14ac:dyDescent="0.2">
      <c r="A6844" s="40"/>
      <c r="B6844" s="40"/>
    </row>
    <row r="6845" spans="1:2" x14ac:dyDescent="0.2">
      <c r="A6845" s="40"/>
      <c r="B6845" s="40"/>
    </row>
    <row r="6846" spans="1:2" x14ac:dyDescent="0.2">
      <c r="A6846" s="40"/>
      <c r="B6846" s="40"/>
    </row>
    <row r="6847" spans="1:2" x14ac:dyDescent="0.2">
      <c r="A6847" s="40"/>
      <c r="B6847" s="40"/>
    </row>
    <row r="6848" spans="1:2" x14ac:dyDescent="0.2">
      <c r="A6848" s="40"/>
      <c r="B6848" s="40"/>
    </row>
    <row r="6849" spans="1:2" x14ac:dyDescent="0.2">
      <c r="A6849" s="40"/>
      <c r="B6849" s="40"/>
    </row>
    <row r="6850" spans="1:2" x14ac:dyDescent="0.2">
      <c r="A6850" s="40"/>
      <c r="B6850" s="40"/>
    </row>
    <row r="6851" spans="1:2" x14ac:dyDescent="0.2">
      <c r="A6851" s="40"/>
      <c r="B6851" s="40"/>
    </row>
    <row r="6852" spans="1:2" x14ac:dyDescent="0.2">
      <c r="A6852" s="40"/>
      <c r="B6852" s="40"/>
    </row>
    <row r="6853" spans="1:2" x14ac:dyDescent="0.2">
      <c r="A6853" s="40"/>
      <c r="B6853" s="40"/>
    </row>
    <row r="6854" spans="1:2" x14ac:dyDescent="0.2">
      <c r="A6854" s="40"/>
      <c r="B6854" s="40"/>
    </row>
    <row r="6855" spans="1:2" x14ac:dyDescent="0.2">
      <c r="A6855" s="40"/>
      <c r="B6855" s="40"/>
    </row>
    <row r="6856" spans="1:2" x14ac:dyDescent="0.2">
      <c r="A6856" s="40"/>
      <c r="B6856" s="40"/>
    </row>
    <row r="6857" spans="1:2" x14ac:dyDescent="0.2">
      <c r="A6857" s="40"/>
      <c r="B6857" s="40"/>
    </row>
    <row r="6858" spans="1:2" x14ac:dyDescent="0.2">
      <c r="A6858" s="40"/>
      <c r="B6858" s="40"/>
    </row>
    <row r="6859" spans="1:2" x14ac:dyDescent="0.2">
      <c r="A6859" s="40"/>
      <c r="B6859" s="40"/>
    </row>
    <row r="6860" spans="1:2" x14ac:dyDescent="0.2">
      <c r="A6860" s="40"/>
      <c r="B6860" s="40"/>
    </row>
    <row r="6861" spans="1:2" x14ac:dyDescent="0.2">
      <c r="A6861" s="40"/>
      <c r="B6861" s="40"/>
    </row>
    <row r="6862" spans="1:2" x14ac:dyDescent="0.2">
      <c r="A6862" s="40"/>
      <c r="B6862" s="40"/>
    </row>
    <row r="6863" spans="1:2" x14ac:dyDescent="0.2">
      <c r="A6863" s="40"/>
      <c r="B6863" s="40"/>
    </row>
    <row r="6864" spans="1:2" x14ac:dyDescent="0.2">
      <c r="A6864" s="40"/>
      <c r="B6864" s="40"/>
    </row>
    <row r="6865" spans="1:2" x14ac:dyDescent="0.2">
      <c r="A6865" s="40"/>
      <c r="B6865" s="40"/>
    </row>
    <row r="6866" spans="1:2" x14ac:dyDescent="0.2">
      <c r="A6866" s="40"/>
      <c r="B6866" s="40"/>
    </row>
    <row r="6867" spans="1:2" x14ac:dyDescent="0.2">
      <c r="A6867" s="40"/>
      <c r="B6867" s="40"/>
    </row>
    <row r="6868" spans="1:2" x14ac:dyDescent="0.2">
      <c r="A6868" s="40"/>
      <c r="B6868" s="40"/>
    </row>
    <row r="6869" spans="1:2" x14ac:dyDescent="0.2">
      <c r="A6869" s="40"/>
      <c r="B6869" s="40"/>
    </row>
    <row r="6870" spans="1:2" x14ac:dyDescent="0.2">
      <c r="A6870" s="40"/>
      <c r="B6870" s="40"/>
    </row>
    <row r="6871" spans="1:2" x14ac:dyDescent="0.2">
      <c r="A6871" s="40"/>
      <c r="B6871" s="40"/>
    </row>
    <row r="6872" spans="1:2" x14ac:dyDescent="0.2">
      <c r="A6872" s="40"/>
      <c r="B6872" s="40"/>
    </row>
    <row r="6873" spans="1:2" x14ac:dyDescent="0.2">
      <c r="A6873" s="40"/>
      <c r="B6873" s="40"/>
    </row>
    <row r="6874" spans="1:2" x14ac:dyDescent="0.2">
      <c r="A6874" s="40"/>
      <c r="B6874" s="40"/>
    </row>
    <row r="6875" spans="1:2" x14ac:dyDescent="0.2">
      <c r="A6875" s="40"/>
      <c r="B6875" s="40"/>
    </row>
    <row r="6876" spans="1:2" x14ac:dyDescent="0.2">
      <c r="A6876" s="40"/>
      <c r="B6876" s="40"/>
    </row>
    <row r="6877" spans="1:2" x14ac:dyDescent="0.2">
      <c r="A6877" s="40"/>
      <c r="B6877" s="40"/>
    </row>
    <row r="6878" spans="1:2" x14ac:dyDescent="0.2">
      <c r="A6878" s="40"/>
      <c r="B6878" s="40"/>
    </row>
    <row r="6879" spans="1:2" x14ac:dyDescent="0.2">
      <c r="A6879" s="40"/>
      <c r="B6879" s="40"/>
    </row>
    <row r="6880" spans="1:2" x14ac:dyDescent="0.2">
      <c r="A6880" s="40"/>
      <c r="B6880" s="40"/>
    </row>
    <row r="6881" spans="1:2" x14ac:dyDescent="0.2">
      <c r="A6881" s="40"/>
      <c r="B6881" s="40"/>
    </row>
    <row r="6882" spans="1:2" x14ac:dyDescent="0.2">
      <c r="A6882" s="40"/>
      <c r="B6882" s="40"/>
    </row>
    <row r="6883" spans="1:2" x14ac:dyDescent="0.2">
      <c r="A6883" s="40"/>
      <c r="B6883" s="40"/>
    </row>
    <row r="6884" spans="1:2" x14ac:dyDescent="0.2">
      <c r="A6884" s="40"/>
      <c r="B6884" s="40"/>
    </row>
    <row r="6885" spans="1:2" x14ac:dyDescent="0.2">
      <c r="A6885" s="40"/>
      <c r="B6885" s="40"/>
    </row>
    <row r="6886" spans="1:2" x14ac:dyDescent="0.2">
      <c r="A6886" s="40"/>
      <c r="B6886" s="40"/>
    </row>
    <row r="6887" spans="1:2" x14ac:dyDescent="0.2">
      <c r="A6887" s="40"/>
      <c r="B6887" s="40"/>
    </row>
    <row r="6888" spans="1:2" x14ac:dyDescent="0.2">
      <c r="A6888" s="40"/>
      <c r="B6888" s="40"/>
    </row>
    <row r="6889" spans="1:2" x14ac:dyDescent="0.2">
      <c r="A6889" s="40"/>
      <c r="B6889" s="40"/>
    </row>
    <row r="6890" spans="1:2" x14ac:dyDescent="0.2">
      <c r="A6890" s="40"/>
      <c r="B6890" s="40"/>
    </row>
    <row r="6891" spans="1:2" x14ac:dyDescent="0.2">
      <c r="A6891" s="40"/>
      <c r="B6891" s="40"/>
    </row>
    <row r="6892" spans="1:2" x14ac:dyDescent="0.2">
      <c r="A6892" s="40"/>
      <c r="B6892" s="40"/>
    </row>
    <row r="6893" spans="1:2" x14ac:dyDescent="0.2">
      <c r="A6893" s="40"/>
      <c r="B6893" s="40"/>
    </row>
    <row r="6894" spans="1:2" x14ac:dyDescent="0.2">
      <c r="A6894" s="40"/>
      <c r="B6894" s="40"/>
    </row>
    <row r="6895" spans="1:2" x14ac:dyDescent="0.2">
      <c r="A6895" s="40"/>
      <c r="B6895" s="40"/>
    </row>
    <row r="6896" spans="1:2" x14ac:dyDescent="0.2">
      <c r="A6896" s="40"/>
      <c r="B6896" s="40"/>
    </row>
    <row r="6897" spans="1:2" x14ac:dyDescent="0.2">
      <c r="A6897" s="40"/>
      <c r="B6897" s="40"/>
    </row>
    <row r="6898" spans="1:2" x14ac:dyDescent="0.2">
      <c r="A6898" s="40"/>
      <c r="B6898" s="40"/>
    </row>
    <row r="6899" spans="1:2" x14ac:dyDescent="0.2">
      <c r="A6899" s="40"/>
      <c r="B6899" s="40"/>
    </row>
    <row r="6900" spans="1:2" x14ac:dyDescent="0.2">
      <c r="A6900" s="40"/>
      <c r="B6900" s="40"/>
    </row>
    <row r="6901" spans="1:2" x14ac:dyDescent="0.2">
      <c r="A6901" s="40"/>
      <c r="B6901" s="40"/>
    </row>
    <row r="6902" spans="1:2" x14ac:dyDescent="0.2">
      <c r="A6902" s="40"/>
      <c r="B6902" s="40"/>
    </row>
    <row r="6903" spans="1:2" x14ac:dyDescent="0.2">
      <c r="A6903" s="40"/>
      <c r="B6903" s="40"/>
    </row>
    <row r="6904" spans="1:2" x14ac:dyDescent="0.2">
      <c r="A6904" s="40"/>
      <c r="B6904" s="40"/>
    </row>
    <row r="6905" spans="1:2" x14ac:dyDescent="0.2">
      <c r="A6905" s="40"/>
      <c r="B6905" s="40"/>
    </row>
    <row r="6906" spans="1:2" x14ac:dyDescent="0.2">
      <c r="A6906" s="40"/>
      <c r="B6906" s="40"/>
    </row>
    <row r="6907" spans="1:2" x14ac:dyDescent="0.2">
      <c r="A6907" s="40"/>
      <c r="B6907" s="40"/>
    </row>
    <row r="6908" spans="1:2" x14ac:dyDescent="0.2">
      <c r="A6908" s="40"/>
      <c r="B6908" s="40"/>
    </row>
    <row r="6909" spans="1:2" x14ac:dyDescent="0.2">
      <c r="A6909" s="40"/>
      <c r="B6909" s="40"/>
    </row>
    <row r="6910" spans="1:2" x14ac:dyDescent="0.2">
      <c r="A6910" s="40"/>
      <c r="B6910" s="40"/>
    </row>
    <row r="6911" spans="1:2" x14ac:dyDescent="0.2">
      <c r="A6911" s="40"/>
      <c r="B6911" s="40"/>
    </row>
    <row r="6912" spans="1:2" x14ac:dyDescent="0.2">
      <c r="A6912" s="40"/>
      <c r="B6912" s="40"/>
    </row>
    <row r="6913" spans="1:2" x14ac:dyDescent="0.2">
      <c r="A6913" s="40"/>
      <c r="B6913" s="40"/>
    </row>
    <row r="6914" spans="1:2" x14ac:dyDescent="0.2">
      <c r="A6914" s="40"/>
      <c r="B6914" s="40"/>
    </row>
    <row r="6915" spans="1:2" x14ac:dyDescent="0.2">
      <c r="A6915" s="40"/>
      <c r="B6915" s="40"/>
    </row>
    <row r="6916" spans="1:2" x14ac:dyDescent="0.2">
      <c r="A6916" s="40"/>
      <c r="B6916" s="40"/>
    </row>
    <row r="6917" spans="1:2" x14ac:dyDescent="0.2">
      <c r="A6917" s="40"/>
      <c r="B6917" s="40"/>
    </row>
    <row r="6918" spans="1:2" x14ac:dyDescent="0.2">
      <c r="A6918" s="40"/>
      <c r="B6918" s="40"/>
    </row>
    <row r="6919" spans="1:2" x14ac:dyDescent="0.2">
      <c r="A6919" s="40"/>
      <c r="B6919" s="40"/>
    </row>
    <row r="6920" spans="1:2" x14ac:dyDescent="0.2">
      <c r="A6920" s="40"/>
      <c r="B6920" s="40"/>
    </row>
    <row r="6921" spans="1:2" x14ac:dyDescent="0.2">
      <c r="A6921" s="40"/>
      <c r="B6921" s="40"/>
    </row>
    <row r="6922" spans="1:2" x14ac:dyDescent="0.2">
      <c r="A6922" s="40"/>
      <c r="B6922" s="40"/>
    </row>
    <row r="6923" spans="1:2" x14ac:dyDescent="0.2">
      <c r="A6923" s="40"/>
      <c r="B6923" s="40"/>
    </row>
    <row r="6924" spans="1:2" x14ac:dyDescent="0.2">
      <c r="A6924" s="40"/>
      <c r="B6924" s="40"/>
    </row>
    <row r="6925" spans="1:2" x14ac:dyDescent="0.2">
      <c r="A6925" s="40"/>
      <c r="B6925" s="40"/>
    </row>
    <row r="6926" spans="1:2" x14ac:dyDescent="0.2">
      <c r="A6926" s="40"/>
      <c r="B6926" s="40"/>
    </row>
    <row r="6927" spans="1:2" x14ac:dyDescent="0.2">
      <c r="A6927" s="40"/>
      <c r="B6927" s="40"/>
    </row>
    <row r="6928" spans="1:2" x14ac:dyDescent="0.2">
      <c r="A6928" s="40"/>
      <c r="B6928" s="40"/>
    </row>
    <row r="6929" spans="1:2" x14ac:dyDescent="0.2">
      <c r="A6929" s="40"/>
      <c r="B6929" s="40"/>
    </row>
    <row r="6930" spans="1:2" x14ac:dyDescent="0.2">
      <c r="A6930" s="40"/>
      <c r="B6930" s="40"/>
    </row>
    <row r="6931" spans="1:2" x14ac:dyDescent="0.2">
      <c r="A6931" s="40"/>
      <c r="B6931" s="40"/>
    </row>
    <row r="6932" spans="1:2" x14ac:dyDescent="0.2">
      <c r="A6932" s="40"/>
      <c r="B6932" s="40"/>
    </row>
    <row r="6933" spans="1:2" x14ac:dyDescent="0.2">
      <c r="A6933" s="40"/>
      <c r="B6933" s="40"/>
    </row>
    <row r="6934" spans="1:2" x14ac:dyDescent="0.2">
      <c r="A6934" s="40"/>
      <c r="B6934" s="40"/>
    </row>
    <row r="6935" spans="1:2" x14ac:dyDescent="0.2">
      <c r="A6935" s="40"/>
      <c r="B6935" s="40"/>
    </row>
    <row r="6936" spans="1:2" x14ac:dyDescent="0.2">
      <c r="A6936" s="40"/>
      <c r="B6936" s="40"/>
    </row>
    <row r="6937" spans="1:2" x14ac:dyDescent="0.2">
      <c r="A6937" s="40"/>
      <c r="B6937" s="40"/>
    </row>
    <row r="6938" spans="1:2" x14ac:dyDescent="0.2">
      <c r="A6938" s="40"/>
      <c r="B6938" s="40"/>
    </row>
    <row r="6939" spans="1:2" x14ac:dyDescent="0.2">
      <c r="A6939" s="40"/>
      <c r="B6939" s="40"/>
    </row>
    <row r="6940" spans="1:2" x14ac:dyDescent="0.2">
      <c r="A6940" s="40"/>
      <c r="B6940" s="40"/>
    </row>
    <row r="6941" spans="1:2" x14ac:dyDescent="0.2">
      <c r="A6941" s="40"/>
      <c r="B6941" s="40"/>
    </row>
    <row r="6942" spans="1:2" x14ac:dyDescent="0.2">
      <c r="A6942" s="40"/>
      <c r="B6942" s="40"/>
    </row>
    <row r="6943" spans="1:2" x14ac:dyDescent="0.2">
      <c r="A6943" s="40"/>
      <c r="B6943" s="40"/>
    </row>
    <row r="6944" spans="1:2" x14ac:dyDescent="0.2">
      <c r="A6944" s="40"/>
      <c r="B6944" s="40"/>
    </row>
    <row r="6945" spans="1:2" x14ac:dyDescent="0.2">
      <c r="A6945" s="40"/>
      <c r="B6945" s="40"/>
    </row>
    <row r="6946" spans="1:2" x14ac:dyDescent="0.2">
      <c r="A6946" s="40"/>
      <c r="B6946" s="40"/>
    </row>
    <row r="6947" spans="1:2" x14ac:dyDescent="0.2">
      <c r="A6947" s="40"/>
      <c r="B6947" s="40"/>
    </row>
    <row r="6948" spans="1:2" x14ac:dyDescent="0.2">
      <c r="A6948" s="40"/>
      <c r="B6948" s="40"/>
    </row>
    <row r="6949" spans="1:2" x14ac:dyDescent="0.2">
      <c r="A6949" s="40"/>
      <c r="B6949" s="40"/>
    </row>
    <row r="6950" spans="1:2" x14ac:dyDescent="0.2">
      <c r="A6950" s="40"/>
      <c r="B6950" s="40"/>
    </row>
    <row r="6951" spans="1:2" x14ac:dyDescent="0.2">
      <c r="A6951" s="40"/>
      <c r="B6951" s="40"/>
    </row>
    <row r="6952" spans="1:2" x14ac:dyDescent="0.2">
      <c r="A6952" s="40"/>
      <c r="B6952" s="40"/>
    </row>
    <row r="6953" spans="1:2" x14ac:dyDescent="0.2">
      <c r="A6953" s="40"/>
      <c r="B6953" s="40"/>
    </row>
    <row r="6954" spans="1:2" x14ac:dyDescent="0.2">
      <c r="A6954" s="40"/>
      <c r="B6954" s="40"/>
    </row>
    <row r="6955" spans="1:2" x14ac:dyDescent="0.2">
      <c r="A6955" s="40"/>
      <c r="B6955" s="40"/>
    </row>
    <row r="6956" spans="1:2" x14ac:dyDescent="0.2">
      <c r="A6956" s="40"/>
      <c r="B6956" s="40"/>
    </row>
    <row r="6957" spans="1:2" x14ac:dyDescent="0.2">
      <c r="A6957" s="40"/>
      <c r="B6957" s="40"/>
    </row>
    <row r="6958" spans="1:2" x14ac:dyDescent="0.2">
      <c r="A6958" s="40"/>
      <c r="B6958" s="40"/>
    </row>
    <row r="6959" spans="1:2" x14ac:dyDescent="0.2">
      <c r="A6959" s="40"/>
      <c r="B6959" s="40"/>
    </row>
    <row r="6960" spans="1:2" x14ac:dyDescent="0.2">
      <c r="A6960" s="40"/>
      <c r="B6960" s="40"/>
    </row>
    <row r="6961" spans="1:2" x14ac:dyDescent="0.2">
      <c r="A6961" s="40"/>
      <c r="B6961" s="40"/>
    </row>
    <row r="6962" spans="1:2" x14ac:dyDescent="0.2">
      <c r="A6962" s="40"/>
      <c r="B6962" s="40"/>
    </row>
    <row r="6963" spans="1:2" x14ac:dyDescent="0.2">
      <c r="A6963" s="40"/>
      <c r="B6963" s="40"/>
    </row>
    <row r="6964" spans="1:2" x14ac:dyDescent="0.2">
      <c r="A6964" s="40"/>
      <c r="B6964" s="40"/>
    </row>
    <row r="6965" spans="1:2" x14ac:dyDescent="0.2">
      <c r="A6965" s="40"/>
      <c r="B6965" s="40"/>
    </row>
    <row r="6966" spans="1:2" x14ac:dyDescent="0.2">
      <c r="A6966" s="40"/>
      <c r="B6966" s="40"/>
    </row>
    <row r="6967" spans="1:2" x14ac:dyDescent="0.2">
      <c r="A6967" s="40"/>
      <c r="B6967" s="40"/>
    </row>
    <row r="6968" spans="1:2" x14ac:dyDescent="0.2">
      <c r="A6968" s="40"/>
      <c r="B6968" s="40"/>
    </row>
    <row r="6969" spans="1:2" x14ac:dyDescent="0.2">
      <c r="A6969" s="40"/>
      <c r="B6969" s="40"/>
    </row>
    <row r="6970" spans="1:2" x14ac:dyDescent="0.2">
      <c r="A6970" s="40"/>
      <c r="B6970" s="40"/>
    </row>
    <row r="6971" spans="1:2" x14ac:dyDescent="0.2">
      <c r="A6971" s="40"/>
      <c r="B6971" s="40"/>
    </row>
    <row r="6972" spans="1:2" x14ac:dyDescent="0.2">
      <c r="A6972" s="40"/>
      <c r="B6972" s="40"/>
    </row>
    <row r="6973" spans="1:2" x14ac:dyDescent="0.2">
      <c r="A6973" s="40"/>
      <c r="B6973" s="40"/>
    </row>
    <row r="6974" spans="1:2" x14ac:dyDescent="0.2">
      <c r="A6974" s="40"/>
      <c r="B6974" s="40"/>
    </row>
    <row r="6975" spans="1:2" x14ac:dyDescent="0.2">
      <c r="A6975" s="40"/>
      <c r="B6975" s="40"/>
    </row>
    <row r="6976" spans="1:2" x14ac:dyDescent="0.2">
      <c r="A6976" s="40"/>
      <c r="B6976" s="40"/>
    </row>
    <row r="6977" spans="1:2" x14ac:dyDescent="0.2">
      <c r="A6977" s="40"/>
      <c r="B6977" s="40"/>
    </row>
    <row r="6978" spans="1:2" x14ac:dyDescent="0.2">
      <c r="A6978" s="40"/>
      <c r="B6978" s="40"/>
    </row>
    <row r="6979" spans="1:2" x14ac:dyDescent="0.2">
      <c r="A6979" s="40"/>
      <c r="B6979" s="40"/>
    </row>
    <row r="6980" spans="1:2" x14ac:dyDescent="0.2">
      <c r="A6980" s="40"/>
      <c r="B6980" s="40"/>
    </row>
    <row r="6981" spans="1:2" x14ac:dyDescent="0.2">
      <c r="A6981" s="40"/>
      <c r="B6981" s="40"/>
    </row>
    <row r="6982" spans="1:2" x14ac:dyDescent="0.2">
      <c r="A6982" s="40"/>
      <c r="B6982" s="40"/>
    </row>
    <row r="6983" spans="1:2" x14ac:dyDescent="0.2">
      <c r="A6983" s="40"/>
      <c r="B6983" s="40"/>
    </row>
    <row r="6984" spans="1:2" x14ac:dyDescent="0.2">
      <c r="A6984" s="40"/>
      <c r="B6984" s="40"/>
    </row>
    <row r="6985" spans="1:2" x14ac:dyDescent="0.2">
      <c r="A6985" s="40"/>
      <c r="B6985" s="40"/>
    </row>
    <row r="6986" spans="1:2" x14ac:dyDescent="0.2">
      <c r="A6986" s="40"/>
      <c r="B6986" s="40"/>
    </row>
    <row r="6987" spans="1:2" x14ac:dyDescent="0.2">
      <c r="A6987" s="40"/>
      <c r="B6987" s="40"/>
    </row>
    <row r="6988" spans="1:2" x14ac:dyDescent="0.2">
      <c r="A6988" s="40"/>
      <c r="B6988" s="40"/>
    </row>
    <row r="6989" spans="1:2" x14ac:dyDescent="0.2">
      <c r="A6989" s="40"/>
      <c r="B6989" s="40"/>
    </row>
    <row r="6990" spans="1:2" x14ac:dyDescent="0.2">
      <c r="A6990" s="40"/>
      <c r="B6990" s="40"/>
    </row>
    <row r="6991" spans="1:2" x14ac:dyDescent="0.2">
      <c r="A6991" s="40"/>
      <c r="B6991" s="40"/>
    </row>
    <row r="6992" spans="1:2" x14ac:dyDescent="0.2">
      <c r="A6992" s="40"/>
      <c r="B6992" s="40"/>
    </row>
    <row r="6993" spans="1:2" x14ac:dyDescent="0.2">
      <c r="A6993" s="40"/>
      <c r="B6993" s="40"/>
    </row>
    <row r="6994" spans="1:2" x14ac:dyDescent="0.2">
      <c r="A6994" s="40"/>
      <c r="B6994" s="40"/>
    </row>
    <row r="6995" spans="1:2" x14ac:dyDescent="0.2">
      <c r="A6995" s="40"/>
      <c r="B6995" s="40"/>
    </row>
    <row r="6996" spans="1:2" x14ac:dyDescent="0.2">
      <c r="A6996" s="40"/>
      <c r="B6996" s="40"/>
    </row>
    <row r="6997" spans="1:2" x14ac:dyDescent="0.2">
      <c r="A6997" s="40"/>
      <c r="B6997" s="40"/>
    </row>
    <row r="6998" spans="1:2" x14ac:dyDescent="0.2">
      <c r="A6998" s="40"/>
      <c r="B6998" s="40"/>
    </row>
    <row r="6999" spans="1:2" x14ac:dyDescent="0.2">
      <c r="A6999" s="40"/>
      <c r="B6999" s="40"/>
    </row>
    <row r="7000" spans="1:2" x14ac:dyDescent="0.2">
      <c r="A7000" s="40"/>
      <c r="B7000" s="40"/>
    </row>
    <row r="7001" spans="1:2" x14ac:dyDescent="0.2">
      <c r="A7001" s="40"/>
      <c r="B7001" s="40"/>
    </row>
    <row r="7002" spans="1:2" x14ac:dyDescent="0.2">
      <c r="A7002" s="40"/>
      <c r="B7002" s="40"/>
    </row>
    <row r="7003" spans="1:2" x14ac:dyDescent="0.2">
      <c r="A7003" s="40"/>
      <c r="B7003" s="40"/>
    </row>
    <row r="7004" spans="1:2" x14ac:dyDescent="0.2">
      <c r="A7004" s="40"/>
      <c r="B7004" s="40"/>
    </row>
    <row r="7005" spans="1:2" x14ac:dyDescent="0.2">
      <c r="A7005" s="40"/>
      <c r="B7005" s="40"/>
    </row>
    <row r="7006" spans="1:2" x14ac:dyDescent="0.2">
      <c r="A7006" s="40"/>
      <c r="B7006" s="40"/>
    </row>
    <row r="7007" spans="1:2" x14ac:dyDescent="0.2">
      <c r="A7007" s="40"/>
      <c r="B7007" s="40"/>
    </row>
    <row r="7008" spans="1:2" x14ac:dyDescent="0.2">
      <c r="A7008" s="40"/>
      <c r="B7008" s="40"/>
    </row>
    <row r="7009" spans="1:2" x14ac:dyDescent="0.2">
      <c r="A7009" s="40"/>
      <c r="B7009" s="40"/>
    </row>
    <row r="7010" spans="1:2" x14ac:dyDescent="0.2">
      <c r="A7010" s="40"/>
      <c r="B7010" s="40"/>
    </row>
    <row r="7011" spans="1:2" x14ac:dyDescent="0.2">
      <c r="A7011" s="40"/>
      <c r="B7011" s="40"/>
    </row>
    <row r="7012" spans="1:2" x14ac:dyDescent="0.2">
      <c r="A7012" s="40"/>
      <c r="B7012" s="40"/>
    </row>
    <row r="7013" spans="1:2" x14ac:dyDescent="0.2">
      <c r="A7013" s="40"/>
      <c r="B7013" s="40"/>
    </row>
    <row r="7014" spans="1:2" x14ac:dyDescent="0.2">
      <c r="A7014" s="40"/>
      <c r="B7014" s="40"/>
    </row>
    <row r="7015" spans="1:2" x14ac:dyDescent="0.2">
      <c r="A7015" s="40"/>
      <c r="B7015" s="40"/>
    </row>
    <row r="7016" spans="1:2" x14ac:dyDescent="0.2">
      <c r="A7016" s="40"/>
      <c r="B7016" s="40"/>
    </row>
    <row r="7017" spans="1:2" x14ac:dyDescent="0.2">
      <c r="A7017" s="40"/>
      <c r="B7017" s="40"/>
    </row>
    <row r="7018" spans="1:2" x14ac:dyDescent="0.2">
      <c r="A7018" s="40"/>
      <c r="B7018" s="40"/>
    </row>
    <row r="7019" spans="1:2" x14ac:dyDescent="0.2">
      <c r="A7019" s="40"/>
      <c r="B7019" s="40"/>
    </row>
    <row r="7020" spans="1:2" x14ac:dyDescent="0.2">
      <c r="A7020" s="40"/>
      <c r="B7020" s="40"/>
    </row>
    <row r="7021" spans="1:2" x14ac:dyDescent="0.2">
      <c r="A7021" s="40"/>
      <c r="B7021" s="40"/>
    </row>
    <row r="7022" spans="1:2" x14ac:dyDescent="0.2">
      <c r="A7022" s="40"/>
      <c r="B7022" s="40"/>
    </row>
    <row r="7023" spans="1:2" x14ac:dyDescent="0.2">
      <c r="A7023" s="40"/>
      <c r="B7023" s="40"/>
    </row>
    <row r="7024" spans="1:2" x14ac:dyDescent="0.2">
      <c r="A7024" s="40"/>
      <c r="B7024" s="40"/>
    </row>
    <row r="7025" spans="1:2" x14ac:dyDescent="0.2">
      <c r="A7025" s="40"/>
      <c r="B7025" s="40"/>
    </row>
    <row r="7026" spans="1:2" x14ac:dyDescent="0.2">
      <c r="A7026" s="40"/>
      <c r="B7026" s="40"/>
    </row>
    <row r="7027" spans="1:2" x14ac:dyDescent="0.2">
      <c r="A7027" s="40"/>
      <c r="B7027" s="40"/>
    </row>
    <row r="7028" spans="1:2" x14ac:dyDescent="0.2">
      <c r="A7028" s="40"/>
      <c r="B7028" s="40"/>
    </row>
    <row r="7029" spans="1:2" x14ac:dyDescent="0.2">
      <c r="A7029" s="40"/>
      <c r="B7029" s="40"/>
    </row>
    <row r="7030" spans="1:2" x14ac:dyDescent="0.2">
      <c r="A7030" s="40"/>
      <c r="B7030" s="40"/>
    </row>
    <row r="7031" spans="1:2" x14ac:dyDescent="0.2">
      <c r="A7031" s="40"/>
      <c r="B7031" s="40"/>
    </row>
    <row r="7032" spans="1:2" x14ac:dyDescent="0.2">
      <c r="A7032" s="40"/>
      <c r="B7032" s="40"/>
    </row>
    <row r="7033" spans="1:2" x14ac:dyDescent="0.2">
      <c r="A7033" s="40"/>
      <c r="B7033" s="40"/>
    </row>
    <row r="7034" spans="1:2" x14ac:dyDescent="0.2">
      <c r="A7034" s="40"/>
      <c r="B7034" s="40"/>
    </row>
    <row r="7035" spans="1:2" x14ac:dyDescent="0.2">
      <c r="A7035" s="40"/>
      <c r="B7035" s="40"/>
    </row>
    <row r="7036" spans="1:2" x14ac:dyDescent="0.2">
      <c r="A7036" s="40"/>
      <c r="B7036" s="40"/>
    </row>
    <row r="7037" spans="1:2" x14ac:dyDescent="0.2">
      <c r="A7037" s="40"/>
      <c r="B7037" s="40"/>
    </row>
    <row r="7038" spans="1:2" x14ac:dyDescent="0.2">
      <c r="A7038" s="40"/>
      <c r="B7038" s="40"/>
    </row>
    <row r="7039" spans="1:2" x14ac:dyDescent="0.2">
      <c r="A7039" s="40"/>
      <c r="B7039" s="40"/>
    </row>
    <row r="7040" spans="1:2" x14ac:dyDescent="0.2">
      <c r="A7040" s="40"/>
      <c r="B7040" s="40"/>
    </row>
    <row r="7041" spans="1:2" x14ac:dyDescent="0.2">
      <c r="A7041" s="40"/>
      <c r="B7041" s="40"/>
    </row>
    <row r="7042" spans="1:2" x14ac:dyDescent="0.2">
      <c r="A7042" s="40"/>
      <c r="B7042" s="40"/>
    </row>
    <row r="7043" spans="1:2" x14ac:dyDescent="0.2">
      <c r="A7043" s="40"/>
      <c r="B7043" s="40"/>
    </row>
    <row r="7044" spans="1:2" x14ac:dyDescent="0.2">
      <c r="A7044" s="40"/>
      <c r="B7044" s="40"/>
    </row>
    <row r="7045" spans="1:2" x14ac:dyDescent="0.2">
      <c r="A7045" s="40"/>
      <c r="B7045" s="40"/>
    </row>
    <row r="7046" spans="1:2" x14ac:dyDescent="0.2">
      <c r="A7046" s="40"/>
      <c r="B7046" s="40"/>
    </row>
    <row r="7047" spans="1:2" x14ac:dyDescent="0.2">
      <c r="A7047" s="40"/>
      <c r="B7047" s="40"/>
    </row>
    <row r="7048" spans="1:2" x14ac:dyDescent="0.2">
      <c r="A7048" s="40"/>
      <c r="B7048" s="40"/>
    </row>
    <row r="7049" spans="1:2" x14ac:dyDescent="0.2">
      <c r="A7049" s="40"/>
      <c r="B7049" s="40"/>
    </row>
    <row r="7050" spans="1:2" x14ac:dyDescent="0.2">
      <c r="A7050" s="40"/>
      <c r="B7050" s="40"/>
    </row>
    <row r="7051" spans="1:2" x14ac:dyDescent="0.2">
      <c r="A7051" s="40"/>
      <c r="B7051" s="40"/>
    </row>
    <row r="7052" spans="1:2" x14ac:dyDescent="0.2">
      <c r="A7052" s="40"/>
      <c r="B7052" s="40"/>
    </row>
    <row r="7053" spans="1:2" x14ac:dyDescent="0.2">
      <c r="A7053" s="40"/>
      <c r="B7053" s="40"/>
    </row>
    <row r="7054" spans="1:2" x14ac:dyDescent="0.2">
      <c r="A7054" s="40"/>
      <c r="B7054" s="40"/>
    </row>
    <row r="7055" spans="1:2" x14ac:dyDescent="0.2">
      <c r="A7055" s="40"/>
      <c r="B7055" s="40"/>
    </row>
    <row r="7056" spans="1:2" x14ac:dyDescent="0.2">
      <c r="A7056" s="40"/>
      <c r="B7056" s="40"/>
    </row>
    <row r="7057" spans="1:2" x14ac:dyDescent="0.2">
      <c r="A7057" s="40"/>
      <c r="B7057" s="40"/>
    </row>
    <row r="7058" spans="1:2" x14ac:dyDescent="0.2">
      <c r="A7058" s="40"/>
      <c r="B7058" s="40"/>
    </row>
    <row r="7059" spans="1:2" x14ac:dyDescent="0.2">
      <c r="A7059" s="40"/>
      <c r="B7059" s="40"/>
    </row>
    <row r="7060" spans="1:2" x14ac:dyDescent="0.2">
      <c r="A7060" s="40"/>
      <c r="B7060" s="40"/>
    </row>
    <row r="7061" spans="1:2" x14ac:dyDescent="0.2">
      <c r="A7061" s="40"/>
      <c r="B7061" s="40"/>
    </row>
    <row r="7062" spans="1:2" x14ac:dyDescent="0.2">
      <c r="A7062" s="40"/>
      <c r="B7062" s="40"/>
    </row>
    <row r="7063" spans="1:2" x14ac:dyDescent="0.2">
      <c r="A7063" s="40"/>
      <c r="B7063" s="40"/>
    </row>
    <row r="7064" spans="1:2" x14ac:dyDescent="0.2">
      <c r="A7064" s="40"/>
      <c r="B7064" s="40"/>
    </row>
    <row r="7065" spans="1:2" x14ac:dyDescent="0.2">
      <c r="A7065" s="40"/>
      <c r="B7065" s="40"/>
    </row>
    <row r="7066" spans="1:2" x14ac:dyDescent="0.2">
      <c r="A7066" s="40"/>
      <c r="B7066" s="40"/>
    </row>
    <row r="7067" spans="1:2" x14ac:dyDescent="0.2">
      <c r="A7067" s="40"/>
      <c r="B7067" s="40"/>
    </row>
    <row r="7068" spans="1:2" x14ac:dyDescent="0.2">
      <c r="A7068" s="40"/>
      <c r="B7068" s="40"/>
    </row>
    <row r="7069" spans="1:2" x14ac:dyDescent="0.2">
      <c r="A7069" s="40"/>
      <c r="B7069" s="40"/>
    </row>
    <row r="7070" spans="1:2" x14ac:dyDescent="0.2">
      <c r="A7070" s="40"/>
      <c r="B7070" s="40"/>
    </row>
    <row r="7071" spans="1:2" x14ac:dyDescent="0.2">
      <c r="A7071" s="40"/>
      <c r="B7071" s="40"/>
    </row>
    <row r="7072" spans="1:2" x14ac:dyDescent="0.2">
      <c r="A7072" s="40"/>
      <c r="B7072" s="40"/>
    </row>
    <row r="7073" spans="1:2" x14ac:dyDescent="0.2">
      <c r="A7073" s="40"/>
      <c r="B7073" s="40"/>
    </row>
    <row r="7074" spans="1:2" x14ac:dyDescent="0.2">
      <c r="A7074" s="40"/>
      <c r="B7074" s="40"/>
    </row>
    <row r="7075" spans="1:2" x14ac:dyDescent="0.2">
      <c r="A7075" s="40"/>
      <c r="B7075" s="40"/>
    </row>
    <row r="7076" spans="1:2" x14ac:dyDescent="0.2">
      <c r="A7076" s="40"/>
      <c r="B7076" s="40"/>
    </row>
    <row r="7077" spans="1:2" x14ac:dyDescent="0.2">
      <c r="A7077" s="40"/>
      <c r="B7077" s="40"/>
    </row>
    <row r="7078" spans="1:2" x14ac:dyDescent="0.2">
      <c r="A7078" s="40"/>
      <c r="B7078" s="40"/>
    </row>
    <row r="7079" spans="1:2" x14ac:dyDescent="0.2">
      <c r="A7079" s="40"/>
      <c r="B7079" s="40"/>
    </row>
    <row r="7080" spans="1:2" x14ac:dyDescent="0.2">
      <c r="A7080" s="40"/>
      <c r="B7080" s="40"/>
    </row>
    <row r="7081" spans="1:2" x14ac:dyDescent="0.2">
      <c r="A7081" s="40"/>
      <c r="B7081" s="40"/>
    </row>
    <row r="7082" spans="1:2" x14ac:dyDescent="0.2">
      <c r="A7082" s="40"/>
      <c r="B7082" s="40"/>
    </row>
    <row r="7083" spans="1:2" x14ac:dyDescent="0.2">
      <c r="A7083" s="40"/>
      <c r="B7083" s="40"/>
    </row>
    <row r="7084" spans="1:2" x14ac:dyDescent="0.2">
      <c r="A7084" s="40"/>
      <c r="B7084" s="40"/>
    </row>
    <row r="7085" spans="1:2" x14ac:dyDescent="0.2">
      <c r="A7085" s="40"/>
      <c r="B7085" s="40"/>
    </row>
    <row r="7086" spans="1:2" x14ac:dyDescent="0.2">
      <c r="A7086" s="40"/>
      <c r="B7086" s="40"/>
    </row>
    <row r="7087" spans="1:2" x14ac:dyDescent="0.2">
      <c r="A7087" s="40"/>
      <c r="B7087" s="40"/>
    </row>
    <row r="7088" spans="1:2" x14ac:dyDescent="0.2">
      <c r="A7088" s="40"/>
      <c r="B7088" s="40"/>
    </row>
    <row r="7089" spans="1:2" x14ac:dyDescent="0.2">
      <c r="A7089" s="40"/>
      <c r="B7089" s="40"/>
    </row>
    <row r="7090" spans="1:2" x14ac:dyDescent="0.2">
      <c r="A7090" s="40"/>
      <c r="B7090" s="40"/>
    </row>
    <row r="7091" spans="1:2" x14ac:dyDescent="0.2">
      <c r="A7091" s="40"/>
      <c r="B7091" s="40"/>
    </row>
    <row r="7092" spans="1:2" x14ac:dyDescent="0.2">
      <c r="A7092" s="40"/>
      <c r="B7092" s="40"/>
    </row>
    <row r="7093" spans="1:2" x14ac:dyDescent="0.2">
      <c r="A7093" s="40"/>
      <c r="B7093" s="40"/>
    </row>
    <row r="7094" spans="1:2" x14ac:dyDescent="0.2">
      <c r="A7094" s="40"/>
      <c r="B7094" s="40"/>
    </row>
    <row r="7095" spans="1:2" x14ac:dyDescent="0.2">
      <c r="A7095" s="40"/>
      <c r="B7095" s="40"/>
    </row>
    <row r="7096" spans="1:2" x14ac:dyDescent="0.2">
      <c r="A7096" s="40"/>
      <c r="B7096" s="40"/>
    </row>
    <row r="7097" spans="1:2" x14ac:dyDescent="0.2">
      <c r="A7097" s="40"/>
      <c r="B7097" s="40"/>
    </row>
    <row r="7098" spans="1:2" x14ac:dyDescent="0.2">
      <c r="A7098" s="40"/>
      <c r="B7098" s="40"/>
    </row>
    <row r="7099" spans="1:2" x14ac:dyDescent="0.2">
      <c r="A7099" s="40"/>
      <c r="B7099" s="40"/>
    </row>
    <row r="7100" spans="1:2" x14ac:dyDescent="0.2">
      <c r="A7100" s="40"/>
      <c r="B7100" s="40"/>
    </row>
    <row r="7101" spans="1:2" x14ac:dyDescent="0.2">
      <c r="A7101" s="40"/>
      <c r="B7101" s="40"/>
    </row>
    <row r="7102" spans="1:2" x14ac:dyDescent="0.2">
      <c r="A7102" s="40"/>
      <c r="B7102" s="40"/>
    </row>
    <row r="7103" spans="1:2" x14ac:dyDescent="0.2">
      <c r="A7103" s="40"/>
      <c r="B7103" s="40"/>
    </row>
    <row r="7104" spans="1:2" x14ac:dyDescent="0.2">
      <c r="A7104" s="40"/>
      <c r="B7104" s="40"/>
    </row>
    <row r="7105" spans="1:2" x14ac:dyDescent="0.2">
      <c r="A7105" s="40"/>
      <c r="B7105" s="40"/>
    </row>
    <row r="7106" spans="1:2" x14ac:dyDescent="0.2">
      <c r="A7106" s="40"/>
      <c r="B7106" s="40"/>
    </row>
    <row r="7107" spans="1:2" x14ac:dyDescent="0.2">
      <c r="A7107" s="40"/>
      <c r="B7107" s="40"/>
    </row>
    <row r="7108" spans="1:2" x14ac:dyDescent="0.2">
      <c r="A7108" s="40"/>
      <c r="B7108" s="40"/>
    </row>
    <row r="7109" spans="1:2" x14ac:dyDescent="0.2">
      <c r="A7109" s="40"/>
      <c r="B7109" s="40"/>
    </row>
    <row r="7110" spans="1:2" x14ac:dyDescent="0.2">
      <c r="A7110" s="40"/>
      <c r="B7110" s="40"/>
    </row>
    <row r="7111" spans="1:2" x14ac:dyDescent="0.2">
      <c r="A7111" s="40"/>
      <c r="B7111" s="40"/>
    </row>
    <row r="7112" spans="1:2" x14ac:dyDescent="0.2">
      <c r="A7112" s="40"/>
      <c r="B7112" s="40"/>
    </row>
    <row r="7113" spans="1:2" x14ac:dyDescent="0.2">
      <c r="A7113" s="40"/>
      <c r="B7113" s="40"/>
    </row>
    <row r="7114" spans="1:2" x14ac:dyDescent="0.2">
      <c r="A7114" s="40"/>
      <c r="B7114" s="40"/>
    </row>
    <row r="7115" spans="1:2" x14ac:dyDescent="0.2">
      <c r="A7115" s="40"/>
      <c r="B7115" s="40"/>
    </row>
    <row r="7116" spans="1:2" x14ac:dyDescent="0.2">
      <c r="A7116" s="40"/>
      <c r="B7116" s="40"/>
    </row>
    <row r="7117" spans="1:2" x14ac:dyDescent="0.2">
      <c r="A7117" s="40"/>
      <c r="B7117" s="40"/>
    </row>
    <row r="7118" spans="1:2" x14ac:dyDescent="0.2">
      <c r="A7118" s="40"/>
      <c r="B7118" s="40"/>
    </row>
    <row r="7119" spans="1:2" x14ac:dyDescent="0.2">
      <c r="A7119" s="40"/>
      <c r="B7119" s="40"/>
    </row>
    <row r="7120" spans="1:2" x14ac:dyDescent="0.2">
      <c r="A7120" s="40"/>
      <c r="B7120" s="40"/>
    </row>
    <row r="7121" spans="1:2" x14ac:dyDescent="0.2">
      <c r="A7121" s="40"/>
      <c r="B7121" s="40"/>
    </row>
    <row r="7122" spans="1:2" x14ac:dyDescent="0.2">
      <c r="A7122" s="40"/>
      <c r="B7122" s="40"/>
    </row>
    <row r="7123" spans="1:2" x14ac:dyDescent="0.2">
      <c r="A7123" s="40"/>
      <c r="B7123" s="40"/>
    </row>
    <row r="7124" spans="1:2" x14ac:dyDescent="0.2">
      <c r="A7124" s="40"/>
      <c r="B7124" s="40"/>
    </row>
    <row r="7125" spans="1:2" x14ac:dyDescent="0.2">
      <c r="A7125" s="40"/>
      <c r="B7125" s="40"/>
    </row>
    <row r="7126" spans="1:2" x14ac:dyDescent="0.2">
      <c r="A7126" s="40"/>
      <c r="B7126" s="40"/>
    </row>
    <row r="7127" spans="1:2" x14ac:dyDescent="0.2">
      <c r="A7127" s="40"/>
      <c r="B7127" s="40"/>
    </row>
    <row r="7128" spans="1:2" x14ac:dyDescent="0.2">
      <c r="A7128" s="40"/>
      <c r="B7128" s="40"/>
    </row>
    <row r="7129" spans="1:2" x14ac:dyDescent="0.2">
      <c r="A7129" s="40"/>
      <c r="B7129" s="40"/>
    </row>
    <row r="7130" spans="1:2" x14ac:dyDescent="0.2">
      <c r="A7130" s="40"/>
      <c r="B7130" s="40"/>
    </row>
    <row r="7131" spans="1:2" x14ac:dyDescent="0.2">
      <c r="A7131" s="40"/>
      <c r="B7131" s="40"/>
    </row>
    <row r="7132" spans="1:2" x14ac:dyDescent="0.2">
      <c r="A7132" s="40"/>
      <c r="B7132" s="40"/>
    </row>
    <row r="7133" spans="1:2" x14ac:dyDescent="0.2">
      <c r="A7133" s="40"/>
      <c r="B7133" s="40"/>
    </row>
    <row r="7134" spans="1:2" x14ac:dyDescent="0.2">
      <c r="A7134" s="40"/>
      <c r="B7134" s="40"/>
    </row>
    <row r="7135" spans="1:2" x14ac:dyDescent="0.2">
      <c r="A7135" s="40"/>
      <c r="B7135" s="40"/>
    </row>
    <row r="7136" spans="1:2" x14ac:dyDescent="0.2">
      <c r="A7136" s="40"/>
      <c r="B7136" s="40"/>
    </row>
    <row r="7137" spans="1:2" x14ac:dyDescent="0.2">
      <c r="A7137" s="40"/>
      <c r="B7137" s="40"/>
    </row>
    <row r="7138" spans="1:2" x14ac:dyDescent="0.2">
      <c r="A7138" s="40"/>
      <c r="B7138" s="40"/>
    </row>
    <row r="7139" spans="1:2" x14ac:dyDescent="0.2">
      <c r="A7139" s="40"/>
      <c r="B7139" s="40"/>
    </row>
    <row r="7140" spans="1:2" x14ac:dyDescent="0.2">
      <c r="A7140" s="40"/>
      <c r="B7140" s="40"/>
    </row>
    <row r="7141" spans="1:2" x14ac:dyDescent="0.2">
      <c r="A7141" s="40"/>
      <c r="B7141" s="40"/>
    </row>
    <row r="7142" spans="1:2" x14ac:dyDescent="0.2">
      <c r="A7142" s="40"/>
      <c r="B7142" s="40"/>
    </row>
    <row r="7143" spans="1:2" x14ac:dyDescent="0.2">
      <c r="A7143" s="40"/>
      <c r="B7143" s="40"/>
    </row>
    <row r="7144" spans="1:2" x14ac:dyDescent="0.2">
      <c r="A7144" s="40"/>
      <c r="B7144" s="40"/>
    </row>
    <row r="7145" spans="1:2" x14ac:dyDescent="0.2">
      <c r="A7145" s="40"/>
      <c r="B7145" s="40"/>
    </row>
    <row r="7146" spans="1:2" x14ac:dyDescent="0.2">
      <c r="A7146" s="40"/>
      <c r="B7146" s="40"/>
    </row>
    <row r="7147" spans="1:2" x14ac:dyDescent="0.2">
      <c r="A7147" s="40"/>
      <c r="B7147" s="40"/>
    </row>
    <row r="7148" spans="1:2" x14ac:dyDescent="0.2">
      <c r="A7148" s="40"/>
      <c r="B7148" s="40"/>
    </row>
    <row r="7149" spans="1:2" x14ac:dyDescent="0.2">
      <c r="A7149" s="40"/>
      <c r="B7149" s="40"/>
    </row>
    <row r="7150" spans="1:2" x14ac:dyDescent="0.2">
      <c r="A7150" s="40"/>
      <c r="B7150" s="40"/>
    </row>
    <row r="7151" spans="1:2" x14ac:dyDescent="0.2">
      <c r="A7151" s="40"/>
      <c r="B7151" s="40"/>
    </row>
    <row r="7152" spans="1:2" x14ac:dyDescent="0.2">
      <c r="A7152" s="40"/>
      <c r="B7152" s="40"/>
    </row>
    <row r="7153" spans="1:2" x14ac:dyDescent="0.2">
      <c r="A7153" s="40"/>
      <c r="B7153" s="40"/>
    </row>
    <row r="7154" spans="1:2" x14ac:dyDescent="0.2">
      <c r="A7154" s="40"/>
      <c r="B7154" s="40"/>
    </row>
    <row r="7155" spans="1:2" x14ac:dyDescent="0.2">
      <c r="A7155" s="40"/>
      <c r="B7155" s="40"/>
    </row>
    <row r="7156" spans="1:2" x14ac:dyDescent="0.2">
      <c r="A7156" s="40"/>
      <c r="B7156" s="40"/>
    </row>
    <row r="7157" spans="1:2" x14ac:dyDescent="0.2">
      <c r="A7157" s="40"/>
      <c r="B7157" s="40"/>
    </row>
    <row r="7158" spans="1:2" x14ac:dyDescent="0.2">
      <c r="A7158" s="40"/>
      <c r="B7158" s="40"/>
    </row>
    <row r="7159" spans="1:2" x14ac:dyDescent="0.2">
      <c r="A7159" s="40"/>
      <c r="B7159" s="40"/>
    </row>
    <row r="7160" spans="1:2" x14ac:dyDescent="0.2">
      <c r="A7160" s="40"/>
      <c r="B7160" s="40"/>
    </row>
    <row r="7161" spans="1:2" x14ac:dyDescent="0.2">
      <c r="A7161" s="40"/>
      <c r="B7161" s="40"/>
    </row>
    <row r="7162" spans="1:2" x14ac:dyDescent="0.2">
      <c r="A7162" s="40"/>
      <c r="B7162" s="40"/>
    </row>
    <row r="7163" spans="1:2" x14ac:dyDescent="0.2">
      <c r="A7163" s="40"/>
      <c r="B7163" s="40"/>
    </row>
    <row r="7164" spans="1:2" x14ac:dyDescent="0.2">
      <c r="A7164" s="40"/>
      <c r="B7164" s="40"/>
    </row>
    <row r="7165" spans="1:2" x14ac:dyDescent="0.2">
      <c r="A7165" s="40"/>
      <c r="B7165" s="40"/>
    </row>
    <row r="7166" spans="1:2" x14ac:dyDescent="0.2">
      <c r="A7166" s="40"/>
      <c r="B7166" s="40"/>
    </row>
    <row r="7167" spans="1:2" x14ac:dyDescent="0.2">
      <c r="A7167" s="40"/>
      <c r="B7167" s="40"/>
    </row>
    <row r="7168" spans="1:2" x14ac:dyDescent="0.2">
      <c r="A7168" s="40"/>
      <c r="B7168" s="40"/>
    </row>
    <row r="7169" spans="1:2" x14ac:dyDescent="0.2">
      <c r="A7169" s="40"/>
      <c r="B7169" s="40"/>
    </row>
    <row r="7170" spans="1:2" x14ac:dyDescent="0.2">
      <c r="A7170" s="40"/>
      <c r="B7170" s="40"/>
    </row>
    <row r="7171" spans="1:2" x14ac:dyDescent="0.2">
      <c r="A7171" s="40"/>
      <c r="B7171" s="40"/>
    </row>
    <row r="7172" spans="1:2" x14ac:dyDescent="0.2">
      <c r="A7172" s="40"/>
      <c r="B7172" s="40"/>
    </row>
    <row r="7173" spans="1:2" x14ac:dyDescent="0.2">
      <c r="A7173" s="40"/>
      <c r="B7173" s="40"/>
    </row>
    <row r="7174" spans="1:2" x14ac:dyDescent="0.2">
      <c r="A7174" s="40"/>
      <c r="B7174" s="40"/>
    </row>
    <row r="7175" spans="1:2" x14ac:dyDescent="0.2">
      <c r="A7175" s="40"/>
      <c r="B7175" s="40"/>
    </row>
    <row r="7176" spans="1:2" x14ac:dyDescent="0.2">
      <c r="A7176" s="40"/>
      <c r="B7176" s="40"/>
    </row>
    <row r="7177" spans="1:2" x14ac:dyDescent="0.2">
      <c r="A7177" s="40"/>
      <c r="B7177" s="40"/>
    </row>
    <row r="7178" spans="1:2" x14ac:dyDescent="0.2">
      <c r="A7178" s="40"/>
      <c r="B7178" s="40"/>
    </row>
    <row r="7179" spans="1:2" x14ac:dyDescent="0.2">
      <c r="A7179" s="40"/>
      <c r="B7179" s="40"/>
    </row>
    <row r="7180" spans="1:2" x14ac:dyDescent="0.2">
      <c r="A7180" s="40"/>
      <c r="B7180" s="40"/>
    </row>
    <row r="7181" spans="1:2" x14ac:dyDescent="0.2">
      <c r="A7181" s="40"/>
      <c r="B7181" s="40"/>
    </row>
    <row r="7182" spans="1:2" x14ac:dyDescent="0.2">
      <c r="A7182" s="40"/>
      <c r="B7182" s="40"/>
    </row>
    <row r="7183" spans="1:2" x14ac:dyDescent="0.2">
      <c r="A7183" s="40"/>
      <c r="B7183" s="40"/>
    </row>
    <row r="7184" spans="1:2" x14ac:dyDescent="0.2">
      <c r="A7184" s="40"/>
      <c r="B7184" s="40"/>
    </row>
    <row r="7185" spans="1:2" x14ac:dyDescent="0.2">
      <c r="A7185" s="40"/>
      <c r="B7185" s="40"/>
    </row>
    <row r="7186" spans="1:2" x14ac:dyDescent="0.2">
      <c r="A7186" s="40"/>
      <c r="B7186" s="40"/>
    </row>
    <row r="7187" spans="1:2" x14ac:dyDescent="0.2">
      <c r="A7187" s="40"/>
      <c r="B7187" s="40"/>
    </row>
    <row r="7188" spans="1:2" x14ac:dyDescent="0.2">
      <c r="A7188" s="40"/>
      <c r="B7188" s="40"/>
    </row>
    <row r="7189" spans="1:2" x14ac:dyDescent="0.2">
      <c r="A7189" s="40"/>
      <c r="B7189" s="40"/>
    </row>
    <row r="7190" spans="1:2" x14ac:dyDescent="0.2">
      <c r="A7190" s="40"/>
      <c r="B7190" s="40"/>
    </row>
    <row r="7191" spans="1:2" x14ac:dyDescent="0.2">
      <c r="A7191" s="40"/>
      <c r="B7191" s="40"/>
    </row>
    <row r="7192" spans="1:2" x14ac:dyDescent="0.2">
      <c r="A7192" s="40"/>
      <c r="B7192" s="40"/>
    </row>
    <row r="7193" spans="1:2" x14ac:dyDescent="0.2">
      <c r="A7193" s="40"/>
      <c r="B7193" s="40"/>
    </row>
    <row r="7194" spans="1:2" x14ac:dyDescent="0.2">
      <c r="A7194" s="40"/>
      <c r="B7194" s="40"/>
    </row>
    <row r="7195" spans="1:2" x14ac:dyDescent="0.2">
      <c r="A7195" s="40"/>
      <c r="B7195" s="40"/>
    </row>
    <row r="7196" spans="1:2" x14ac:dyDescent="0.2">
      <c r="A7196" s="40"/>
      <c r="B7196" s="40"/>
    </row>
    <row r="7197" spans="1:2" x14ac:dyDescent="0.2">
      <c r="A7197" s="40"/>
      <c r="B7197" s="40"/>
    </row>
    <row r="7198" spans="1:2" x14ac:dyDescent="0.2">
      <c r="A7198" s="40"/>
      <c r="B7198" s="40"/>
    </row>
    <row r="7199" spans="1:2" x14ac:dyDescent="0.2">
      <c r="A7199" s="40"/>
      <c r="B7199" s="40"/>
    </row>
    <row r="7200" spans="1:2" x14ac:dyDescent="0.2">
      <c r="A7200" s="40"/>
      <c r="B7200" s="40"/>
    </row>
    <row r="7201" spans="1:2" x14ac:dyDescent="0.2">
      <c r="A7201" s="40"/>
      <c r="B7201" s="40"/>
    </row>
    <row r="7202" spans="1:2" x14ac:dyDescent="0.2">
      <c r="A7202" s="40"/>
      <c r="B7202" s="40"/>
    </row>
    <row r="7203" spans="1:2" x14ac:dyDescent="0.2">
      <c r="A7203" s="40"/>
      <c r="B7203" s="40"/>
    </row>
    <row r="7204" spans="1:2" x14ac:dyDescent="0.2">
      <c r="A7204" s="40"/>
      <c r="B7204" s="40"/>
    </row>
    <row r="7205" spans="1:2" x14ac:dyDescent="0.2">
      <c r="A7205" s="40"/>
      <c r="B7205" s="40"/>
    </row>
    <row r="7206" spans="1:2" x14ac:dyDescent="0.2">
      <c r="A7206" s="40"/>
      <c r="B7206" s="40"/>
    </row>
    <row r="7207" spans="1:2" x14ac:dyDescent="0.2">
      <c r="A7207" s="40"/>
      <c r="B7207" s="40"/>
    </row>
    <row r="7208" spans="1:2" x14ac:dyDescent="0.2">
      <c r="A7208" s="40"/>
      <c r="B7208" s="40"/>
    </row>
    <row r="7209" spans="1:2" x14ac:dyDescent="0.2">
      <c r="A7209" s="40"/>
      <c r="B7209" s="40"/>
    </row>
    <row r="7210" spans="1:2" x14ac:dyDescent="0.2">
      <c r="A7210" s="40"/>
      <c r="B7210" s="40"/>
    </row>
    <row r="7211" spans="1:2" x14ac:dyDescent="0.2">
      <c r="A7211" s="40"/>
      <c r="B7211" s="40"/>
    </row>
    <row r="7212" spans="1:2" x14ac:dyDescent="0.2">
      <c r="A7212" s="40"/>
      <c r="B7212" s="40"/>
    </row>
    <row r="7213" spans="1:2" x14ac:dyDescent="0.2">
      <c r="A7213" s="40"/>
      <c r="B7213" s="40"/>
    </row>
    <row r="7214" spans="1:2" x14ac:dyDescent="0.2">
      <c r="A7214" s="40"/>
      <c r="B7214" s="40"/>
    </row>
    <row r="7215" spans="1:2" x14ac:dyDescent="0.2">
      <c r="A7215" s="40"/>
      <c r="B7215" s="40"/>
    </row>
    <row r="7216" spans="1:2" x14ac:dyDescent="0.2">
      <c r="A7216" s="40"/>
      <c r="B7216" s="40"/>
    </row>
    <row r="7217" spans="1:2" x14ac:dyDescent="0.2">
      <c r="A7217" s="40"/>
      <c r="B7217" s="40"/>
    </row>
    <row r="7218" spans="1:2" x14ac:dyDescent="0.2">
      <c r="A7218" s="40"/>
      <c r="B7218" s="40"/>
    </row>
    <row r="7219" spans="1:2" x14ac:dyDescent="0.2">
      <c r="A7219" s="40"/>
      <c r="B7219" s="40"/>
    </row>
    <row r="7220" spans="1:2" x14ac:dyDescent="0.2">
      <c r="A7220" s="40"/>
      <c r="B7220" s="40"/>
    </row>
    <row r="7221" spans="1:2" x14ac:dyDescent="0.2">
      <c r="A7221" s="40"/>
      <c r="B7221" s="40"/>
    </row>
    <row r="7222" spans="1:2" x14ac:dyDescent="0.2">
      <c r="A7222" s="40"/>
      <c r="B7222" s="40"/>
    </row>
    <row r="7223" spans="1:2" x14ac:dyDescent="0.2">
      <c r="A7223" s="40"/>
      <c r="B7223" s="40"/>
    </row>
    <row r="7224" spans="1:2" x14ac:dyDescent="0.2">
      <c r="A7224" s="40"/>
      <c r="B7224" s="40"/>
    </row>
    <row r="7225" spans="1:2" x14ac:dyDescent="0.2">
      <c r="A7225" s="40"/>
      <c r="B7225" s="40"/>
    </row>
    <row r="7226" spans="1:2" x14ac:dyDescent="0.2">
      <c r="A7226" s="40"/>
      <c r="B7226" s="40"/>
    </row>
    <row r="7227" spans="1:2" x14ac:dyDescent="0.2">
      <c r="A7227" s="40"/>
      <c r="B7227" s="40"/>
    </row>
    <row r="7228" spans="1:2" x14ac:dyDescent="0.2">
      <c r="A7228" s="40"/>
      <c r="B7228" s="40"/>
    </row>
    <row r="7229" spans="1:2" x14ac:dyDescent="0.2">
      <c r="A7229" s="40"/>
      <c r="B7229" s="40"/>
    </row>
    <row r="7230" spans="1:2" x14ac:dyDescent="0.2">
      <c r="A7230" s="40"/>
      <c r="B7230" s="40"/>
    </row>
    <row r="7231" spans="1:2" x14ac:dyDescent="0.2">
      <c r="A7231" s="40"/>
      <c r="B7231" s="40"/>
    </row>
    <row r="7232" spans="1:2" x14ac:dyDescent="0.2">
      <c r="A7232" s="40"/>
      <c r="B7232" s="40"/>
    </row>
    <row r="7233" spans="1:2" x14ac:dyDescent="0.2">
      <c r="A7233" s="40"/>
      <c r="B7233" s="40"/>
    </row>
    <row r="7234" spans="1:2" x14ac:dyDescent="0.2">
      <c r="A7234" s="40"/>
      <c r="B7234" s="40"/>
    </row>
    <row r="7235" spans="1:2" x14ac:dyDescent="0.2">
      <c r="A7235" s="40"/>
      <c r="B7235" s="40"/>
    </row>
    <row r="7236" spans="1:2" x14ac:dyDescent="0.2">
      <c r="A7236" s="40"/>
      <c r="B7236" s="40"/>
    </row>
    <row r="7237" spans="1:2" x14ac:dyDescent="0.2">
      <c r="A7237" s="40"/>
      <c r="B7237" s="40"/>
    </row>
    <row r="7238" spans="1:2" x14ac:dyDescent="0.2">
      <c r="A7238" s="40"/>
      <c r="B7238" s="40"/>
    </row>
    <row r="7239" spans="1:2" x14ac:dyDescent="0.2">
      <c r="A7239" s="40"/>
      <c r="B7239" s="40"/>
    </row>
    <row r="7240" spans="1:2" x14ac:dyDescent="0.2">
      <c r="A7240" s="40"/>
      <c r="B7240" s="40"/>
    </row>
    <row r="7241" spans="1:2" x14ac:dyDescent="0.2">
      <c r="A7241" s="40"/>
      <c r="B7241" s="40"/>
    </row>
    <row r="7242" spans="1:2" x14ac:dyDescent="0.2">
      <c r="A7242" s="40"/>
      <c r="B7242" s="40"/>
    </row>
    <row r="7243" spans="1:2" x14ac:dyDescent="0.2">
      <c r="A7243" s="40"/>
      <c r="B7243" s="40"/>
    </row>
    <row r="7244" spans="1:2" x14ac:dyDescent="0.2">
      <c r="A7244" s="40"/>
      <c r="B7244" s="40"/>
    </row>
    <row r="7245" spans="1:2" x14ac:dyDescent="0.2">
      <c r="A7245" s="40"/>
      <c r="B7245" s="40"/>
    </row>
    <row r="7246" spans="1:2" x14ac:dyDescent="0.2">
      <c r="A7246" s="40"/>
      <c r="B7246" s="40"/>
    </row>
    <row r="7247" spans="1:2" x14ac:dyDescent="0.2">
      <c r="A7247" s="40"/>
      <c r="B7247" s="40"/>
    </row>
    <row r="7248" spans="1:2" x14ac:dyDescent="0.2">
      <c r="A7248" s="40"/>
      <c r="B7248" s="40"/>
    </row>
    <row r="7249" spans="1:2" x14ac:dyDescent="0.2">
      <c r="A7249" s="40"/>
      <c r="B7249" s="40"/>
    </row>
    <row r="7250" spans="1:2" x14ac:dyDescent="0.2">
      <c r="A7250" s="40"/>
      <c r="B7250" s="40"/>
    </row>
    <row r="7251" spans="1:2" x14ac:dyDescent="0.2">
      <c r="A7251" s="40"/>
      <c r="B7251" s="40"/>
    </row>
    <row r="7252" spans="1:2" x14ac:dyDescent="0.2">
      <c r="A7252" s="40"/>
      <c r="B7252" s="40"/>
    </row>
    <row r="7253" spans="1:2" x14ac:dyDescent="0.2">
      <c r="A7253" s="40"/>
      <c r="B7253" s="40"/>
    </row>
    <row r="7254" spans="1:2" x14ac:dyDescent="0.2">
      <c r="A7254" s="40"/>
      <c r="B7254" s="40"/>
    </row>
    <row r="7255" spans="1:2" x14ac:dyDescent="0.2">
      <c r="A7255" s="40"/>
      <c r="B7255" s="40"/>
    </row>
    <row r="7256" spans="1:2" x14ac:dyDescent="0.2">
      <c r="A7256" s="40"/>
      <c r="B7256" s="40"/>
    </row>
    <row r="7257" spans="1:2" x14ac:dyDescent="0.2">
      <c r="A7257" s="40"/>
      <c r="B7257" s="40"/>
    </row>
    <row r="7258" spans="1:2" x14ac:dyDescent="0.2">
      <c r="A7258" s="40"/>
      <c r="B7258" s="40"/>
    </row>
    <row r="7259" spans="1:2" x14ac:dyDescent="0.2">
      <c r="A7259" s="40"/>
      <c r="B7259" s="40"/>
    </row>
    <row r="7260" spans="1:2" x14ac:dyDescent="0.2">
      <c r="A7260" s="40"/>
      <c r="B7260" s="40"/>
    </row>
    <row r="7261" spans="1:2" x14ac:dyDescent="0.2">
      <c r="A7261" s="40"/>
      <c r="B7261" s="40"/>
    </row>
    <row r="7262" spans="1:2" x14ac:dyDescent="0.2">
      <c r="A7262" s="40"/>
      <c r="B7262" s="40"/>
    </row>
    <row r="7263" spans="1:2" x14ac:dyDescent="0.2">
      <c r="A7263" s="40"/>
      <c r="B7263" s="40"/>
    </row>
    <row r="7264" spans="1:2" x14ac:dyDescent="0.2">
      <c r="A7264" s="40"/>
      <c r="B7264" s="40"/>
    </row>
    <row r="7265" spans="1:2" x14ac:dyDescent="0.2">
      <c r="A7265" s="40"/>
      <c r="B7265" s="40"/>
    </row>
    <row r="7266" spans="1:2" x14ac:dyDescent="0.2">
      <c r="A7266" s="40"/>
      <c r="B7266" s="40"/>
    </row>
    <row r="7267" spans="1:2" x14ac:dyDescent="0.2">
      <c r="A7267" s="40"/>
      <c r="B7267" s="40"/>
    </row>
    <row r="7268" spans="1:2" x14ac:dyDescent="0.2">
      <c r="A7268" s="40"/>
      <c r="B7268" s="40"/>
    </row>
    <row r="7269" spans="1:2" x14ac:dyDescent="0.2">
      <c r="A7269" s="40"/>
      <c r="B7269" s="40"/>
    </row>
    <row r="7270" spans="1:2" x14ac:dyDescent="0.2">
      <c r="A7270" s="40"/>
      <c r="B7270" s="40"/>
    </row>
    <row r="7271" spans="1:2" x14ac:dyDescent="0.2">
      <c r="A7271" s="40"/>
      <c r="B7271" s="40"/>
    </row>
    <row r="7272" spans="1:2" x14ac:dyDescent="0.2">
      <c r="A7272" s="40"/>
      <c r="B7272" s="40"/>
    </row>
    <row r="7273" spans="1:2" x14ac:dyDescent="0.2">
      <c r="A7273" s="40"/>
      <c r="B7273" s="40"/>
    </row>
    <row r="7274" spans="1:2" x14ac:dyDescent="0.2">
      <c r="A7274" s="40"/>
      <c r="B7274" s="40"/>
    </row>
    <row r="7275" spans="1:2" x14ac:dyDescent="0.2">
      <c r="A7275" s="40"/>
      <c r="B7275" s="40"/>
    </row>
    <row r="7276" spans="1:2" x14ac:dyDescent="0.2">
      <c r="A7276" s="40"/>
      <c r="B7276" s="40"/>
    </row>
    <row r="7277" spans="1:2" x14ac:dyDescent="0.2">
      <c r="A7277" s="40"/>
      <c r="B7277" s="40"/>
    </row>
    <row r="7278" spans="1:2" x14ac:dyDescent="0.2">
      <c r="A7278" s="40"/>
      <c r="B7278" s="40"/>
    </row>
    <row r="7279" spans="1:2" x14ac:dyDescent="0.2">
      <c r="A7279" s="40"/>
      <c r="B7279" s="40"/>
    </row>
    <row r="7280" spans="1:2" x14ac:dyDescent="0.2">
      <c r="A7280" s="40"/>
      <c r="B7280" s="40"/>
    </row>
    <row r="7281" spans="1:2" x14ac:dyDescent="0.2">
      <c r="A7281" s="40"/>
      <c r="B7281" s="40"/>
    </row>
    <row r="7282" spans="1:2" x14ac:dyDescent="0.2">
      <c r="A7282" s="40"/>
      <c r="B7282" s="40"/>
    </row>
    <row r="7283" spans="1:2" x14ac:dyDescent="0.2">
      <c r="A7283" s="40"/>
      <c r="B7283" s="40"/>
    </row>
    <row r="7284" spans="1:2" x14ac:dyDescent="0.2">
      <c r="A7284" s="40"/>
      <c r="B7284" s="40"/>
    </row>
    <row r="7285" spans="1:2" x14ac:dyDescent="0.2">
      <c r="A7285" s="40"/>
      <c r="B7285" s="40"/>
    </row>
    <row r="7286" spans="1:2" x14ac:dyDescent="0.2">
      <c r="A7286" s="40"/>
      <c r="B7286" s="40"/>
    </row>
    <row r="7287" spans="1:2" x14ac:dyDescent="0.2">
      <c r="A7287" s="40"/>
      <c r="B7287" s="40"/>
    </row>
    <row r="7288" spans="1:2" x14ac:dyDescent="0.2">
      <c r="A7288" s="40"/>
      <c r="B7288" s="40"/>
    </row>
    <row r="7289" spans="1:2" x14ac:dyDescent="0.2">
      <c r="A7289" s="40"/>
      <c r="B7289" s="40"/>
    </row>
    <row r="7290" spans="1:2" x14ac:dyDescent="0.2">
      <c r="A7290" s="40"/>
      <c r="B7290" s="40"/>
    </row>
    <row r="7291" spans="1:2" x14ac:dyDescent="0.2">
      <c r="A7291" s="40"/>
      <c r="B7291" s="40"/>
    </row>
    <row r="7292" spans="1:2" x14ac:dyDescent="0.2">
      <c r="A7292" s="40"/>
      <c r="B7292" s="40"/>
    </row>
    <row r="7293" spans="1:2" x14ac:dyDescent="0.2">
      <c r="A7293" s="40"/>
      <c r="B7293" s="40"/>
    </row>
    <row r="7294" spans="1:2" x14ac:dyDescent="0.2">
      <c r="A7294" s="40"/>
      <c r="B7294" s="40"/>
    </row>
    <row r="7295" spans="1:2" x14ac:dyDescent="0.2">
      <c r="A7295" s="40"/>
      <c r="B7295" s="40"/>
    </row>
    <row r="7296" spans="1:2" x14ac:dyDescent="0.2">
      <c r="A7296" s="40"/>
      <c r="B7296" s="40"/>
    </row>
    <row r="7297" spans="1:2" x14ac:dyDescent="0.2">
      <c r="A7297" s="40"/>
      <c r="B7297" s="40"/>
    </row>
    <row r="7298" spans="1:2" x14ac:dyDescent="0.2">
      <c r="A7298" s="40"/>
      <c r="B7298" s="40"/>
    </row>
    <row r="7299" spans="1:2" x14ac:dyDescent="0.2">
      <c r="A7299" s="40"/>
      <c r="B7299" s="40"/>
    </row>
    <row r="7300" spans="1:2" x14ac:dyDescent="0.2">
      <c r="A7300" s="40"/>
      <c r="B7300" s="40"/>
    </row>
    <row r="7301" spans="1:2" x14ac:dyDescent="0.2">
      <c r="A7301" s="40"/>
      <c r="B7301" s="40"/>
    </row>
    <row r="7302" spans="1:2" x14ac:dyDescent="0.2">
      <c r="A7302" s="40"/>
      <c r="B7302" s="40"/>
    </row>
    <row r="7303" spans="1:2" x14ac:dyDescent="0.2">
      <c r="A7303" s="40"/>
      <c r="B7303" s="40"/>
    </row>
    <row r="7304" spans="1:2" x14ac:dyDescent="0.2">
      <c r="A7304" s="40"/>
      <c r="B7304" s="40"/>
    </row>
    <row r="7305" spans="1:2" x14ac:dyDescent="0.2">
      <c r="A7305" s="40"/>
      <c r="B7305" s="40"/>
    </row>
    <row r="7306" spans="1:2" x14ac:dyDescent="0.2">
      <c r="A7306" s="40"/>
      <c r="B7306" s="40"/>
    </row>
    <row r="7307" spans="1:2" x14ac:dyDescent="0.2">
      <c r="A7307" s="40"/>
      <c r="B7307" s="40"/>
    </row>
    <row r="7308" spans="1:2" x14ac:dyDescent="0.2">
      <c r="A7308" s="40"/>
      <c r="B7308" s="40"/>
    </row>
    <row r="7309" spans="1:2" x14ac:dyDescent="0.2">
      <c r="A7309" s="40"/>
      <c r="B7309" s="40"/>
    </row>
    <row r="7310" spans="1:2" x14ac:dyDescent="0.2">
      <c r="A7310" s="40"/>
      <c r="B7310" s="40"/>
    </row>
    <row r="7311" spans="1:2" x14ac:dyDescent="0.2">
      <c r="A7311" s="40"/>
      <c r="B7311" s="40"/>
    </row>
    <row r="7312" spans="1:2" x14ac:dyDescent="0.2">
      <c r="A7312" s="40"/>
      <c r="B7312" s="40"/>
    </row>
    <row r="7313" spans="1:2" x14ac:dyDescent="0.2">
      <c r="A7313" s="40"/>
      <c r="B7313" s="40"/>
    </row>
    <row r="7314" spans="1:2" x14ac:dyDescent="0.2">
      <c r="A7314" s="40"/>
      <c r="B7314" s="40"/>
    </row>
    <row r="7315" spans="1:2" x14ac:dyDescent="0.2">
      <c r="A7315" s="40"/>
      <c r="B7315" s="40"/>
    </row>
    <row r="7316" spans="1:2" x14ac:dyDescent="0.2">
      <c r="A7316" s="40"/>
      <c r="B7316" s="40"/>
    </row>
    <row r="7317" spans="1:2" x14ac:dyDescent="0.2">
      <c r="A7317" s="40"/>
      <c r="B7317" s="40"/>
    </row>
    <row r="7318" spans="1:2" x14ac:dyDescent="0.2">
      <c r="A7318" s="40"/>
      <c r="B7318" s="40"/>
    </row>
    <row r="7319" spans="1:2" x14ac:dyDescent="0.2">
      <c r="A7319" s="40"/>
      <c r="B7319" s="40"/>
    </row>
    <row r="7320" spans="1:2" x14ac:dyDescent="0.2">
      <c r="A7320" s="40"/>
      <c r="B7320" s="40"/>
    </row>
    <row r="7321" spans="1:2" x14ac:dyDescent="0.2">
      <c r="A7321" s="40"/>
      <c r="B7321" s="40"/>
    </row>
    <row r="7322" spans="1:2" x14ac:dyDescent="0.2">
      <c r="A7322" s="40"/>
      <c r="B7322" s="40"/>
    </row>
    <row r="7323" spans="1:2" x14ac:dyDescent="0.2">
      <c r="A7323" s="40"/>
      <c r="B7323" s="40"/>
    </row>
    <row r="7324" spans="1:2" x14ac:dyDescent="0.2">
      <c r="A7324" s="40"/>
      <c r="B7324" s="40"/>
    </row>
    <row r="7325" spans="1:2" x14ac:dyDescent="0.2">
      <c r="A7325" s="40"/>
      <c r="B7325" s="40"/>
    </row>
    <row r="7326" spans="1:2" x14ac:dyDescent="0.2">
      <c r="A7326" s="40"/>
      <c r="B7326" s="40"/>
    </row>
    <row r="7327" spans="1:2" x14ac:dyDescent="0.2">
      <c r="A7327" s="40"/>
      <c r="B7327" s="40"/>
    </row>
    <row r="7328" spans="1:2" x14ac:dyDescent="0.2">
      <c r="A7328" s="40"/>
      <c r="B7328" s="40"/>
    </row>
    <row r="7329" spans="1:2" x14ac:dyDescent="0.2">
      <c r="A7329" s="40"/>
      <c r="B7329" s="40"/>
    </row>
    <row r="7330" spans="1:2" x14ac:dyDescent="0.2">
      <c r="A7330" s="40"/>
      <c r="B7330" s="40"/>
    </row>
    <row r="7331" spans="1:2" x14ac:dyDescent="0.2">
      <c r="A7331" s="40"/>
      <c r="B7331" s="40"/>
    </row>
    <row r="7332" spans="1:2" x14ac:dyDescent="0.2">
      <c r="A7332" s="40"/>
      <c r="B7332" s="40"/>
    </row>
    <row r="7333" spans="1:2" x14ac:dyDescent="0.2">
      <c r="A7333" s="40"/>
      <c r="B7333" s="40"/>
    </row>
    <row r="7334" spans="1:2" x14ac:dyDescent="0.2">
      <c r="A7334" s="40"/>
      <c r="B7334" s="40"/>
    </row>
    <row r="7335" spans="1:2" x14ac:dyDescent="0.2">
      <c r="A7335" s="40"/>
      <c r="B7335" s="40"/>
    </row>
    <row r="7336" spans="1:2" x14ac:dyDescent="0.2">
      <c r="A7336" s="40"/>
      <c r="B7336" s="40"/>
    </row>
    <row r="7337" spans="1:2" x14ac:dyDescent="0.2">
      <c r="A7337" s="40"/>
      <c r="B7337" s="40"/>
    </row>
    <row r="7338" spans="1:2" x14ac:dyDescent="0.2">
      <c r="A7338" s="40"/>
      <c r="B7338" s="40"/>
    </row>
    <row r="7339" spans="1:2" x14ac:dyDescent="0.2">
      <c r="A7339" s="40"/>
      <c r="B7339" s="40"/>
    </row>
    <row r="7340" spans="1:2" x14ac:dyDescent="0.2">
      <c r="A7340" s="40"/>
      <c r="B7340" s="40"/>
    </row>
    <row r="7341" spans="1:2" x14ac:dyDescent="0.2">
      <c r="A7341" s="40"/>
      <c r="B7341" s="40"/>
    </row>
    <row r="7342" spans="1:2" x14ac:dyDescent="0.2">
      <c r="A7342" s="40"/>
      <c r="B7342" s="40"/>
    </row>
    <row r="7343" spans="1:2" x14ac:dyDescent="0.2">
      <c r="A7343" s="40"/>
      <c r="B7343" s="40"/>
    </row>
    <row r="7344" spans="1:2" x14ac:dyDescent="0.2">
      <c r="A7344" s="40"/>
      <c r="B7344" s="40"/>
    </row>
    <row r="7345" spans="1:2" x14ac:dyDescent="0.2">
      <c r="A7345" s="40"/>
      <c r="B7345" s="40"/>
    </row>
    <row r="7346" spans="1:2" x14ac:dyDescent="0.2">
      <c r="A7346" s="40"/>
      <c r="B7346" s="40"/>
    </row>
    <row r="7347" spans="1:2" x14ac:dyDescent="0.2">
      <c r="A7347" s="40"/>
      <c r="B7347" s="40"/>
    </row>
    <row r="7348" spans="1:2" x14ac:dyDescent="0.2">
      <c r="A7348" s="40"/>
      <c r="B7348" s="40"/>
    </row>
    <row r="7349" spans="1:2" x14ac:dyDescent="0.2">
      <c r="A7349" s="40"/>
      <c r="B7349" s="40"/>
    </row>
    <row r="7350" spans="1:2" x14ac:dyDescent="0.2">
      <c r="A7350" s="40"/>
      <c r="B7350" s="40"/>
    </row>
    <row r="7351" spans="1:2" x14ac:dyDescent="0.2">
      <c r="A7351" s="40"/>
      <c r="B7351" s="40"/>
    </row>
    <row r="7352" spans="1:2" x14ac:dyDescent="0.2">
      <c r="A7352" s="40"/>
      <c r="B7352" s="40"/>
    </row>
    <row r="7353" spans="1:2" x14ac:dyDescent="0.2">
      <c r="A7353" s="40"/>
      <c r="B7353" s="40"/>
    </row>
    <row r="7354" spans="1:2" x14ac:dyDescent="0.2">
      <c r="A7354" s="40"/>
      <c r="B7354" s="40"/>
    </row>
    <row r="7355" spans="1:2" x14ac:dyDescent="0.2">
      <c r="A7355" s="40"/>
      <c r="B7355" s="40"/>
    </row>
    <row r="7356" spans="1:2" x14ac:dyDescent="0.2">
      <c r="A7356" s="40"/>
      <c r="B7356" s="40"/>
    </row>
    <row r="7357" spans="1:2" x14ac:dyDescent="0.2">
      <c r="A7357" s="40"/>
      <c r="B7357" s="40"/>
    </row>
    <row r="7358" spans="1:2" x14ac:dyDescent="0.2">
      <c r="A7358" s="40"/>
      <c r="B7358" s="40"/>
    </row>
    <row r="7359" spans="1:2" x14ac:dyDescent="0.2">
      <c r="A7359" s="40"/>
      <c r="B7359" s="40"/>
    </row>
    <row r="7360" spans="1:2" x14ac:dyDescent="0.2">
      <c r="A7360" s="40"/>
      <c r="B7360" s="40"/>
    </row>
    <row r="7361" spans="1:2" x14ac:dyDescent="0.2">
      <c r="A7361" s="40"/>
      <c r="B7361" s="40"/>
    </row>
    <row r="7362" spans="1:2" x14ac:dyDescent="0.2">
      <c r="A7362" s="40"/>
      <c r="B7362" s="40"/>
    </row>
    <row r="7363" spans="1:2" x14ac:dyDescent="0.2">
      <c r="A7363" s="40"/>
      <c r="B7363" s="40"/>
    </row>
    <row r="7364" spans="1:2" x14ac:dyDescent="0.2">
      <c r="A7364" s="40"/>
      <c r="B7364" s="40"/>
    </row>
    <row r="7365" spans="1:2" x14ac:dyDescent="0.2">
      <c r="A7365" s="40"/>
      <c r="B7365" s="40"/>
    </row>
    <row r="7366" spans="1:2" x14ac:dyDescent="0.2">
      <c r="A7366" s="40"/>
      <c r="B7366" s="40"/>
    </row>
    <row r="7367" spans="1:2" x14ac:dyDescent="0.2">
      <c r="A7367" s="40"/>
      <c r="B7367" s="40"/>
    </row>
    <row r="7368" spans="1:2" x14ac:dyDescent="0.2">
      <c r="A7368" s="40"/>
      <c r="B7368" s="40"/>
    </row>
    <row r="7369" spans="1:2" x14ac:dyDescent="0.2">
      <c r="A7369" s="40"/>
      <c r="B7369" s="40"/>
    </row>
    <row r="7370" spans="1:2" x14ac:dyDescent="0.2">
      <c r="A7370" s="40"/>
      <c r="B7370" s="40"/>
    </row>
    <row r="7371" spans="1:2" x14ac:dyDescent="0.2">
      <c r="A7371" s="40"/>
      <c r="B7371" s="40"/>
    </row>
    <row r="7372" spans="1:2" x14ac:dyDescent="0.2">
      <c r="A7372" s="40"/>
      <c r="B7372" s="40"/>
    </row>
    <row r="7373" spans="1:2" x14ac:dyDescent="0.2">
      <c r="A7373" s="40"/>
      <c r="B7373" s="40"/>
    </row>
    <row r="7374" spans="1:2" x14ac:dyDescent="0.2">
      <c r="A7374" s="40"/>
      <c r="B7374" s="40"/>
    </row>
    <row r="7375" spans="1:2" x14ac:dyDescent="0.2">
      <c r="A7375" s="40"/>
      <c r="B7375" s="40"/>
    </row>
    <row r="7376" spans="1:2" x14ac:dyDescent="0.2">
      <c r="A7376" s="40"/>
      <c r="B7376" s="40"/>
    </row>
    <row r="7377" spans="1:2" x14ac:dyDescent="0.2">
      <c r="A7377" s="40"/>
      <c r="B7377" s="40"/>
    </row>
    <row r="7378" spans="1:2" x14ac:dyDescent="0.2">
      <c r="A7378" s="40"/>
      <c r="B7378" s="40"/>
    </row>
    <row r="7379" spans="1:2" x14ac:dyDescent="0.2">
      <c r="A7379" s="40"/>
      <c r="B7379" s="40"/>
    </row>
    <row r="7380" spans="1:2" x14ac:dyDescent="0.2">
      <c r="A7380" s="40"/>
      <c r="B7380" s="40"/>
    </row>
    <row r="7381" spans="1:2" x14ac:dyDescent="0.2">
      <c r="A7381" s="40"/>
      <c r="B7381" s="40"/>
    </row>
    <row r="7382" spans="1:2" x14ac:dyDescent="0.2">
      <c r="A7382" s="40"/>
      <c r="B7382" s="40"/>
    </row>
    <row r="7383" spans="1:2" x14ac:dyDescent="0.2">
      <c r="A7383" s="40"/>
      <c r="B7383" s="40"/>
    </row>
    <row r="7384" spans="1:2" x14ac:dyDescent="0.2">
      <c r="A7384" s="40"/>
      <c r="B7384" s="40"/>
    </row>
    <row r="7385" spans="1:2" x14ac:dyDescent="0.2">
      <c r="A7385" s="40"/>
      <c r="B7385" s="40"/>
    </row>
    <row r="7386" spans="1:2" x14ac:dyDescent="0.2">
      <c r="A7386" s="40"/>
      <c r="B7386" s="40"/>
    </row>
    <row r="7387" spans="1:2" x14ac:dyDescent="0.2">
      <c r="A7387" s="40"/>
      <c r="B7387" s="40"/>
    </row>
    <row r="7388" spans="1:2" x14ac:dyDescent="0.2">
      <c r="A7388" s="40"/>
      <c r="B7388" s="40"/>
    </row>
    <row r="7389" spans="1:2" x14ac:dyDescent="0.2">
      <c r="A7389" s="40"/>
      <c r="B7389" s="40"/>
    </row>
    <row r="7390" spans="1:2" x14ac:dyDescent="0.2">
      <c r="A7390" s="40"/>
      <c r="B7390" s="40"/>
    </row>
    <row r="7391" spans="1:2" x14ac:dyDescent="0.2">
      <c r="A7391" s="40"/>
      <c r="B7391" s="40"/>
    </row>
    <row r="7392" spans="1:2" x14ac:dyDescent="0.2">
      <c r="A7392" s="40"/>
      <c r="B7392" s="40"/>
    </row>
    <row r="7393" spans="1:2" x14ac:dyDescent="0.2">
      <c r="A7393" s="40"/>
      <c r="B7393" s="40"/>
    </row>
    <row r="7394" spans="1:2" x14ac:dyDescent="0.2">
      <c r="A7394" s="40"/>
      <c r="B7394" s="40"/>
    </row>
    <row r="7395" spans="1:2" x14ac:dyDescent="0.2">
      <c r="A7395" s="40"/>
      <c r="B7395" s="40"/>
    </row>
    <row r="7396" spans="1:2" x14ac:dyDescent="0.2">
      <c r="A7396" s="40"/>
      <c r="B7396" s="40"/>
    </row>
    <row r="7397" spans="1:2" x14ac:dyDescent="0.2">
      <c r="A7397" s="40"/>
      <c r="B7397" s="40"/>
    </row>
    <row r="7398" spans="1:2" x14ac:dyDescent="0.2">
      <c r="A7398" s="40"/>
      <c r="B7398" s="40"/>
    </row>
    <row r="7399" spans="1:2" x14ac:dyDescent="0.2">
      <c r="A7399" s="40"/>
      <c r="B7399" s="40"/>
    </row>
    <row r="7400" spans="1:2" x14ac:dyDescent="0.2">
      <c r="A7400" s="40"/>
      <c r="B7400" s="40"/>
    </row>
    <row r="7401" spans="1:2" x14ac:dyDescent="0.2">
      <c r="A7401" s="40"/>
      <c r="B7401" s="40"/>
    </row>
    <row r="7402" spans="1:2" x14ac:dyDescent="0.2">
      <c r="A7402" s="40"/>
      <c r="B7402" s="40"/>
    </row>
    <row r="7403" spans="1:2" x14ac:dyDescent="0.2">
      <c r="A7403" s="40"/>
      <c r="B7403" s="40"/>
    </row>
    <row r="7404" spans="1:2" x14ac:dyDescent="0.2">
      <c r="A7404" s="40"/>
      <c r="B7404" s="40"/>
    </row>
    <row r="7405" spans="1:2" x14ac:dyDescent="0.2">
      <c r="A7405" s="40"/>
      <c r="B7405" s="40"/>
    </row>
    <row r="7406" spans="1:2" x14ac:dyDescent="0.2">
      <c r="A7406" s="40"/>
      <c r="B7406" s="40"/>
    </row>
    <row r="7407" spans="1:2" x14ac:dyDescent="0.2">
      <c r="A7407" s="40"/>
      <c r="B7407" s="40"/>
    </row>
    <row r="7408" spans="1:2" x14ac:dyDescent="0.2">
      <c r="A7408" s="40"/>
      <c r="B7408" s="40"/>
    </row>
    <row r="7409" spans="1:2" x14ac:dyDescent="0.2">
      <c r="A7409" s="40"/>
      <c r="B7409" s="40"/>
    </row>
    <row r="7410" spans="1:2" x14ac:dyDescent="0.2">
      <c r="A7410" s="40"/>
      <c r="B7410" s="40"/>
    </row>
    <row r="7411" spans="1:2" x14ac:dyDescent="0.2">
      <c r="A7411" s="40"/>
      <c r="B7411" s="40"/>
    </row>
    <row r="7412" spans="1:2" x14ac:dyDescent="0.2">
      <c r="A7412" s="40"/>
      <c r="B7412" s="40"/>
    </row>
    <row r="7413" spans="1:2" x14ac:dyDescent="0.2">
      <c r="A7413" s="40"/>
      <c r="B7413" s="40"/>
    </row>
    <row r="7414" spans="1:2" x14ac:dyDescent="0.2">
      <c r="A7414" s="40"/>
      <c r="B7414" s="40"/>
    </row>
    <row r="7415" spans="1:2" x14ac:dyDescent="0.2">
      <c r="A7415" s="40"/>
      <c r="B7415" s="40"/>
    </row>
    <row r="7416" spans="1:2" x14ac:dyDescent="0.2">
      <c r="A7416" s="40"/>
      <c r="B7416" s="40"/>
    </row>
    <row r="7417" spans="1:2" x14ac:dyDescent="0.2">
      <c r="A7417" s="40"/>
      <c r="B7417" s="40"/>
    </row>
    <row r="7418" spans="1:2" x14ac:dyDescent="0.2">
      <c r="A7418" s="40"/>
      <c r="B7418" s="40"/>
    </row>
    <row r="7419" spans="1:2" x14ac:dyDescent="0.2">
      <c r="A7419" s="40"/>
      <c r="B7419" s="40"/>
    </row>
    <row r="7420" spans="1:2" x14ac:dyDescent="0.2">
      <c r="A7420" s="40"/>
      <c r="B7420" s="40"/>
    </row>
    <row r="7421" spans="1:2" x14ac:dyDescent="0.2">
      <c r="A7421" s="40"/>
      <c r="B7421" s="40"/>
    </row>
    <row r="7422" spans="1:2" x14ac:dyDescent="0.2">
      <c r="A7422" s="40"/>
      <c r="B7422" s="40"/>
    </row>
    <row r="7423" spans="1:2" x14ac:dyDescent="0.2">
      <c r="A7423" s="40"/>
      <c r="B7423" s="40"/>
    </row>
    <row r="7424" spans="1:2" x14ac:dyDescent="0.2">
      <c r="A7424" s="40"/>
      <c r="B7424" s="40"/>
    </row>
    <row r="7425" spans="1:2" x14ac:dyDescent="0.2">
      <c r="A7425" s="40"/>
      <c r="B7425" s="40"/>
    </row>
    <row r="7426" spans="1:2" x14ac:dyDescent="0.2">
      <c r="A7426" s="40"/>
      <c r="B7426" s="40"/>
    </row>
    <row r="7427" spans="1:2" x14ac:dyDescent="0.2">
      <c r="A7427" s="40"/>
      <c r="B7427" s="40"/>
    </row>
    <row r="7428" spans="1:2" x14ac:dyDescent="0.2">
      <c r="A7428" s="40"/>
      <c r="B7428" s="40"/>
    </row>
    <row r="7429" spans="1:2" x14ac:dyDescent="0.2">
      <c r="A7429" s="40"/>
      <c r="B7429" s="40"/>
    </row>
    <row r="7430" spans="1:2" x14ac:dyDescent="0.2">
      <c r="A7430" s="40"/>
      <c r="B7430" s="40"/>
    </row>
    <row r="7431" spans="1:2" x14ac:dyDescent="0.2">
      <c r="A7431" s="40"/>
      <c r="B7431" s="40"/>
    </row>
    <row r="7432" spans="1:2" x14ac:dyDescent="0.2">
      <c r="A7432" s="40"/>
      <c r="B7432" s="40"/>
    </row>
    <row r="7433" spans="1:2" x14ac:dyDescent="0.2">
      <c r="A7433" s="40"/>
      <c r="B7433" s="40"/>
    </row>
    <row r="7434" spans="1:2" x14ac:dyDescent="0.2">
      <c r="A7434" s="40"/>
      <c r="B7434" s="40"/>
    </row>
    <row r="7435" spans="1:2" x14ac:dyDescent="0.2">
      <c r="A7435" s="40"/>
      <c r="B7435" s="40"/>
    </row>
    <row r="7436" spans="1:2" x14ac:dyDescent="0.2">
      <c r="A7436" s="40"/>
      <c r="B7436" s="40"/>
    </row>
    <row r="7437" spans="1:2" x14ac:dyDescent="0.2">
      <c r="A7437" s="40"/>
      <c r="B7437" s="40"/>
    </row>
    <row r="7438" spans="1:2" x14ac:dyDescent="0.2">
      <c r="A7438" s="40"/>
      <c r="B7438" s="40"/>
    </row>
    <row r="7439" spans="1:2" x14ac:dyDescent="0.2">
      <c r="A7439" s="40"/>
      <c r="B7439" s="40"/>
    </row>
    <row r="7440" spans="1:2" x14ac:dyDescent="0.2">
      <c r="A7440" s="40"/>
      <c r="B7440" s="40"/>
    </row>
    <row r="7441" spans="1:2" x14ac:dyDescent="0.2">
      <c r="A7441" s="40"/>
      <c r="B7441" s="40"/>
    </row>
    <row r="7442" spans="1:2" x14ac:dyDescent="0.2">
      <c r="A7442" s="40"/>
      <c r="B7442" s="40"/>
    </row>
    <row r="7443" spans="1:2" x14ac:dyDescent="0.2">
      <c r="A7443" s="40"/>
      <c r="B7443" s="40"/>
    </row>
    <row r="7444" spans="1:2" x14ac:dyDescent="0.2">
      <c r="A7444" s="40"/>
      <c r="B7444" s="40"/>
    </row>
    <row r="7445" spans="1:2" x14ac:dyDescent="0.2">
      <c r="A7445" s="40"/>
      <c r="B7445" s="40"/>
    </row>
    <row r="7446" spans="1:2" x14ac:dyDescent="0.2">
      <c r="A7446" s="40"/>
      <c r="B7446" s="40"/>
    </row>
    <row r="7447" spans="1:2" x14ac:dyDescent="0.2">
      <c r="A7447" s="40"/>
      <c r="B7447" s="40"/>
    </row>
    <row r="7448" spans="1:2" x14ac:dyDescent="0.2">
      <c r="A7448" s="40"/>
      <c r="B7448" s="40"/>
    </row>
    <row r="7449" spans="1:2" x14ac:dyDescent="0.2">
      <c r="A7449" s="40"/>
      <c r="B7449" s="40"/>
    </row>
    <row r="7450" spans="1:2" x14ac:dyDescent="0.2">
      <c r="A7450" s="40"/>
      <c r="B7450" s="40"/>
    </row>
    <row r="7451" spans="1:2" x14ac:dyDescent="0.2">
      <c r="A7451" s="40"/>
      <c r="B7451" s="40"/>
    </row>
    <row r="7452" spans="1:2" x14ac:dyDescent="0.2">
      <c r="A7452" s="40"/>
      <c r="B7452" s="40"/>
    </row>
    <row r="7453" spans="1:2" x14ac:dyDescent="0.2">
      <c r="A7453" s="40"/>
      <c r="B7453" s="40"/>
    </row>
    <row r="7454" spans="1:2" x14ac:dyDescent="0.2">
      <c r="A7454" s="40"/>
      <c r="B7454" s="40"/>
    </row>
    <row r="7455" spans="1:2" x14ac:dyDescent="0.2">
      <c r="A7455" s="40"/>
      <c r="B7455" s="40"/>
    </row>
    <row r="7456" spans="1:2" x14ac:dyDescent="0.2">
      <c r="A7456" s="40"/>
      <c r="B7456" s="40"/>
    </row>
    <row r="7457" spans="1:2" x14ac:dyDescent="0.2">
      <c r="A7457" s="40"/>
      <c r="B7457" s="40"/>
    </row>
    <row r="7458" spans="1:2" x14ac:dyDescent="0.2">
      <c r="A7458" s="40"/>
      <c r="B7458" s="40"/>
    </row>
    <row r="7459" spans="1:2" x14ac:dyDescent="0.2">
      <c r="A7459" s="40"/>
      <c r="B7459" s="40"/>
    </row>
    <row r="7460" spans="1:2" x14ac:dyDescent="0.2">
      <c r="A7460" s="40"/>
      <c r="B7460" s="40"/>
    </row>
    <row r="7461" spans="1:2" x14ac:dyDescent="0.2">
      <c r="A7461" s="40"/>
      <c r="B7461" s="40"/>
    </row>
    <row r="7462" spans="1:2" x14ac:dyDescent="0.2">
      <c r="A7462" s="40"/>
      <c r="B7462" s="40"/>
    </row>
    <row r="7463" spans="1:2" x14ac:dyDescent="0.2">
      <c r="A7463" s="40"/>
      <c r="B7463" s="40"/>
    </row>
    <row r="7464" spans="1:2" x14ac:dyDescent="0.2">
      <c r="A7464" s="40"/>
      <c r="B7464" s="40"/>
    </row>
    <row r="7465" spans="1:2" x14ac:dyDescent="0.2">
      <c r="A7465" s="40"/>
      <c r="B7465" s="40"/>
    </row>
    <row r="7466" spans="1:2" x14ac:dyDescent="0.2">
      <c r="A7466" s="40"/>
      <c r="B7466" s="40"/>
    </row>
    <row r="7467" spans="1:2" x14ac:dyDescent="0.2">
      <c r="A7467" s="40"/>
      <c r="B7467" s="40"/>
    </row>
    <row r="7468" spans="1:2" x14ac:dyDescent="0.2">
      <c r="A7468" s="40"/>
      <c r="B7468" s="40"/>
    </row>
    <row r="7469" spans="1:2" x14ac:dyDescent="0.2">
      <c r="A7469" s="40"/>
      <c r="B7469" s="40"/>
    </row>
    <row r="7470" spans="1:2" x14ac:dyDescent="0.2">
      <c r="A7470" s="40"/>
      <c r="B7470" s="40"/>
    </row>
    <row r="7471" spans="1:2" x14ac:dyDescent="0.2">
      <c r="A7471" s="40"/>
      <c r="B7471" s="40"/>
    </row>
    <row r="7472" spans="1:2" x14ac:dyDescent="0.2">
      <c r="A7472" s="40"/>
      <c r="B7472" s="40"/>
    </row>
    <row r="7473" spans="1:2" x14ac:dyDescent="0.2">
      <c r="A7473" s="40"/>
      <c r="B7473" s="40"/>
    </row>
    <row r="7474" spans="1:2" x14ac:dyDescent="0.2">
      <c r="A7474" s="40"/>
      <c r="B7474" s="40"/>
    </row>
    <row r="7475" spans="1:2" x14ac:dyDescent="0.2">
      <c r="A7475" s="40"/>
      <c r="B7475" s="40"/>
    </row>
    <row r="7476" spans="1:2" x14ac:dyDescent="0.2">
      <c r="A7476" s="40"/>
      <c r="B7476" s="40"/>
    </row>
    <row r="7477" spans="1:2" x14ac:dyDescent="0.2">
      <c r="A7477" s="40"/>
      <c r="B7477" s="40"/>
    </row>
    <row r="7478" spans="1:2" x14ac:dyDescent="0.2">
      <c r="A7478" s="40"/>
      <c r="B7478" s="40"/>
    </row>
    <row r="7479" spans="1:2" x14ac:dyDescent="0.2">
      <c r="A7479" s="40"/>
      <c r="B7479" s="40"/>
    </row>
    <row r="7480" spans="1:2" x14ac:dyDescent="0.2">
      <c r="A7480" s="40"/>
      <c r="B7480" s="40"/>
    </row>
    <row r="7481" spans="1:2" x14ac:dyDescent="0.2">
      <c r="A7481" s="40"/>
      <c r="B7481" s="40"/>
    </row>
    <row r="7482" spans="1:2" x14ac:dyDescent="0.2">
      <c r="A7482" s="40"/>
      <c r="B7482" s="40"/>
    </row>
    <row r="7483" spans="1:2" x14ac:dyDescent="0.2">
      <c r="A7483" s="40"/>
      <c r="B7483" s="40"/>
    </row>
    <row r="7484" spans="1:2" x14ac:dyDescent="0.2">
      <c r="A7484" s="40"/>
      <c r="B7484" s="40"/>
    </row>
    <row r="7485" spans="1:2" x14ac:dyDescent="0.2">
      <c r="A7485" s="40"/>
      <c r="B7485" s="40"/>
    </row>
    <row r="7486" spans="1:2" x14ac:dyDescent="0.2">
      <c r="A7486" s="40"/>
      <c r="B7486" s="40"/>
    </row>
    <row r="7487" spans="1:2" x14ac:dyDescent="0.2">
      <c r="A7487" s="40"/>
      <c r="B7487" s="40"/>
    </row>
    <row r="7488" spans="1:2" x14ac:dyDescent="0.2">
      <c r="A7488" s="40"/>
      <c r="B7488" s="40"/>
    </row>
    <row r="7489" spans="1:2" x14ac:dyDescent="0.2">
      <c r="A7489" s="40"/>
      <c r="B7489" s="40"/>
    </row>
    <row r="7490" spans="1:2" x14ac:dyDescent="0.2">
      <c r="A7490" s="40"/>
      <c r="B7490" s="40"/>
    </row>
    <row r="7491" spans="1:2" x14ac:dyDescent="0.2">
      <c r="A7491" s="40"/>
      <c r="B7491" s="40"/>
    </row>
    <row r="7492" spans="1:2" x14ac:dyDescent="0.2">
      <c r="A7492" s="40"/>
      <c r="B7492" s="40"/>
    </row>
    <row r="7493" spans="1:2" x14ac:dyDescent="0.2">
      <c r="A7493" s="40"/>
      <c r="B7493" s="40"/>
    </row>
    <row r="7494" spans="1:2" x14ac:dyDescent="0.2">
      <c r="A7494" s="40"/>
      <c r="B7494" s="40"/>
    </row>
    <row r="7495" spans="1:2" x14ac:dyDescent="0.2">
      <c r="A7495" s="40"/>
      <c r="B7495" s="40"/>
    </row>
    <row r="7496" spans="1:2" x14ac:dyDescent="0.2">
      <c r="A7496" s="40"/>
      <c r="B7496" s="40"/>
    </row>
    <row r="7497" spans="1:2" x14ac:dyDescent="0.2">
      <c r="A7497" s="40"/>
      <c r="B7497" s="40"/>
    </row>
    <row r="7498" spans="1:2" x14ac:dyDescent="0.2">
      <c r="A7498" s="40"/>
      <c r="B7498" s="40"/>
    </row>
    <row r="7499" spans="1:2" x14ac:dyDescent="0.2">
      <c r="A7499" s="40"/>
      <c r="B7499" s="40"/>
    </row>
    <row r="7500" spans="1:2" x14ac:dyDescent="0.2">
      <c r="A7500" s="40"/>
      <c r="B7500" s="40"/>
    </row>
    <row r="7501" spans="1:2" x14ac:dyDescent="0.2">
      <c r="A7501" s="40"/>
      <c r="B7501" s="40"/>
    </row>
    <row r="7502" spans="1:2" x14ac:dyDescent="0.2">
      <c r="A7502" s="40"/>
      <c r="B7502" s="40"/>
    </row>
    <row r="7503" spans="1:2" x14ac:dyDescent="0.2">
      <c r="A7503" s="40"/>
      <c r="B7503" s="40"/>
    </row>
    <row r="7504" spans="1:2" x14ac:dyDescent="0.2">
      <c r="A7504" s="40"/>
      <c r="B7504" s="40"/>
    </row>
    <row r="7505" spans="1:2" x14ac:dyDescent="0.2">
      <c r="A7505" s="40"/>
      <c r="B7505" s="40"/>
    </row>
    <row r="7506" spans="1:2" x14ac:dyDescent="0.2">
      <c r="A7506" s="40"/>
      <c r="B7506" s="40"/>
    </row>
    <row r="7507" spans="1:2" x14ac:dyDescent="0.2">
      <c r="A7507" s="40"/>
      <c r="B7507" s="40"/>
    </row>
    <row r="7508" spans="1:2" x14ac:dyDescent="0.2">
      <c r="A7508" s="40"/>
      <c r="B7508" s="40"/>
    </row>
    <row r="7509" spans="1:2" x14ac:dyDescent="0.2">
      <c r="A7509" s="40"/>
      <c r="B7509" s="40"/>
    </row>
    <row r="7510" spans="1:2" x14ac:dyDescent="0.2">
      <c r="A7510" s="40"/>
      <c r="B7510" s="40"/>
    </row>
    <row r="7511" spans="1:2" x14ac:dyDescent="0.2">
      <c r="A7511" s="40"/>
      <c r="B7511" s="40"/>
    </row>
    <row r="7512" spans="1:2" x14ac:dyDescent="0.2">
      <c r="A7512" s="40"/>
      <c r="B7512" s="40"/>
    </row>
    <row r="7513" spans="1:2" x14ac:dyDescent="0.2">
      <c r="A7513" s="40"/>
      <c r="B7513" s="40"/>
    </row>
    <row r="7514" spans="1:2" x14ac:dyDescent="0.2">
      <c r="A7514" s="40"/>
      <c r="B7514" s="40"/>
    </row>
    <row r="7515" spans="1:2" x14ac:dyDescent="0.2">
      <c r="A7515" s="40"/>
      <c r="B7515" s="40"/>
    </row>
    <row r="7516" spans="1:2" x14ac:dyDescent="0.2">
      <c r="A7516" s="40"/>
      <c r="B7516" s="40"/>
    </row>
    <row r="7517" spans="1:2" x14ac:dyDescent="0.2">
      <c r="A7517" s="40"/>
      <c r="B7517" s="40"/>
    </row>
    <row r="7518" spans="1:2" x14ac:dyDescent="0.2">
      <c r="A7518" s="40"/>
      <c r="B7518" s="40"/>
    </row>
    <row r="7519" spans="1:2" x14ac:dyDescent="0.2">
      <c r="A7519" s="40"/>
      <c r="B7519" s="40"/>
    </row>
    <row r="7520" spans="1:2" x14ac:dyDescent="0.2">
      <c r="A7520" s="40"/>
      <c r="B7520" s="40"/>
    </row>
    <row r="7521" spans="1:2" x14ac:dyDescent="0.2">
      <c r="A7521" s="40"/>
      <c r="B7521" s="40"/>
    </row>
    <row r="7522" spans="1:2" x14ac:dyDescent="0.2">
      <c r="A7522" s="40"/>
      <c r="B7522" s="40"/>
    </row>
    <row r="7523" spans="1:2" x14ac:dyDescent="0.2">
      <c r="A7523" s="40"/>
      <c r="B7523" s="40"/>
    </row>
    <row r="7524" spans="1:2" x14ac:dyDescent="0.2">
      <c r="A7524" s="40"/>
      <c r="B7524" s="40"/>
    </row>
    <row r="7525" spans="1:2" x14ac:dyDescent="0.2">
      <c r="A7525" s="40"/>
      <c r="B7525" s="40"/>
    </row>
    <row r="7526" spans="1:2" x14ac:dyDescent="0.2">
      <c r="A7526" s="40"/>
      <c r="B7526" s="40"/>
    </row>
    <row r="7527" spans="1:2" x14ac:dyDescent="0.2">
      <c r="A7527" s="40"/>
      <c r="B7527" s="40"/>
    </row>
    <row r="7528" spans="1:2" x14ac:dyDescent="0.2">
      <c r="A7528" s="40"/>
      <c r="B7528" s="40"/>
    </row>
    <row r="7529" spans="1:2" x14ac:dyDescent="0.2">
      <c r="A7529" s="40"/>
      <c r="B7529" s="40"/>
    </row>
    <row r="7530" spans="1:2" x14ac:dyDescent="0.2">
      <c r="A7530" s="40"/>
      <c r="B7530" s="40"/>
    </row>
    <row r="7531" spans="1:2" x14ac:dyDescent="0.2">
      <c r="A7531" s="40"/>
      <c r="B7531" s="40"/>
    </row>
    <row r="7532" spans="1:2" x14ac:dyDescent="0.2">
      <c r="A7532" s="40"/>
      <c r="B7532" s="40"/>
    </row>
    <row r="7533" spans="1:2" x14ac:dyDescent="0.2">
      <c r="A7533" s="40"/>
      <c r="B7533" s="40"/>
    </row>
    <row r="7534" spans="1:2" x14ac:dyDescent="0.2">
      <c r="A7534" s="40"/>
      <c r="B7534" s="40"/>
    </row>
    <row r="7535" spans="1:2" x14ac:dyDescent="0.2">
      <c r="A7535" s="40"/>
      <c r="B7535" s="40"/>
    </row>
    <row r="7536" spans="1:2" x14ac:dyDescent="0.2">
      <c r="A7536" s="40"/>
      <c r="B7536" s="40"/>
    </row>
    <row r="7537" spans="1:2" x14ac:dyDescent="0.2">
      <c r="A7537" s="40"/>
      <c r="B7537" s="40"/>
    </row>
    <row r="7538" spans="1:2" x14ac:dyDescent="0.2">
      <c r="A7538" s="40"/>
      <c r="B7538" s="40"/>
    </row>
    <row r="7539" spans="1:2" x14ac:dyDescent="0.2">
      <c r="A7539" s="40"/>
      <c r="B7539" s="40"/>
    </row>
    <row r="7540" spans="1:2" x14ac:dyDescent="0.2">
      <c r="A7540" s="40"/>
      <c r="B7540" s="40"/>
    </row>
    <row r="7541" spans="1:2" x14ac:dyDescent="0.2">
      <c r="A7541" s="40"/>
      <c r="B7541" s="40"/>
    </row>
    <row r="7542" spans="1:2" x14ac:dyDescent="0.2">
      <c r="A7542" s="40"/>
      <c r="B7542" s="40"/>
    </row>
    <row r="7543" spans="1:2" x14ac:dyDescent="0.2">
      <c r="A7543" s="40"/>
      <c r="B7543" s="40"/>
    </row>
    <row r="7544" spans="1:2" x14ac:dyDescent="0.2">
      <c r="A7544" s="40"/>
      <c r="B7544" s="40"/>
    </row>
    <row r="7545" spans="1:2" x14ac:dyDescent="0.2">
      <c r="A7545" s="40"/>
      <c r="B7545" s="40"/>
    </row>
    <row r="7546" spans="1:2" x14ac:dyDescent="0.2">
      <c r="A7546" s="40"/>
      <c r="B7546" s="40"/>
    </row>
    <row r="7547" spans="1:2" x14ac:dyDescent="0.2">
      <c r="A7547" s="40"/>
      <c r="B7547" s="40"/>
    </row>
    <row r="7548" spans="1:2" x14ac:dyDescent="0.2">
      <c r="A7548" s="40"/>
      <c r="B7548" s="40"/>
    </row>
    <row r="7549" spans="1:2" x14ac:dyDescent="0.2">
      <c r="A7549" s="40"/>
      <c r="B7549" s="40"/>
    </row>
    <row r="7550" spans="1:2" x14ac:dyDescent="0.2">
      <c r="A7550" s="40"/>
      <c r="B7550" s="40"/>
    </row>
    <row r="7551" spans="1:2" x14ac:dyDescent="0.2">
      <c r="A7551" s="40"/>
      <c r="B7551" s="40"/>
    </row>
    <row r="7552" spans="1:2" x14ac:dyDescent="0.2">
      <c r="A7552" s="40"/>
      <c r="B7552" s="40"/>
    </row>
    <row r="7553" spans="1:2" x14ac:dyDescent="0.2">
      <c r="A7553" s="40"/>
      <c r="B7553" s="40"/>
    </row>
    <row r="7554" spans="1:2" x14ac:dyDescent="0.2">
      <c r="A7554" s="40"/>
      <c r="B7554" s="40"/>
    </row>
    <row r="7555" spans="1:2" x14ac:dyDescent="0.2">
      <c r="A7555" s="40"/>
      <c r="B7555" s="40"/>
    </row>
    <row r="7556" spans="1:2" x14ac:dyDescent="0.2">
      <c r="A7556" s="40"/>
      <c r="B7556" s="40"/>
    </row>
    <row r="7557" spans="1:2" x14ac:dyDescent="0.2">
      <c r="A7557" s="40"/>
      <c r="B7557" s="40"/>
    </row>
    <row r="7558" spans="1:2" x14ac:dyDescent="0.2">
      <c r="A7558" s="40"/>
      <c r="B7558" s="40"/>
    </row>
    <row r="7559" spans="1:2" x14ac:dyDescent="0.2">
      <c r="A7559" s="40"/>
      <c r="B7559" s="40"/>
    </row>
    <row r="7560" spans="1:2" x14ac:dyDescent="0.2">
      <c r="A7560" s="40"/>
      <c r="B7560" s="40"/>
    </row>
    <row r="7561" spans="1:2" x14ac:dyDescent="0.2">
      <c r="A7561" s="40"/>
      <c r="B7561" s="40"/>
    </row>
    <row r="7562" spans="1:2" x14ac:dyDescent="0.2">
      <c r="A7562" s="40"/>
      <c r="B7562" s="40"/>
    </row>
    <row r="7563" spans="1:2" x14ac:dyDescent="0.2">
      <c r="A7563" s="40"/>
      <c r="B7563" s="40"/>
    </row>
    <row r="7564" spans="1:2" x14ac:dyDescent="0.2">
      <c r="A7564" s="40"/>
      <c r="B7564" s="40"/>
    </row>
    <row r="7565" spans="1:2" x14ac:dyDescent="0.2">
      <c r="A7565" s="40"/>
      <c r="B7565" s="40"/>
    </row>
    <row r="7566" spans="1:2" x14ac:dyDescent="0.2">
      <c r="A7566" s="40"/>
      <c r="B7566" s="40"/>
    </row>
    <row r="7567" spans="1:2" x14ac:dyDescent="0.2">
      <c r="A7567" s="40"/>
      <c r="B7567" s="40"/>
    </row>
    <row r="7568" spans="1:2" x14ac:dyDescent="0.2">
      <c r="A7568" s="40"/>
      <c r="B7568" s="40"/>
    </row>
    <row r="7569" spans="1:2" x14ac:dyDescent="0.2">
      <c r="A7569" s="40"/>
      <c r="B7569" s="40"/>
    </row>
    <row r="7570" spans="1:2" x14ac:dyDescent="0.2">
      <c r="A7570" s="40"/>
      <c r="B7570" s="40"/>
    </row>
    <row r="7571" spans="1:2" x14ac:dyDescent="0.2">
      <c r="A7571" s="40"/>
      <c r="B7571" s="40"/>
    </row>
    <row r="7572" spans="1:2" x14ac:dyDescent="0.2">
      <c r="A7572" s="40"/>
      <c r="B7572" s="40"/>
    </row>
    <row r="7573" spans="1:2" x14ac:dyDescent="0.2">
      <c r="A7573" s="40"/>
      <c r="B7573" s="40"/>
    </row>
    <row r="7574" spans="1:2" x14ac:dyDescent="0.2">
      <c r="A7574" s="40"/>
      <c r="B7574" s="40"/>
    </row>
    <row r="7575" spans="1:2" x14ac:dyDescent="0.2">
      <c r="A7575" s="40"/>
      <c r="B7575" s="40"/>
    </row>
    <row r="7576" spans="1:2" x14ac:dyDescent="0.2">
      <c r="A7576" s="40"/>
      <c r="B7576" s="40"/>
    </row>
    <row r="7577" spans="1:2" x14ac:dyDescent="0.2">
      <c r="A7577" s="40"/>
      <c r="B7577" s="40"/>
    </row>
    <row r="7578" spans="1:2" x14ac:dyDescent="0.2">
      <c r="A7578" s="40"/>
      <c r="B7578" s="40"/>
    </row>
    <row r="7579" spans="1:2" x14ac:dyDescent="0.2">
      <c r="A7579" s="40"/>
      <c r="B7579" s="40"/>
    </row>
    <row r="7580" spans="1:2" x14ac:dyDescent="0.2">
      <c r="A7580" s="40"/>
      <c r="B7580" s="40"/>
    </row>
    <row r="7581" spans="1:2" x14ac:dyDescent="0.2">
      <c r="A7581" s="40"/>
      <c r="B7581" s="40"/>
    </row>
    <row r="7582" spans="1:2" x14ac:dyDescent="0.2">
      <c r="A7582" s="40"/>
      <c r="B7582" s="40"/>
    </row>
    <row r="7583" spans="1:2" x14ac:dyDescent="0.2">
      <c r="A7583" s="40"/>
      <c r="B7583" s="40"/>
    </row>
    <row r="7584" spans="1:2" x14ac:dyDescent="0.2">
      <c r="A7584" s="40"/>
      <c r="B7584" s="40"/>
    </row>
    <row r="7585" spans="1:2" x14ac:dyDescent="0.2">
      <c r="A7585" s="40"/>
      <c r="B7585" s="40"/>
    </row>
    <row r="7586" spans="1:2" x14ac:dyDescent="0.2">
      <c r="A7586" s="40"/>
      <c r="B7586" s="40"/>
    </row>
    <row r="7587" spans="1:2" x14ac:dyDescent="0.2">
      <c r="A7587" s="40"/>
      <c r="B7587" s="40"/>
    </row>
    <row r="7588" spans="1:2" x14ac:dyDescent="0.2">
      <c r="A7588" s="40"/>
      <c r="B7588" s="40"/>
    </row>
    <row r="7589" spans="1:2" x14ac:dyDescent="0.2">
      <c r="A7589" s="40"/>
      <c r="B7589" s="40"/>
    </row>
    <row r="7590" spans="1:2" x14ac:dyDescent="0.2">
      <c r="A7590" s="40"/>
      <c r="B7590" s="40"/>
    </row>
    <row r="7591" spans="1:2" x14ac:dyDescent="0.2">
      <c r="A7591" s="40"/>
      <c r="B7591" s="40"/>
    </row>
    <row r="7592" spans="1:2" x14ac:dyDescent="0.2">
      <c r="A7592" s="40"/>
      <c r="B7592" s="40"/>
    </row>
    <row r="7593" spans="1:2" x14ac:dyDescent="0.2">
      <c r="A7593" s="40"/>
      <c r="B7593" s="40"/>
    </row>
    <row r="7594" spans="1:2" x14ac:dyDescent="0.2">
      <c r="A7594" s="40"/>
      <c r="B7594" s="40"/>
    </row>
    <row r="7595" spans="1:2" x14ac:dyDescent="0.2">
      <c r="A7595" s="40"/>
      <c r="B7595" s="40"/>
    </row>
    <row r="7596" spans="1:2" x14ac:dyDescent="0.2">
      <c r="A7596" s="40"/>
      <c r="B7596" s="40"/>
    </row>
    <row r="7597" spans="1:2" x14ac:dyDescent="0.2">
      <c r="A7597" s="40"/>
      <c r="B7597" s="40"/>
    </row>
    <row r="7598" spans="1:2" x14ac:dyDescent="0.2">
      <c r="A7598" s="40"/>
      <c r="B7598" s="40"/>
    </row>
    <row r="7599" spans="1:2" x14ac:dyDescent="0.2">
      <c r="A7599" s="40"/>
      <c r="B7599" s="40"/>
    </row>
    <row r="7600" spans="1:2" x14ac:dyDescent="0.2">
      <c r="A7600" s="40"/>
      <c r="B7600" s="40"/>
    </row>
    <row r="7601" spans="1:2" x14ac:dyDescent="0.2">
      <c r="A7601" s="40"/>
      <c r="B7601" s="40"/>
    </row>
    <row r="7602" spans="1:2" x14ac:dyDescent="0.2">
      <c r="A7602" s="40"/>
      <c r="B7602" s="40"/>
    </row>
    <row r="7603" spans="1:2" x14ac:dyDescent="0.2">
      <c r="A7603" s="40"/>
      <c r="B7603" s="40"/>
    </row>
    <row r="7604" spans="1:2" x14ac:dyDescent="0.2">
      <c r="A7604" s="40"/>
      <c r="B7604" s="40"/>
    </row>
    <row r="7605" spans="1:2" x14ac:dyDescent="0.2">
      <c r="A7605" s="40"/>
      <c r="B7605" s="40"/>
    </row>
    <row r="7606" spans="1:2" x14ac:dyDescent="0.2">
      <c r="A7606" s="40"/>
      <c r="B7606" s="40"/>
    </row>
    <row r="7607" spans="1:2" x14ac:dyDescent="0.2">
      <c r="A7607" s="40"/>
      <c r="B7607" s="40"/>
    </row>
    <row r="7608" spans="1:2" x14ac:dyDescent="0.2">
      <c r="A7608" s="40"/>
      <c r="B7608" s="40"/>
    </row>
    <row r="7609" spans="1:2" x14ac:dyDescent="0.2">
      <c r="A7609" s="40"/>
      <c r="B7609" s="40"/>
    </row>
    <row r="7610" spans="1:2" x14ac:dyDescent="0.2">
      <c r="A7610" s="40"/>
      <c r="B7610" s="40"/>
    </row>
    <row r="7611" spans="1:2" x14ac:dyDescent="0.2">
      <c r="A7611" s="40"/>
      <c r="B7611" s="40"/>
    </row>
    <row r="7612" spans="1:2" x14ac:dyDescent="0.2">
      <c r="A7612" s="40"/>
      <c r="B7612" s="40"/>
    </row>
    <row r="7613" spans="1:2" x14ac:dyDescent="0.2">
      <c r="A7613" s="40"/>
      <c r="B7613" s="40"/>
    </row>
    <row r="7614" spans="1:2" x14ac:dyDescent="0.2">
      <c r="A7614" s="40"/>
      <c r="B7614" s="40"/>
    </row>
    <row r="7615" spans="1:2" x14ac:dyDescent="0.2">
      <c r="A7615" s="40"/>
      <c r="B7615" s="40"/>
    </row>
    <row r="7616" spans="1:2" x14ac:dyDescent="0.2">
      <c r="A7616" s="40"/>
      <c r="B7616" s="40"/>
    </row>
    <row r="7617" spans="1:2" x14ac:dyDescent="0.2">
      <c r="A7617" s="40"/>
      <c r="B7617" s="40"/>
    </row>
    <row r="7618" spans="1:2" x14ac:dyDescent="0.2">
      <c r="A7618" s="40"/>
      <c r="B7618" s="40"/>
    </row>
    <row r="7619" spans="1:2" x14ac:dyDescent="0.2">
      <c r="A7619" s="40"/>
      <c r="B7619" s="40"/>
    </row>
    <row r="7620" spans="1:2" x14ac:dyDescent="0.2">
      <c r="A7620" s="40"/>
      <c r="B7620" s="40"/>
    </row>
    <row r="7621" spans="1:2" x14ac:dyDescent="0.2">
      <c r="A7621" s="40"/>
      <c r="B7621" s="40"/>
    </row>
    <row r="7622" spans="1:2" x14ac:dyDescent="0.2">
      <c r="A7622" s="40"/>
      <c r="B7622" s="40"/>
    </row>
    <row r="7623" spans="1:2" x14ac:dyDescent="0.2">
      <c r="A7623" s="40"/>
      <c r="B7623" s="40"/>
    </row>
    <row r="7624" spans="1:2" x14ac:dyDescent="0.2">
      <c r="A7624" s="40"/>
      <c r="B7624" s="40"/>
    </row>
    <row r="7625" spans="1:2" x14ac:dyDescent="0.2">
      <c r="A7625" s="40"/>
      <c r="B7625" s="40"/>
    </row>
    <row r="7626" spans="1:2" x14ac:dyDescent="0.2">
      <c r="A7626" s="40"/>
      <c r="B7626" s="40"/>
    </row>
    <row r="7627" spans="1:2" x14ac:dyDescent="0.2">
      <c r="A7627" s="40"/>
      <c r="B7627" s="40"/>
    </row>
    <row r="7628" spans="1:2" x14ac:dyDescent="0.2">
      <c r="A7628" s="40"/>
      <c r="B7628" s="40"/>
    </row>
    <row r="7629" spans="1:2" x14ac:dyDescent="0.2">
      <c r="A7629" s="40"/>
      <c r="B7629" s="40"/>
    </row>
    <row r="7630" spans="1:2" x14ac:dyDescent="0.2">
      <c r="A7630" s="40"/>
      <c r="B7630" s="40"/>
    </row>
    <row r="7631" spans="1:2" x14ac:dyDescent="0.2">
      <c r="A7631" s="40"/>
      <c r="B7631" s="40"/>
    </row>
    <row r="7632" spans="1:2" x14ac:dyDescent="0.2">
      <c r="A7632" s="40"/>
      <c r="B7632" s="40"/>
    </row>
    <row r="7633" spans="1:2" x14ac:dyDescent="0.2">
      <c r="A7633" s="40"/>
      <c r="B7633" s="40"/>
    </row>
    <row r="7634" spans="1:2" x14ac:dyDescent="0.2">
      <c r="A7634" s="40"/>
      <c r="B7634" s="40"/>
    </row>
    <row r="7635" spans="1:2" x14ac:dyDescent="0.2">
      <c r="A7635" s="40"/>
      <c r="B7635" s="40"/>
    </row>
    <row r="7636" spans="1:2" x14ac:dyDescent="0.2">
      <c r="A7636" s="40"/>
      <c r="B7636" s="40"/>
    </row>
    <row r="7637" spans="1:2" x14ac:dyDescent="0.2">
      <c r="A7637" s="40"/>
      <c r="B7637" s="40"/>
    </row>
    <row r="7638" spans="1:2" x14ac:dyDescent="0.2">
      <c r="A7638" s="40"/>
      <c r="B7638" s="40"/>
    </row>
    <row r="7639" spans="1:2" x14ac:dyDescent="0.2">
      <c r="A7639" s="40"/>
      <c r="B7639" s="40"/>
    </row>
    <row r="7640" spans="1:2" x14ac:dyDescent="0.2">
      <c r="A7640" s="40"/>
      <c r="B7640" s="40"/>
    </row>
    <row r="7641" spans="1:2" x14ac:dyDescent="0.2">
      <c r="A7641" s="40"/>
      <c r="B7641" s="40"/>
    </row>
    <row r="7642" spans="1:2" x14ac:dyDescent="0.2">
      <c r="A7642" s="40"/>
      <c r="B7642" s="40"/>
    </row>
    <row r="7643" spans="1:2" x14ac:dyDescent="0.2">
      <c r="A7643" s="40"/>
      <c r="B7643" s="40"/>
    </row>
    <row r="7644" spans="1:2" x14ac:dyDescent="0.2">
      <c r="A7644" s="40"/>
      <c r="B7644" s="40"/>
    </row>
    <row r="7645" spans="1:2" x14ac:dyDescent="0.2">
      <c r="A7645" s="40"/>
      <c r="B7645" s="40"/>
    </row>
    <row r="7646" spans="1:2" x14ac:dyDescent="0.2">
      <c r="A7646" s="40"/>
      <c r="B7646" s="40"/>
    </row>
    <row r="7647" spans="1:2" x14ac:dyDescent="0.2">
      <c r="A7647" s="40"/>
      <c r="B7647" s="40"/>
    </row>
    <row r="7648" spans="1:2" x14ac:dyDescent="0.2">
      <c r="A7648" s="40"/>
      <c r="B7648" s="40"/>
    </row>
    <row r="7649" spans="1:2" x14ac:dyDescent="0.2">
      <c r="A7649" s="40"/>
      <c r="B7649" s="40"/>
    </row>
    <row r="7650" spans="1:2" x14ac:dyDescent="0.2">
      <c r="A7650" s="40"/>
      <c r="B7650" s="40"/>
    </row>
    <row r="7651" spans="1:2" x14ac:dyDescent="0.2">
      <c r="A7651" s="40"/>
      <c r="B7651" s="40"/>
    </row>
    <row r="7652" spans="1:2" x14ac:dyDescent="0.2">
      <c r="A7652" s="40"/>
      <c r="B7652" s="40"/>
    </row>
    <row r="7653" spans="1:2" x14ac:dyDescent="0.2">
      <c r="A7653" s="40"/>
      <c r="B7653" s="40"/>
    </row>
    <row r="7654" spans="1:2" x14ac:dyDescent="0.2">
      <c r="A7654" s="40"/>
      <c r="B7654" s="40"/>
    </row>
    <row r="7655" spans="1:2" x14ac:dyDescent="0.2">
      <c r="A7655" s="40"/>
      <c r="B7655" s="40"/>
    </row>
    <row r="7656" spans="1:2" x14ac:dyDescent="0.2">
      <c r="A7656" s="40"/>
      <c r="B7656" s="40"/>
    </row>
    <row r="7657" spans="1:2" x14ac:dyDescent="0.2">
      <c r="A7657" s="40"/>
      <c r="B7657" s="40"/>
    </row>
    <row r="7658" spans="1:2" x14ac:dyDescent="0.2">
      <c r="A7658" s="40"/>
      <c r="B7658" s="40"/>
    </row>
    <row r="7659" spans="1:2" x14ac:dyDescent="0.2">
      <c r="A7659" s="40"/>
      <c r="B7659" s="40"/>
    </row>
    <row r="7660" spans="1:2" x14ac:dyDescent="0.2">
      <c r="A7660" s="40"/>
      <c r="B7660" s="40"/>
    </row>
    <row r="7661" spans="1:2" x14ac:dyDescent="0.2">
      <c r="A7661" s="40"/>
      <c r="B7661" s="40"/>
    </row>
    <row r="7662" spans="1:2" x14ac:dyDescent="0.2">
      <c r="A7662" s="40"/>
      <c r="B7662" s="40"/>
    </row>
    <row r="7663" spans="1:2" x14ac:dyDescent="0.2">
      <c r="A7663" s="40"/>
      <c r="B7663" s="40"/>
    </row>
    <row r="7664" spans="1:2" x14ac:dyDescent="0.2">
      <c r="A7664" s="40"/>
      <c r="B7664" s="40"/>
    </row>
    <row r="7665" spans="1:2" x14ac:dyDescent="0.2">
      <c r="A7665" s="40"/>
      <c r="B7665" s="40"/>
    </row>
    <row r="7666" spans="1:2" x14ac:dyDescent="0.2">
      <c r="A7666" s="40"/>
      <c r="B7666" s="40"/>
    </row>
    <row r="7667" spans="1:2" x14ac:dyDescent="0.2">
      <c r="A7667" s="40"/>
      <c r="B7667" s="40"/>
    </row>
    <row r="7668" spans="1:2" x14ac:dyDescent="0.2">
      <c r="A7668" s="40"/>
      <c r="B7668" s="40"/>
    </row>
    <row r="7669" spans="1:2" x14ac:dyDescent="0.2">
      <c r="A7669" s="40"/>
      <c r="B7669" s="40"/>
    </row>
    <row r="7670" spans="1:2" x14ac:dyDescent="0.2">
      <c r="A7670" s="40"/>
      <c r="B7670" s="40"/>
    </row>
    <row r="7671" spans="1:2" x14ac:dyDescent="0.2">
      <c r="A7671" s="40"/>
      <c r="B7671" s="40"/>
    </row>
    <row r="7672" spans="1:2" x14ac:dyDescent="0.2">
      <c r="A7672" s="40"/>
      <c r="B7672" s="40"/>
    </row>
    <row r="7673" spans="1:2" x14ac:dyDescent="0.2">
      <c r="A7673" s="40"/>
      <c r="B7673" s="40"/>
    </row>
    <row r="7674" spans="1:2" x14ac:dyDescent="0.2">
      <c r="A7674" s="40"/>
      <c r="B7674" s="40"/>
    </row>
    <row r="7675" spans="1:2" x14ac:dyDescent="0.2">
      <c r="A7675" s="40"/>
      <c r="B7675" s="40"/>
    </row>
    <row r="7676" spans="1:2" x14ac:dyDescent="0.2">
      <c r="A7676" s="40"/>
      <c r="B7676" s="40"/>
    </row>
    <row r="7677" spans="1:2" x14ac:dyDescent="0.2">
      <c r="A7677" s="40"/>
      <c r="B7677" s="40"/>
    </row>
    <row r="7678" spans="1:2" x14ac:dyDescent="0.2">
      <c r="A7678" s="40"/>
      <c r="B7678" s="40"/>
    </row>
    <row r="7679" spans="1:2" x14ac:dyDescent="0.2">
      <c r="A7679" s="40"/>
      <c r="B7679" s="40"/>
    </row>
    <row r="7680" spans="1:2" x14ac:dyDescent="0.2">
      <c r="A7680" s="40"/>
      <c r="B7680" s="40"/>
    </row>
    <row r="7681" spans="1:2" x14ac:dyDescent="0.2">
      <c r="A7681" s="40"/>
      <c r="B7681" s="40"/>
    </row>
    <row r="7682" spans="1:2" x14ac:dyDescent="0.2">
      <c r="A7682" s="40"/>
      <c r="B7682" s="40"/>
    </row>
    <row r="7683" spans="1:2" x14ac:dyDescent="0.2">
      <c r="A7683" s="40"/>
      <c r="B7683" s="40"/>
    </row>
    <row r="7684" spans="1:2" x14ac:dyDescent="0.2">
      <c r="A7684" s="40"/>
      <c r="B7684" s="40"/>
    </row>
    <row r="7685" spans="1:2" x14ac:dyDescent="0.2">
      <c r="A7685" s="40"/>
      <c r="B7685" s="40"/>
    </row>
    <row r="7686" spans="1:2" x14ac:dyDescent="0.2">
      <c r="A7686" s="40"/>
      <c r="B7686" s="40"/>
    </row>
    <row r="7687" spans="1:2" x14ac:dyDescent="0.2">
      <c r="A7687" s="40"/>
      <c r="B7687" s="40"/>
    </row>
    <row r="7688" spans="1:2" x14ac:dyDescent="0.2">
      <c r="A7688" s="40"/>
      <c r="B7688" s="40"/>
    </row>
    <row r="7689" spans="1:2" x14ac:dyDescent="0.2">
      <c r="A7689" s="40"/>
      <c r="B7689" s="40"/>
    </row>
    <row r="7690" spans="1:2" x14ac:dyDescent="0.2">
      <c r="A7690" s="40"/>
      <c r="B7690" s="40"/>
    </row>
    <row r="7691" spans="1:2" x14ac:dyDescent="0.2">
      <c r="A7691" s="40"/>
      <c r="B7691" s="40"/>
    </row>
    <row r="7692" spans="1:2" x14ac:dyDescent="0.2">
      <c r="A7692" s="40"/>
      <c r="B7692" s="40"/>
    </row>
    <row r="7693" spans="1:2" x14ac:dyDescent="0.2">
      <c r="A7693" s="40"/>
      <c r="B7693" s="40"/>
    </row>
    <row r="7694" spans="1:2" x14ac:dyDescent="0.2">
      <c r="A7694" s="40"/>
      <c r="B7694" s="40"/>
    </row>
    <row r="7695" spans="1:2" x14ac:dyDescent="0.2">
      <c r="A7695" s="40"/>
      <c r="B7695" s="40"/>
    </row>
    <row r="7696" spans="1:2" x14ac:dyDescent="0.2">
      <c r="A7696" s="40"/>
      <c r="B7696" s="40"/>
    </row>
    <row r="7697" spans="1:2" x14ac:dyDescent="0.2">
      <c r="A7697" s="40"/>
      <c r="B7697" s="40"/>
    </row>
    <row r="7698" spans="1:2" x14ac:dyDescent="0.2">
      <c r="A7698" s="40"/>
      <c r="B7698" s="40"/>
    </row>
    <row r="7699" spans="1:2" x14ac:dyDescent="0.2">
      <c r="A7699" s="40"/>
      <c r="B7699" s="40"/>
    </row>
    <row r="7700" spans="1:2" x14ac:dyDescent="0.2">
      <c r="A7700" s="40"/>
      <c r="B7700" s="40"/>
    </row>
    <row r="7701" spans="1:2" x14ac:dyDescent="0.2">
      <c r="A7701" s="40"/>
      <c r="B7701" s="40"/>
    </row>
    <row r="7702" spans="1:2" x14ac:dyDescent="0.2">
      <c r="A7702" s="40"/>
      <c r="B7702" s="40"/>
    </row>
    <row r="7703" spans="1:2" x14ac:dyDescent="0.2">
      <c r="A7703" s="40"/>
      <c r="B7703" s="40"/>
    </row>
    <row r="7704" spans="1:2" x14ac:dyDescent="0.2">
      <c r="A7704" s="40"/>
      <c r="B7704" s="40"/>
    </row>
    <row r="7705" spans="1:2" x14ac:dyDescent="0.2">
      <c r="A7705" s="40"/>
      <c r="B7705" s="40"/>
    </row>
    <row r="7706" spans="1:2" x14ac:dyDescent="0.2">
      <c r="A7706" s="40"/>
      <c r="B7706" s="40"/>
    </row>
    <row r="7707" spans="1:2" x14ac:dyDescent="0.2">
      <c r="A7707" s="40"/>
      <c r="B7707" s="40"/>
    </row>
    <row r="7708" spans="1:2" x14ac:dyDescent="0.2">
      <c r="A7708" s="40"/>
      <c r="B7708" s="40"/>
    </row>
    <row r="7709" spans="1:2" x14ac:dyDescent="0.2">
      <c r="A7709" s="40"/>
      <c r="B7709" s="40"/>
    </row>
    <row r="7710" spans="1:2" x14ac:dyDescent="0.2">
      <c r="A7710" s="40"/>
      <c r="B7710" s="40"/>
    </row>
    <row r="7711" spans="1:2" x14ac:dyDescent="0.2">
      <c r="A7711" s="40"/>
      <c r="B7711" s="40"/>
    </row>
    <row r="7712" spans="1:2" x14ac:dyDescent="0.2">
      <c r="A7712" s="40"/>
      <c r="B7712" s="40"/>
    </row>
    <row r="7713" spans="1:2" x14ac:dyDescent="0.2">
      <c r="A7713" s="40"/>
      <c r="B7713" s="40"/>
    </row>
    <row r="7714" spans="1:2" x14ac:dyDescent="0.2">
      <c r="A7714" s="40"/>
      <c r="B7714" s="40"/>
    </row>
    <row r="7715" spans="1:2" x14ac:dyDescent="0.2">
      <c r="A7715" s="40"/>
      <c r="B7715" s="40"/>
    </row>
    <row r="7716" spans="1:2" x14ac:dyDescent="0.2">
      <c r="A7716" s="40"/>
      <c r="B7716" s="40"/>
    </row>
    <row r="7717" spans="1:2" x14ac:dyDescent="0.2">
      <c r="A7717" s="40"/>
      <c r="B7717" s="40"/>
    </row>
    <row r="7718" spans="1:2" x14ac:dyDescent="0.2">
      <c r="A7718" s="40"/>
      <c r="B7718" s="40"/>
    </row>
    <row r="7719" spans="1:2" x14ac:dyDescent="0.2">
      <c r="A7719" s="40"/>
      <c r="B7719" s="40"/>
    </row>
    <row r="7720" spans="1:2" x14ac:dyDescent="0.2">
      <c r="A7720" s="40"/>
      <c r="B7720" s="40"/>
    </row>
    <row r="7721" spans="1:2" x14ac:dyDescent="0.2">
      <c r="A7721" s="40"/>
      <c r="B7721" s="40"/>
    </row>
    <row r="7722" spans="1:2" x14ac:dyDescent="0.2">
      <c r="A7722" s="40"/>
      <c r="B7722" s="40"/>
    </row>
    <row r="7723" spans="1:2" x14ac:dyDescent="0.2">
      <c r="A7723" s="40"/>
      <c r="B7723" s="40"/>
    </row>
    <row r="7724" spans="1:2" x14ac:dyDescent="0.2">
      <c r="A7724" s="40"/>
      <c r="B7724" s="40"/>
    </row>
    <row r="7725" spans="1:2" x14ac:dyDescent="0.2">
      <c r="A7725" s="40"/>
      <c r="B7725" s="40"/>
    </row>
    <row r="7726" spans="1:2" x14ac:dyDescent="0.2">
      <c r="A7726" s="40"/>
      <c r="B7726" s="40"/>
    </row>
    <row r="7727" spans="1:2" x14ac:dyDescent="0.2">
      <c r="A7727" s="40"/>
      <c r="B7727" s="40"/>
    </row>
    <row r="7728" spans="1:2" x14ac:dyDescent="0.2">
      <c r="A7728" s="40"/>
      <c r="B7728" s="40"/>
    </row>
    <row r="7729" spans="1:2" x14ac:dyDescent="0.2">
      <c r="A7729" s="40"/>
      <c r="B7729" s="40"/>
    </row>
    <row r="7730" spans="1:2" x14ac:dyDescent="0.2">
      <c r="A7730" s="40"/>
      <c r="B7730" s="40"/>
    </row>
    <row r="7731" spans="1:2" x14ac:dyDescent="0.2">
      <c r="A7731" s="40"/>
      <c r="B7731" s="40"/>
    </row>
    <row r="7732" spans="1:2" x14ac:dyDescent="0.2">
      <c r="A7732" s="40"/>
      <c r="B7732" s="40"/>
    </row>
    <row r="7733" spans="1:2" x14ac:dyDescent="0.2">
      <c r="A7733" s="40"/>
      <c r="B7733" s="40"/>
    </row>
    <row r="7734" spans="1:2" x14ac:dyDescent="0.2">
      <c r="A7734" s="40"/>
      <c r="B7734" s="40"/>
    </row>
    <row r="7735" spans="1:2" x14ac:dyDescent="0.2">
      <c r="A7735" s="40"/>
      <c r="B7735" s="40"/>
    </row>
    <row r="7736" spans="1:2" x14ac:dyDescent="0.2">
      <c r="A7736" s="40"/>
      <c r="B7736" s="40"/>
    </row>
    <row r="7737" spans="1:2" x14ac:dyDescent="0.2">
      <c r="A7737" s="40"/>
      <c r="B7737" s="40"/>
    </row>
    <row r="7738" spans="1:2" x14ac:dyDescent="0.2">
      <c r="A7738" s="40"/>
      <c r="B7738" s="40"/>
    </row>
    <row r="7739" spans="1:2" x14ac:dyDescent="0.2">
      <c r="A7739" s="40"/>
      <c r="B7739" s="40"/>
    </row>
    <row r="7740" spans="1:2" x14ac:dyDescent="0.2">
      <c r="A7740" s="40"/>
      <c r="B7740" s="40"/>
    </row>
    <row r="7741" spans="1:2" x14ac:dyDescent="0.2">
      <c r="A7741" s="40"/>
      <c r="B7741" s="40"/>
    </row>
    <row r="7742" spans="1:2" x14ac:dyDescent="0.2">
      <c r="A7742" s="40"/>
      <c r="B7742" s="40"/>
    </row>
    <row r="7743" spans="1:2" x14ac:dyDescent="0.2">
      <c r="A7743" s="40"/>
      <c r="B7743" s="40"/>
    </row>
    <row r="7744" spans="1:2" x14ac:dyDescent="0.2">
      <c r="A7744" s="40"/>
      <c r="B7744" s="40"/>
    </row>
    <row r="7745" spans="1:2" x14ac:dyDescent="0.2">
      <c r="A7745" s="40"/>
      <c r="B7745" s="40"/>
    </row>
    <row r="7746" spans="1:2" x14ac:dyDescent="0.2">
      <c r="A7746" s="40"/>
      <c r="B7746" s="40"/>
    </row>
    <row r="7747" spans="1:2" x14ac:dyDescent="0.2">
      <c r="A7747" s="40"/>
      <c r="B7747" s="40"/>
    </row>
    <row r="7748" spans="1:2" x14ac:dyDescent="0.2">
      <c r="A7748" s="40"/>
      <c r="B7748" s="40"/>
    </row>
    <row r="7749" spans="1:2" x14ac:dyDescent="0.2">
      <c r="A7749" s="40"/>
      <c r="B7749" s="40"/>
    </row>
    <row r="7750" spans="1:2" x14ac:dyDescent="0.2">
      <c r="A7750" s="40"/>
      <c r="B7750" s="40"/>
    </row>
    <row r="7751" spans="1:2" x14ac:dyDescent="0.2">
      <c r="A7751" s="40"/>
      <c r="B7751" s="40"/>
    </row>
    <row r="7752" spans="1:2" x14ac:dyDescent="0.2">
      <c r="A7752" s="40"/>
      <c r="B7752" s="40"/>
    </row>
    <row r="7753" spans="1:2" x14ac:dyDescent="0.2">
      <c r="A7753" s="40"/>
      <c r="B7753" s="40"/>
    </row>
    <row r="7754" spans="1:2" x14ac:dyDescent="0.2">
      <c r="A7754" s="40"/>
      <c r="B7754" s="40"/>
    </row>
    <row r="7755" spans="1:2" x14ac:dyDescent="0.2">
      <c r="A7755" s="40"/>
      <c r="B7755" s="40"/>
    </row>
    <row r="7756" spans="1:2" x14ac:dyDescent="0.2">
      <c r="A7756" s="40"/>
      <c r="B7756" s="40"/>
    </row>
    <row r="7757" spans="1:2" x14ac:dyDescent="0.2">
      <c r="A7757" s="40"/>
      <c r="B7757" s="40"/>
    </row>
    <row r="7758" spans="1:2" x14ac:dyDescent="0.2">
      <c r="A7758" s="40"/>
      <c r="B7758" s="40"/>
    </row>
    <row r="7759" spans="1:2" x14ac:dyDescent="0.2">
      <c r="A7759" s="40"/>
      <c r="B7759" s="40"/>
    </row>
    <row r="7760" spans="1:2" x14ac:dyDescent="0.2">
      <c r="A7760" s="40"/>
      <c r="B7760" s="40"/>
    </row>
    <row r="7761" spans="1:2" x14ac:dyDescent="0.2">
      <c r="A7761" s="40"/>
      <c r="B7761" s="40"/>
    </row>
    <row r="7762" spans="1:2" x14ac:dyDescent="0.2">
      <c r="A7762" s="40"/>
      <c r="B7762" s="40"/>
    </row>
    <row r="7763" spans="1:2" x14ac:dyDescent="0.2">
      <c r="A7763" s="40"/>
      <c r="B7763" s="40"/>
    </row>
    <row r="7764" spans="1:2" x14ac:dyDescent="0.2">
      <c r="A7764" s="40"/>
      <c r="B7764" s="40"/>
    </row>
    <row r="7765" spans="1:2" x14ac:dyDescent="0.2">
      <c r="A7765" s="40"/>
      <c r="B7765" s="40"/>
    </row>
    <row r="7766" spans="1:2" x14ac:dyDescent="0.2">
      <c r="A7766" s="40"/>
      <c r="B7766" s="40"/>
    </row>
    <row r="7767" spans="1:2" x14ac:dyDescent="0.2">
      <c r="A7767" s="40"/>
      <c r="B7767" s="40"/>
    </row>
    <row r="7768" spans="1:2" x14ac:dyDescent="0.2">
      <c r="A7768" s="40"/>
      <c r="B7768" s="40"/>
    </row>
    <row r="7769" spans="1:2" x14ac:dyDescent="0.2">
      <c r="A7769" s="40"/>
      <c r="B7769" s="40"/>
    </row>
    <row r="7770" spans="1:2" x14ac:dyDescent="0.2">
      <c r="A7770" s="40"/>
      <c r="B7770" s="40"/>
    </row>
    <row r="7771" spans="1:2" x14ac:dyDescent="0.2">
      <c r="A7771" s="40"/>
      <c r="B7771" s="40"/>
    </row>
    <row r="7772" spans="1:2" x14ac:dyDescent="0.2">
      <c r="A7772" s="40"/>
      <c r="B7772" s="40"/>
    </row>
    <row r="7773" spans="1:2" x14ac:dyDescent="0.2">
      <c r="A7773" s="40"/>
      <c r="B7773" s="40"/>
    </row>
    <row r="7774" spans="1:2" x14ac:dyDescent="0.2">
      <c r="A7774" s="40"/>
      <c r="B7774" s="40"/>
    </row>
    <row r="7775" spans="1:2" x14ac:dyDescent="0.2">
      <c r="A7775" s="40"/>
      <c r="B7775" s="40"/>
    </row>
    <row r="7776" spans="1:2" x14ac:dyDescent="0.2">
      <c r="A7776" s="40"/>
      <c r="B7776" s="40"/>
    </row>
    <row r="7777" spans="1:2" x14ac:dyDescent="0.2">
      <c r="A7777" s="40"/>
      <c r="B7777" s="40"/>
    </row>
    <row r="7778" spans="1:2" x14ac:dyDescent="0.2">
      <c r="A7778" s="40"/>
      <c r="B7778" s="40"/>
    </row>
    <row r="7779" spans="1:2" x14ac:dyDescent="0.2">
      <c r="A7779" s="40"/>
      <c r="B7779" s="40"/>
    </row>
    <row r="7780" spans="1:2" x14ac:dyDescent="0.2">
      <c r="A7780" s="40"/>
      <c r="B7780" s="40"/>
    </row>
    <row r="7781" spans="1:2" x14ac:dyDescent="0.2">
      <c r="A7781" s="40"/>
      <c r="B7781" s="40"/>
    </row>
    <row r="7782" spans="1:2" x14ac:dyDescent="0.2">
      <c r="A7782" s="40"/>
      <c r="B7782" s="40"/>
    </row>
    <row r="7783" spans="1:2" x14ac:dyDescent="0.2">
      <c r="A7783" s="40"/>
      <c r="B7783" s="40"/>
    </row>
    <row r="7784" spans="1:2" x14ac:dyDescent="0.2">
      <c r="A7784" s="40"/>
      <c r="B7784" s="40"/>
    </row>
    <row r="7785" spans="1:2" x14ac:dyDescent="0.2">
      <c r="A7785" s="40"/>
      <c r="B7785" s="40"/>
    </row>
    <row r="7786" spans="1:2" x14ac:dyDescent="0.2">
      <c r="A7786" s="40"/>
      <c r="B7786" s="40"/>
    </row>
    <row r="7787" spans="1:2" x14ac:dyDescent="0.2">
      <c r="A7787" s="40"/>
      <c r="B7787" s="40"/>
    </row>
    <row r="7788" spans="1:2" x14ac:dyDescent="0.2">
      <c r="A7788" s="40"/>
      <c r="B7788" s="40"/>
    </row>
    <row r="7789" spans="1:2" x14ac:dyDescent="0.2">
      <c r="A7789" s="40"/>
      <c r="B7789" s="40"/>
    </row>
    <row r="7790" spans="1:2" x14ac:dyDescent="0.2">
      <c r="A7790" s="40"/>
      <c r="B7790" s="40"/>
    </row>
    <row r="7791" spans="1:2" x14ac:dyDescent="0.2">
      <c r="A7791" s="40"/>
      <c r="B7791" s="40"/>
    </row>
    <row r="7792" spans="1:2" x14ac:dyDescent="0.2">
      <c r="A7792" s="40"/>
      <c r="B7792" s="40"/>
    </row>
    <row r="7793" spans="1:2" x14ac:dyDescent="0.2">
      <c r="A7793" s="40"/>
      <c r="B7793" s="40"/>
    </row>
    <row r="7794" spans="1:2" x14ac:dyDescent="0.2">
      <c r="A7794" s="40"/>
      <c r="B7794" s="40"/>
    </row>
    <row r="7795" spans="1:2" x14ac:dyDescent="0.2">
      <c r="A7795" s="40"/>
      <c r="B7795" s="40"/>
    </row>
    <row r="7796" spans="1:2" x14ac:dyDescent="0.2">
      <c r="A7796" s="40"/>
      <c r="B7796" s="40"/>
    </row>
    <row r="7797" spans="1:2" x14ac:dyDescent="0.2">
      <c r="A7797" s="40"/>
      <c r="B7797" s="40"/>
    </row>
    <row r="7798" spans="1:2" x14ac:dyDescent="0.2">
      <c r="A7798" s="40"/>
      <c r="B7798" s="40"/>
    </row>
    <row r="7799" spans="1:2" x14ac:dyDescent="0.2">
      <c r="A7799" s="40"/>
      <c r="B7799" s="40"/>
    </row>
    <row r="7800" spans="1:2" x14ac:dyDescent="0.2">
      <c r="A7800" s="40"/>
      <c r="B7800" s="40"/>
    </row>
    <row r="7801" spans="1:2" x14ac:dyDescent="0.2">
      <c r="A7801" s="40"/>
      <c r="B7801" s="40"/>
    </row>
    <row r="7802" spans="1:2" x14ac:dyDescent="0.2">
      <c r="A7802" s="40"/>
      <c r="B7802" s="40"/>
    </row>
    <row r="7803" spans="1:2" x14ac:dyDescent="0.2">
      <c r="A7803" s="40"/>
      <c r="B7803" s="40"/>
    </row>
    <row r="7804" spans="1:2" x14ac:dyDescent="0.2">
      <c r="A7804" s="40"/>
      <c r="B7804" s="40"/>
    </row>
    <row r="7805" spans="1:2" x14ac:dyDescent="0.2">
      <c r="A7805" s="40"/>
      <c r="B7805" s="40"/>
    </row>
    <row r="7806" spans="1:2" x14ac:dyDescent="0.2">
      <c r="A7806" s="40"/>
      <c r="B7806" s="40"/>
    </row>
    <row r="7807" spans="1:2" x14ac:dyDescent="0.2">
      <c r="A7807" s="40"/>
      <c r="B7807" s="40"/>
    </row>
    <row r="7808" spans="1:2" x14ac:dyDescent="0.2">
      <c r="A7808" s="40"/>
      <c r="B7808" s="40"/>
    </row>
    <row r="7809" spans="1:2" x14ac:dyDescent="0.2">
      <c r="A7809" s="40"/>
      <c r="B7809" s="40"/>
    </row>
    <row r="7810" spans="1:2" x14ac:dyDescent="0.2">
      <c r="A7810" s="40"/>
      <c r="B7810" s="40"/>
    </row>
    <row r="7811" spans="1:2" x14ac:dyDescent="0.2">
      <c r="A7811" s="40"/>
      <c r="B7811" s="40"/>
    </row>
    <row r="7812" spans="1:2" x14ac:dyDescent="0.2">
      <c r="A7812" s="40"/>
      <c r="B7812" s="40"/>
    </row>
    <row r="7813" spans="1:2" x14ac:dyDescent="0.2">
      <c r="A7813" s="40"/>
      <c r="B7813" s="40"/>
    </row>
    <row r="7814" spans="1:2" x14ac:dyDescent="0.2">
      <c r="A7814" s="40"/>
      <c r="B7814" s="40"/>
    </row>
    <row r="7815" spans="1:2" x14ac:dyDescent="0.2">
      <c r="A7815" s="40"/>
      <c r="B7815" s="40"/>
    </row>
    <row r="7816" spans="1:2" x14ac:dyDescent="0.2">
      <c r="A7816" s="40"/>
      <c r="B7816" s="40"/>
    </row>
    <row r="7817" spans="1:2" x14ac:dyDescent="0.2">
      <c r="A7817" s="40"/>
      <c r="B7817" s="40"/>
    </row>
    <row r="7818" spans="1:2" x14ac:dyDescent="0.2">
      <c r="A7818" s="40"/>
      <c r="B7818" s="40"/>
    </row>
    <row r="7819" spans="1:2" x14ac:dyDescent="0.2">
      <c r="A7819" s="40"/>
      <c r="B7819" s="40"/>
    </row>
    <row r="7820" spans="1:2" x14ac:dyDescent="0.2">
      <c r="A7820" s="40"/>
      <c r="B7820" s="40"/>
    </row>
    <row r="7821" spans="1:2" x14ac:dyDescent="0.2">
      <c r="A7821" s="40"/>
      <c r="B7821" s="40"/>
    </row>
    <row r="7822" spans="1:2" x14ac:dyDescent="0.2">
      <c r="A7822" s="40"/>
      <c r="B7822" s="40"/>
    </row>
    <row r="7823" spans="1:2" x14ac:dyDescent="0.2">
      <c r="A7823" s="40"/>
      <c r="B7823" s="40"/>
    </row>
    <row r="7824" spans="1:2" x14ac:dyDescent="0.2">
      <c r="A7824" s="40"/>
      <c r="B7824" s="40"/>
    </row>
    <row r="7825" spans="1:2" x14ac:dyDescent="0.2">
      <c r="A7825" s="40"/>
      <c r="B7825" s="40"/>
    </row>
    <row r="7826" spans="1:2" x14ac:dyDescent="0.2">
      <c r="A7826" s="40"/>
      <c r="B7826" s="40"/>
    </row>
    <row r="7827" spans="1:2" x14ac:dyDescent="0.2">
      <c r="A7827" s="40"/>
      <c r="B7827" s="40"/>
    </row>
    <row r="7828" spans="1:2" x14ac:dyDescent="0.2">
      <c r="A7828" s="40"/>
      <c r="B7828" s="40"/>
    </row>
    <row r="7829" spans="1:2" x14ac:dyDescent="0.2">
      <c r="A7829" s="40"/>
      <c r="B7829" s="40"/>
    </row>
    <row r="7830" spans="1:2" x14ac:dyDescent="0.2">
      <c r="A7830" s="40"/>
      <c r="B7830" s="40"/>
    </row>
    <row r="7831" spans="1:2" x14ac:dyDescent="0.2">
      <c r="A7831" s="40"/>
      <c r="B7831" s="40"/>
    </row>
    <row r="7832" spans="1:2" x14ac:dyDescent="0.2">
      <c r="A7832" s="40"/>
      <c r="B7832" s="40"/>
    </row>
    <row r="7833" spans="1:2" x14ac:dyDescent="0.2">
      <c r="A7833" s="40"/>
      <c r="B7833" s="40"/>
    </row>
    <row r="7834" spans="1:2" x14ac:dyDescent="0.2">
      <c r="A7834" s="40"/>
      <c r="B7834" s="40"/>
    </row>
    <row r="7835" spans="1:2" x14ac:dyDescent="0.2">
      <c r="A7835" s="40"/>
      <c r="B7835" s="40"/>
    </row>
    <row r="7836" spans="1:2" x14ac:dyDescent="0.2">
      <c r="A7836" s="40"/>
      <c r="B7836" s="40"/>
    </row>
    <row r="7837" spans="1:2" x14ac:dyDescent="0.2">
      <c r="A7837" s="40"/>
      <c r="B7837" s="40"/>
    </row>
    <row r="7838" spans="1:2" x14ac:dyDescent="0.2">
      <c r="A7838" s="40"/>
      <c r="B7838" s="40"/>
    </row>
    <row r="7839" spans="1:2" x14ac:dyDescent="0.2">
      <c r="A7839" s="40"/>
      <c r="B7839" s="40"/>
    </row>
    <row r="7840" spans="1:2" x14ac:dyDescent="0.2">
      <c r="A7840" s="40"/>
      <c r="B7840" s="40"/>
    </row>
    <row r="7841" spans="1:2" x14ac:dyDescent="0.2">
      <c r="A7841" s="40"/>
      <c r="B7841" s="40"/>
    </row>
    <row r="7842" spans="1:2" x14ac:dyDescent="0.2">
      <c r="A7842" s="40"/>
      <c r="B7842" s="40"/>
    </row>
    <row r="7843" spans="1:2" x14ac:dyDescent="0.2">
      <c r="A7843" s="40"/>
      <c r="B7843" s="40"/>
    </row>
    <row r="7844" spans="1:2" x14ac:dyDescent="0.2">
      <c r="A7844" s="40"/>
      <c r="B7844" s="40"/>
    </row>
    <row r="7845" spans="1:2" x14ac:dyDescent="0.2">
      <c r="A7845" s="40"/>
      <c r="B7845" s="40"/>
    </row>
    <row r="7846" spans="1:2" x14ac:dyDescent="0.2">
      <c r="A7846" s="40"/>
      <c r="B7846" s="40"/>
    </row>
    <row r="7847" spans="1:2" x14ac:dyDescent="0.2">
      <c r="A7847" s="40"/>
      <c r="B7847" s="40"/>
    </row>
    <row r="7848" spans="1:2" x14ac:dyDescent="0.2">
      <c r="A7848" s="40"/>
      <c r="B7848" s="40"/>
    </row>
    <row r="7849" spans="1:2" x14ac:dyDescent="0.2">
      <c r="A7849" s="40"/>
      <c r="B7849" s="40"/>
    </row>
    <row r="7850" spans="1:2" x14ac:dyDescent="0.2">
      <c r="A7850" s="40"/>
      <c r="B7850" s="40"/>
    </row>
    <row r="7851" spans="1:2" x14ac:dyDescent="0.2">
      <c r="A7851" s="40"/>
      <c r="B7851" s="40"/>
    </row>
    <row r="7852" spans="1:2" x14ac:dyDescent="0.2">
      <c r="A7852" s="40"/>
      <c r="B7852" s="40"/>
    </row>
    <row r="7853" spans="1:2" x14ac:dyDescent="0.2">
      <c r="A7853" s="40"/>
      <c r="B7853" s="40"/>
    </row>
    <row r="7854" spans="1:2" x14ac:dyDescent="0.2">
      <c r="A7854" s="40"/>
      <c r="B7854" s="40"/>
    </row>
    <row r="7855" spans="1:2" x14ac:dyDescent="0.2">
      <c r="A7855" s="40"/>
      <c r="B7855" s="40"/>
    </row>
    <row r="7856" spans="1:2" x14ac:dyDescent="0.2">
      <c r="A7856" s="40"/>
      <c r="B7856" s="40"/>
    </row>
    <row r="7857" spans="1:2" x14ac:dyDescent="0.2">
      <c r="A7857" s="40"/>
      <c r="B7857" s="40"/>
    </row>
    <row r="7858" spans="1:2" x14ac:dyDescent="0.2">
      <c r="A7858" s="40"/>
      <c r="B7858" s="40"/>
    </row>
    <row r="7859" spans="1:2" x14ac:dyDescent="0.2">
      <c r="A7859" s="40"/>
      <c r="B7859" s="40"/>
    </row>
    <row r="7860" spans="1:2" x14ac:dyDescent="0.2">
      <c r="A7860" s="40"/>
      <c r="B7860" s="40"/>
    </row>
    <row r="7861" spans="1:2" x14ac:dyDescent="0.2">
      <c r="A7861" s="40"/>
      <c r="B7861" s="40"/>
    </row>
    <row r="7862" spans="1:2" x14ac:dyDescent="0.2">
      <c r="A7862" s="40"/>
      <c r="B7862" s="40"/>
    </row>
    <row r="7863" spans="1:2" x14ac:dyDescent="0.2">
      <c r="A7863" s="40"/>
      <c r="B7863" s="40"/>
    </row>
    <row r="7864" spans="1:2" x14ac:dyDescent="0.2">
      <c r="A7864" s="40"/>
      <c r="B7864" s="40"/>
    </row>
    <row r="7865" spans="1:2" x14ac:dyDescent="0.2">
      <c r="A7865" s="40"/>
      <c r="B7865" s="40"/>
    </row>
    <row r="7866" spans="1:2" x14ac:dyDescent="0.2">
      <c r="A7866" s="40"/>
      <c r="B7866" s="40"/>
    </row>
    <row r="7867" spans="1:2" x14ac:dyDescent="0.2">
      <c r="A7867" s="40"/>
      <c r="B7867" s="40"/>
    </row>
    <row r="7868" spans="1:2" x14ac:dyDescent="0.2">
      <c r="A7868" s="40"/>
      <c r="B7868" s="40"/>
    </row>
    <row r="7869" spans="1:2" x14ac:dyDescent="0.2">
      <c r="A7869" s="40"/>
      <c r="B7869" s="40"/>
    </row>
    <row r="7870" spans="1:2" x14ac:dyDescent="0.2">
      <c r="A7870" s="40"/>
      <c r="B7870" s="40"/>
    </row>
    <row r="7871" spans="1:2" x14ac:dyDescent="0.2">
      <c r="A7871" s="40"/>
      <c r="B7871" s="40"/>
    </row>
    <row r="7872" spans="1:2" x14ac:dyDescent="0.2">
      <c r="A7872" s="40"/>
      <c r="B7872" s="40"/>
    </row>
    <row r="7873" spans="1:2" x14ac:dyDescent="0.2">
      <c r="A7873" s="40"/>
      <c r="B7873" s="40"/>
    </row>
    <row r="7874" spans="1:2" x14ac:dyDescent="0.2">
      <c r="A7874" s="40"/>
      <c r="B7874" s="40"/>
    </row>
    <row r="7875" spans="1:2" x14ac:dyDescent="0.2">
      <c r="A7875" s="40"/>
      <c r="B7875" s="40"/>
    </row>
    <row r="7876" spans="1:2" x14ac:dyDescent="0.2">
      <c r="A7876" s="40"/>
      <c r="B7876" s="40"/>
    </row>
    <row r="7877" spans="1:2" x14ac:dyDescent="0.2">
      <c r="A7877" s="40"/>
      <c r="B7877" s="40"/>
    </row>
    <row r="7878" spans="1:2" x14ac:dyDescent="0.2">
      <c r="A7878" s="40"/>
      <c r="B7878" s="40"/>
    </row>
    <row r="7879" spans="1:2" x14ac:dyDescent="0.2">
      <c r="A7879" s="40"/>
      <c r="B7879" s="40"/>
    </row>
    <row r="7880" spans="1:2" x14ac:dyDescent="0.2">
      <c r="A7880" s="40"/>
      <c r="B7880" s="40"/>
    </row>
    <row r="7881" spans="1:2" x14ac:dyDescent="0.2">
      <c r="A7881" s="40"/>
      <c r="B7881" s="40"/>
    </row>
    <row r="7882" spans="1:2" x14ac:dyDescent="0.2">
      <c r="A7882" s="40"/>
      <c r="B7882" s="40"/>
    </row>
    <row r="7883" spans="1:2" x14ac:dyDescent="0.2">
      <c r="A7883" s="40"/>
      <c r="B7883" s="40"/>
    </row>
    <row r="7884" spans="1:2" x14ac:dyDescent="0.2">
      <c r="A7884" s="40"/>
      <c r="B7884" s="40"/>
    </row>
    <row r="7885" spans="1:2" x14ac:dyDescent="0.2">
      <c r="A7885" s="40"/>
      <c r="B7885" s="40"/>
    </row>
    <row r="7886" spans="1:2" x14ac:dyDescent="0.2">
      <c r="A7886" s="40"/>
      <c r="B7886" s="40"/>
    </row>
    <row r="7887" spans="1:2" x14ac:dyDescent="0.2">
      <c r="A7887" s="40"/>
      <c r="B7887" s="40"/>
    </row>
    <row r="7888" spans="1:2" x14ac:dyDescent="0.2">
      <c r="A7888" s="40"/>
      <c r="B7888" s="40"/>
    </row>
    <row r="7889" spans="1:2" x14ac:dyDescent="0.2">
      <c r="A7889" s="40"/>
      <c r="B7889" s="40"/>
    </row>
    <row r="7890" spans="1:2" x14ac:dyDescent="0.2">
      <c r="A7890" s="40"/>
      <c r="B7890" s="40"/>
    </row>
    <row r="7891" spans="1:2" x14ac:dyDescent="0.2">
      <c r="A7891" s="40"/>
      <c r="B7891" s="40"/>
    </row>
    <row r="7892" spans="1:2" x14ac:dyDescent="0.2">
      <c r="A7892" s="40"/>
      <c r="B7892" s="40"/>
    </row>
    <row r="7893" spans="1:2" x14ac:dyDescent="0.2">
      <c r="A7893" s="40"/>
      <c r="B7893" s="40"/>
    </row>
    <row r="7894" spans="1:2" x14ac:dyDescent="0.2">
      <c r="A7894" s="40"/>
      <c r="B7894" s="40"/>
    </row>
    <row r="7895" spans="1:2" x14ac:dyDescent="0.2">
      <c r="A7895" s="40"/>
      <c r="B7895" s="40"/>
    </row>
    <row r="7896" spans="1:2" x14ac:dyDescent="0.2">
      <c r="A7896" s="40"/>
      <c r="B7896" s="40"/>
    </row>
    <row r="7897" spans="1:2" x14ac:dyDescent="0.2">
      <c r="A7897" s="40"/>
      <c r="B7897" s="40"/>
    </row>
    <row r="7898" spans="1:2" x14ac:dyDescent="0.2">
      <c r="A7898" s="40"/>
      <c r="B7898" s="40"/>
    </row>
    <row r="7899" spans="1:2" x14ac:dyDescent="0.2">
      <c r="A7899" s="40"/>
      <c r="B7899" s="40"/>
    </row>
    <row r="7900" spans="1:2" x14ac:dyDescent="0.2">
      <c r="A7900" s="40"/>
      <c r="B7900" s="40"/>
    </row>
    <row r="7901" spans="1:2" x14ac:dyDescent="0.2">
      <c r="A7901" s="40"/>
      <c r="B7901" s="40"/>
    </row>
    <row r="7902" spans="1:2" x14ac:dyDescent="0.2">
      <c r="A7902" s="40"/>
      <c r="B7902" s="40"/>
    </row>
    <row r="7903" spans="1:2" x14ac:dyDescent="0.2">
      <c r="A7903" s="40"/>
      <c r="B7903" s="40"/>
    </row>
    <row r="7904" spans="1:2" x14ac:dyDescent="0.2">
      <c r="A7904" s="40"/>
      <c r="B7904" s="40"/>
    </row>
    <row r="7905" spans="1:2" x14ac:dyDescent="0.2">
      <c r="A7905" s="40"/>
      <c r="B7905" s="40"/>
    </row>
    <row r="7906" spans="1:2" x14ac:dyDescent="0.2">
      <c r="A7906" s="40"/>
      <c r="B7906" s="40"/>
    </row>
    <row r="7907" spans="1:2" x14ac:dyDescent="0.2">
      <c r="A7907" s="40"/>
      <c r="B7907" s="40"/>
    </row>
    <row r="7908" spans="1:2" x14ac:dyDescent="0.2">
      <c r="A7908" s="40"/>
      <c r="B7908" s="40"/>
    </row>
    <row r="7909" spans="1:2" x14ac:dyDescent="0.2">
      <c r="A7909" s="40"/>
      <c r="B7909" s="40"/>
    </row>
    <row r="7910" spans="1:2" x14ac:dyDescent="0.2">
      <c r="A7910" s="40"/>
      <c r="B7910" s="40"/>
    </row>
    <row r="7911" spans="1:2" x14ac:dyDescent="0.2">
      <c r="A7911" s="40"/>
      <c r="B7911" s="40"/>
    </row>
    <row r="7912" spans="1:2" x14ac:dyDescent="0.2">
      <c r="A7912" s="40"/>
      <c r="B7912" s="40"/>
    </row>
    <row r="7913" spans="1:2" x14ac:dyDescent="0.2">
      <c r="A7913" s="40"/>
      <c r="B7913" s="40"/>
    </row>
    <row r="7914" spans="1:2" x14ac:dyDescent="0.2">
      <c r="A7914" s="40"/>
      <c r="B7914" s="40"/>
    </row>
    <row r="7915" spans="1:2" x14ac:dyDescent="0.2">
      <c r="A7915" s="40"/>
      <c r="B7915" s="40"/>
    </row>
    <row r="7916" spans="1:2" x14ac:dyDescent="0.2">
      <c r="A7916" s="40"/>
      <c r="B7916" s="40"/>
    </row>
    <row r="7917" spans="1:2" x14ac:dyDescent="0.2">
      <c r="A7917" s="40"/>
      <c r="B7917" s="40"/>
    </row>
    <row r="7918" spans="1:2" x14ac:dyDescent="0.2">
      <c r="A7918" s="40"/>
      <c r="B7918" s="40"/>
    </row>
    <row r="7919" spans="1:2" x14ac:dyDescent="0.2">
      <c r="A7919" s="40"/>
      <c r="B7919" s="40"/>
    </row>
    <row r="7920" spans="1:2" x14ac:dyDescent="0.2">
      <c r="A7920" s="40"/>
      <c r="B7920" s="40"/>
    </row>
    <row r="7921" spans="1:2" x14ac:dyDescent="0.2">
      <c r="A7921" s="40"/>
      <c r="B7921" s="40"/>
    </row>
    <row r="7922" spans="1:2" x14ac:dyDescent="0.2">
      <c r="A7922" s="40"/>
      <c r="B7922" s="40"/>
    </row>
    <row r="7923" spans="1:2" x14ac:dyDescent="0.2">
      <c r="A7923" s="40"/>
      <c r="B7923" s="40"/>
    </row>
    <row r="7924" spans="1:2" x14ac:dyDescent="0.2">
      <c r="A7924" s="40"/>
      <c r="B7924" s="40"/>
    </row>
    <row r="7925" spans="1:2" x14ac:dyDescent="0.2">
      <c r="A7925" s="40"/>
      <c r="B7925" s="40"/>
    </row>
    <row r="7926" spans="1:2" x14ac:dyDescent="0.2">
      <c r="A7926" s="40"/>
      <c r="B7926" s="40"/>
    </row>
    <row r="7927" spans="1:2" x14ac:dyDescent="0.2">
      <c r="A7927" s="40"/>
      <c r="B7927" s="40"/>
    </row>
    <row r="7928" spans="1:2" x14ac:dyDescent="0.2">
      <c r="A7928" s="40"/>
      <c r="B7928" s="40"/>
    </row>
    <row r="7929" spans="1:2" x14ac:dyDescent="0.2">
      <c r="A7929" s="40"/>
      <c r="B7929" s="40"/>
    </row>
    <row r="7930" spans="1:2" x14ac:dyDescent="0.2">
      <c r="A7930" s="40"/>
      <c r="B7930" s="40"/>
    </row>
    <row r="7931" spans="1:2" x14ac:dyDescent="0.2">
      <c r="A7931" s="40"/>
      <c r="B7931" s="40"/>
    </row>
    <row r="7932" spans="1:2" x14ac:dyDescent="0.2">
      <c r="A7932" s="40"/>
      <c r="B7932" s="40"/>
    </row>
    <row r="7933" spans="1:2" x14ac:dyDescent="0.2">
      <c r="A7933" s="40"/>
      <c r="B7933" s="40"/>
    </row>
    <row r="7934" spans="1:2" x14ac:dyDescent="0.2">
      <c r="A7934" s="40"/>
      <c r="B7934" s="40"/>
    </row>
    <row r="7935" spans="1:2" x14ac:dyDescent="0.2">
      <c r="A7935" s="40"/>
      <c r="B7935" s="40"/>
    </row>
    <row r="7936" spans="1:2" x14ac:dyDescent="0.2">
      <c r="A7936" s="40"/>
      <c r="B7936" s="40"/>
    </row>
    <row r="7937" spans="1:2" x14ac:dyDescent="0.2">
      <c r="A7937" s="40"/>
      <c r="B7937" s="40"/>
    </row>
    <row r="7938" spans="1:2" x14ac:dyDescent="0.2">
      <c r="A7938" s="40"/>
      <c r="B7938" s="40"/>
    </row>
    <row r="7939" spans="1:2" x14ac:dyDescent="0.2">
      <c r="A7939" s="40"/>
      <c r="B7939" s="40"/>
    </row>
    <row r="7940" spans="1:2" x14ac:dyDescent="0.2">
      <c r="A7940" s="40"/>
      <c r="B7940" s="40"/>
    </row>
    <row r="7941" spans="1:2" x14ac:dyDescent="0.2">
      <c r="A7941" s="40"/>
      <c r="B7941" s="40"/>
    </row>
    <row r="7942" spans="1:2" x14ac:dyDescent="0.2">
      <c r="A7942" s="40"/>
      <c r="B7942" s="40"/>
    </row>
    <row r="7943" spans="1:2" x14ac:dyDescent="0.2">
      <c r="A7943" s="40"/>
      <c r="B7943" s="40"/>
    </row>
    <row r="7944" spans="1:2" x14ac:dyDescent="0.2">
      <c r="A7944" s="40"/>
      <c r="B7944" s="40"/>
    </row>
    <row r="7945" spans="1:2" x14ac:dyDescent="0.2">
      <c r="A7945" s="40"/>
      <c r="B7945" s="40"/>
    </row>
    <row r="7946" spans="1:2" x14ac:dyDescent="0.2">
      <c r="A7946" s="40"/>
      <c r="B7946" s="40"/>
    </row>
    <row r="7947" spans="1:2" x14ac:dyDescent="0.2">
      <c r="A7947" s="40"/>
      <c r="B7947" s="40"/>
    </row>
    <row r="7948" spans="1:2" x14ac:dyDescent="0.2">
      <c r="A7948" s="40"/>
      <c r="B7948" s="40"/>
    </row>
    <row r="7949" spans="1:2" x14ac:dyDescent="0.2">
      <c r="A7949" s="40"/>
      <c r="B7949" s="40"/>
    </row>
    <row r="7950" spans="1:2" x14ac:dyDescent="0.2">
      <c r="A7950" s="40"/>
      <c r="B7950" s="40"/>
    </row>
    <row r="7951" spans="1:2" x14ac:dyDescent="0.2">
      <c r="A7951" s="40"/>
      <c r="B7951" s="40"/>
    </row>
    <row r="7952" spans="1:2" x14ac:dyDescent="0.2">
      <c r="A7952" s="40"/>
      <c r="B7952" s="40"/>
    </row>
    <row r="7953" spans="1:2" x14ac:dyDescent="0.2">
      <c r="A7953" s="40"/>
      <c r="B7953" s="40"/>
    </row>
    <row r="7954" spans="1:2" x14ac:dyDescent="0.2">
      <c r="A7954" s="40"/>
      <c r="B7954" s="40"/>
    </row>
    <row r="7955" spans="1:2" x14ac:dyDescent="0.2">
      <c r="A7955" s="40"/>
      <c r="B7955" s="40"/>
    </row>
    <row r="7956" spans="1:2" x14ac:dyDescent="0.2">
      <c r="A7956" s="40"/>
      <c r="B7956" s="40"/>
    </row>
    <row r="7957" spans="1:2" x14ac:dyDescent="0.2">
      <c r="A7957" s="40"/>
      <c r="B7957" s="40"/>
    </row>
    <row r="7958" spans="1:2" x14ac:dyDescent="0.2">
      <c r="A7958" s="40"/>
      <c r="B7958" s="40"/>
    </row>
    <row r="7959" spans="1:2" x14ac:dyDescent="0.2">
      <c r="A7959" s="40"/>
      <c r="B7959" s="40"/>
    </row>
    <row r="7960" spans="1:2" x14ac:dyDescent="0.2">
      <c r="A7960" s="40"/>
      <c r="B7960" s="40"/>
    </row>
    <row r="7961" spans="1:2" x14ac:dyDescent="0.2">
      <c r="A7961" s="40"/>
      <c r="B7961" s="40"/>
    </row>
    <row r="7962" spans="1:2" x14ac:dyDescent="0.2">
      <c r="A7962" s="40"/>
      <c r="B7962" s="40"/>
    </row>
    <row r="7963" spans="1:2" x14ac:dyDescent="0.2">
      <c r="A7963" s="40"/>
      <c r="B7963" s="40"/>
    </row>
    <row r="7964" spans="1:2" x14ac:dyDescent="0.2">
      <c r="A7964" s="40"/>
      <c r="B7964" s="40"/>
    </row>
    <row r="7965" spans="1:2" x14ac:dyDescent="0.2">
      <c r="A7965" s="40"/>
      <c r="B7965" s="40"/>
    </row>
    <row r="7966" spans="1:2" x14ac:dyDescent="0.2">
      <c r="A7966" s="40"/>
      <c r="B7966" s="40"/>
    </row>
    <row r="7967" spans="1:2" x14ac:dyDescent="0.2">
      <c r="A7967" s="40"/>
      <c r="B7967" s="40"/>
    </row>
    <row r="7968" spans="1:2" x14ac:dyDescent="0.2">
      <c r="A7968" s="40"/>
      <c r="B7968" s="40"/>
    </row>
    <row r="7969" spans="1:2" x14ac:dyDescent="0.2">
      <c r="A7969" s="40"/>
      <c r="B7969" s="40"/>
    </row>
    <row r="7970" spans="1:2" x14ac:dyDescent="0.2">
      <c r="A7970" s="40"/>
      <c r="B7970" s="40"/>
    </row>
    <row r="7971" spans="1:2" x14ac:dyDescent="0.2">
      <c r="A7971" s="40"/>
      <c r="B7971" s="40"/>
    </row>
    <row r="7972" spans="1:2" x14ac:dyDescent="0.2">
      <c r="A7972" s="40"/>
      <c r="B7972" s="40"/>
    </row>
    <row r="7973" spans="1:2" x14ac:dyDescent="0.2">
      <c r="A7973" s="40"/>
      <c r="B7973" s="40"/>
    </row>
    <row r="7974" spans="1:2" x14ac:dyDescent="0.2">
      <c r="A7974" s="40"/>
      <c r="B7974" s="40"/>
    </row>
    <row r="7975" spans="1:2" x14ac:dyDescent="0.2">
      <c r="A7975" s="40"/>
      <c r="B7975" s="40"/>
    </row>
    <row r="7976" spans="1:2" x14ac:dyDescent="0.2">
      <c r="A7976" s="40"/>
      <c r="B7976" s="40"/>
    </row>
    <row r="7977" spans="1:2" x14ac:dyDescent="0.2">
      <c r="A7977" s="40"/>
      <c r="B7977" s="40"/>
    </row>
    <row r="7978" spans="1:2" x14ac:dyDescent="0.2">
      <c r="A7978" s="40"/>
      <c r="B7978" s="40"/>
    </row>
    <row r="7979" spans="1:2" x14ac:dyDescent="0.2">
      <c r="A7979" s="40"/>
      <c r="B7979" s="40"/>
    </row>
    <row r="7980" spans="1:2" x14ac:dyDescent="0.2">
      <c r="A7980" s="40"/>
      <c r="B7980" s="40"/>
    </row>
    <row r="7981" spans="1:2" x14ac:dyDescent="0.2">
      <c r="A7981" s="40"/>
      <c r="B7981" s="40"/>
    </row>
    <row r="7982" spans="1:2" x14ac:dyDescent="0.2">
      <c r="A7982" s="40"/>
      <c r="B7982" s="40"/>
    </row>
    <row r="7983" spans="1:2" x14ac:dyDescent="0.2">
      <c r="A7983" s="40"/>
      <c r="B7983" s="40"/>
    </row>
    <row r="7984" spans="1:2" x14ac:dyDescent="0.2">
      <c r="A7984" s="40"/>
      <c r="B7984" s="40"/>
    </row>
    <row r="7985" spans="1:2" x14ac:dyDescent="0.2">
      <c r="A7985" s="40"/>
      <c r="B7985" s="40"/>
    </row>
    <row r="7986" spans="1:2" x14ac:dyDescent="0.2">
      <c r="A7986" s="40"/>
      <c r="B7986" s="40"/>
    </row>
    <row r="7987" spans="1:2" x14ac:dyDescent="0.2">
      <c r="A7987" s="40"/>
      <c r="B7987" s="40"/>
    </row>
    <row r="7988" spans="1:2" x14ac:dyDescent="0.2">
      <c r="A7988" s="40"/>
      <c r="B7988" s="40"/>
    </row>
    <row r="7989" spans="1:2" x14ac:dyDescent="0.2">
      <c r="A7989" s="40"/>
      <c r="B7989" s="40"/>
    </row>
    <row r="7990" spans="1:2" x14ac:dyDescent="0.2">
      <c r="A7990" s="40"/>
      <c r="B7990" s="40"/>
    </row>
    <row r="7991" spans="1:2" x14ac:dyDescent="0.2">
      <c r="A7991" s="40"/>
      <c r="B7991" s="40"/>
    </row>
    <row r="7992" spans="1:2" x14ac:dyDescent="0.2">
      <c r="A7992" s="40"/>
      <c r="B7992" s="40"/>
    </row>
    <row r="7993" spans="1:2" x14ac:dyDescent="0.2">
      <c r="A7993" s="40"/>
      <c r="B7993" s="40"/>
    </row>
    <row r="7994" spans="1:2" x14ac:dyDescent="0.2">
      <c r="A7994" s="40"/>
      <c r="B7994" s="40"/>
    </row>
    <row r="7995" spans="1:2" x14ac:dyDescent="0.2">
      <c r="A7995" s="40"/>
      <c r="B7995" s="40"/>
    </row>
    <row r="7996" spans="1:2" x14ac:dyDescent="0.2">
      <c r="A7996" s="40"/>
      <c r="B7996" s="40"/>
    </row>
    <row r="7997" spans="1:2" x14ac:dyDescent="0.2">
      <c r="A7997" s="40"/>
      <c r="B7997" s="40"/>
    </row>
    <row r="7998" spans="1:2" x14ac:dyDescent="0.2">
      <c r="A7998" s="40"/>
      <c r="B7998" s="40"/>
    </row>
    <row r="7999" spans="1:2" x14ac:dyDescent="0.2">
      <c r="A7999" s="40"/>
      <c r="B7999" s="40"/>
    </row>
    <row r="8000" spans="1:2" x14ac:dyDescent="0.2">
      <c r="A8000" s="40"/>
      <c r="B8000" s="40"/>
    </row>
    <row r="8001" spans="1:2" x14ac:dyDescent="0.2">
      <c r="A8001" s="40"/>
      <c r="B8001" s="40"/>
    </row>
    <row r="8002" spans="1:2" x14ac:dyDescent="0.2">
      <c r="A8002" s="40"/>
      <c r="B8002" s="40"/>
    </row>
    <row r="8003" spans="1:2" x14ac:dyDescent="0.2">
      <c r="A8003" s="40"/>
      <c r="B8003" s="40"/>
    </row>
    <row r="8004" spans="1:2" x14ac:dyDescent="0.2">
      <c r="A8004" s="40"/>
      <c r="B8004" s="40"/>
    </row>
    <row r="8005" spans="1:2" x14ac:dyDescent="0.2">
      <c r="A8005" s="40"/>
      <c r="B8005" s="40"/>
    </row>
    <row r="8006" spans="1:2" x14ac:dyDescent="0.2">
      <c r="A8006" s="40"/>
      <c r="B8006" s="40"/>
    </row>
    <row r="8007" spans="1:2" x14ac:dyDescent="0.2">
      <c r="A8007" s="40"/>
      <c r="B8007" s="40"/>
    </row>
    <row r="8008" spans="1:2" x14ac:dyDescent="0.2">
      <c r="A8008" s="40"/>
      <c r="B8008" s="40"/>
    </row>
    <row r="8009" spans="1:2" x14ac:dyDescent="0.2">
      <c r="A8009" s="40"/>
      <c r="B8009" s="40"/>
    </row>
    <row r="8010" spans="1:2" x14ac:dyDescent="0.2">
      <c r="A8010" s="40"/>
      <c r="B8010" s="40"/>
    </row>
    <row r="8011" spans="1:2" x14ac:dyDescent="0.2">
      <c r="A8011" s="40"/>
      <c r="B8011" s="40"/>
    </row>
    <row r="8012" spans="1:2" x14ac:dyDescent="0.2">
      <c r="A8012" s="40"/>
      <c r="B8012" s="40"/>
    </row>
    <row r="8013" spans="1:2" x14ac:dyDescent="0.2">
      <c r="A8013" s="40"/>
      <c r="B8013" s="40"/>
    </row>
    <row r="8014" spans="1:2" x14ac:dyDescent="0.2">
      <c r="A8014" s="40"/>
      <c r="B8014" s="40"/>
    </row>
    <row r="8015" spans="1:2" x14ac:dyDescent="0.2">
      <c r="A8015" s="40"/>
      <c r="B8015" s="40"/>
    </row>
    <row r="8016" spans="1:2" x14ac:dyDescent="0.2">
      <c r="A8016" s="40"/>
      <c r="B8016" s="40"/>
    </row>
    <row r="8017" spans="1:2" x14ac:dyDescent="0.2">
      <c r="A8017" s="40"/>
      <c r="B8017" s="40"/>
    </row>
    <row r="8018" spans="1:2" x14ac:dyDescent="0.2">
      <c r="A8018" s="40"/>
      <c r="B8018" s="40"/>
    </row>
    <row r="8019" spans="1:2" x14ac:dyDescent="0.2">
      <c r="A8019" s="40"/>
      <c r="B8019" s="40"/>
    </row>
    <row r="8020" spans="1:2" x14ac:dyDescent="0.2">
      <c r="A8020" s="40"/>
      <c r="B8020" s="40"/>
    </row>
    <row r="8021" spans="1:2" x14ac:dyDescent="0.2">
      <c r="A8021" s="40"/>
      <c r="B8021" s="40"/>
    </row>
    <row r="8022" spans="1:2" x14ac:dyDescent="0.2">
      <c r="A8022" s="40"/>
      <c r="B8022" s="40"/>
    </row>
    <row r="8023" spans="1:2" x14ac:dyDescent="0.2">
      <c r="A8023" s="40"/>
      <c r="B8023" s="40"/>
    </row>
    <row r="8024" spans="1:2" x14ac:dyDescent="0.2">
      <c r="A8024" s="40"/>
      <c r="B8024" s="40"/>
    </row>
    <row r="8025" spans="1:2" x14ac:dyDescent="0.2">
      <c r="A8025" s="40"/>
      <c r="B8025" s="40"/>
    </row>
    <row r="8026" spans="1:2" x14ac:dyDescent="0.2">
      <c r="A8026" s="40"/>
      <c r="B8026" s="40"/>
    </row>
    <row r="8027" spans="1:2" x14ac:dyDescent="0.2">
      <c r="A8027" s="40"/>
      <c r="B8027" s="40"/>
    </row>
    <row r="8028" spans="1:2" x14ac:dyDescent="0.2">
      <c r="A8028" s="40"/>
      <c r="B8028" s="40"/>
    </row>
    <row r="8029" spans="1:2" x14ac:dyDescent="0.2">
      <c r="A8029" s="40"/>
      <c r="B8029" s="40"/>
    </row>
    <row r="8030" spans="1:2" x14ac:dyDescent="0.2">
      <c r="A8030" s="40"/>
      <c r="B8030" s="40"/>
    </row>
    <row r="8031" spans="1:2" x14ac:dyDescent="0.2">
      <c r="A8031" s="40"/>
      <c r="B8031" s="40"/>
    </row>
    <row r="8032" spans="1:2" x14ac:dyDescent="0.2">
      <c r="A8032" s="40"/>
      <c r="B8032" s="40"/>
    </row>
    <row r="8033" spans="1:2" x14ac:dyDescent="0.2">
      <c r="A8033" s="40"/>
      <c r="B8033" s="40"/>
    </row>
    <row r="8034" spans="1:2" x14ac:dyDescent="0.2">
      <c r="A8034" s="40"/>
      <c r="B8034" s="40"/>
    </row>
    <row r="8035" spans="1:2" x14ac:dyDescent="0.2">
      <c r="A8035" s="40"/>
      <c r="B8035" s="40"/>
    </row>
    <row r="8036" spans="1:2" x14ac:dyDescent="0.2">
      <c r="A8036" s="40"/>
      <c r="B8036" s="40"/>
    </row>
    <row r="8037" spans="1:2" x14ac:dyDescent="0.2">
      <c r="A8037" s="40"/>
      <c r="B8037" s="40"/>
    </row>
    <row r="8038" spans="1:2" x14ac:dyDescent="0.2">
      <c r="A8038" s="40"/>
      <c r="B8038" s="40"/>
    </row>
    <row r="8039" spans="1:2" x14ac:dyDescent="0.2">
      <c r="A8039" s="40"/>
      <c r="B8039" s="40"/>
    </row>
    <row r="8040" spans="1:2" x14ac:dyDescent="0.2">
      <c r="A8040" s="40"/>
      <c r="B8040" s="40"/>
    </row>
    <row r="8041" spans="1:2" x14ac:dyDescent="0.2">
      <c r="A8041" s="40"/>
      <c r="B8041" s="40"/>
    </row>
    <row r="8042" spans="1:2" x14ac:dyDescent="0.2">
      <c r="A8042" s="40"/>
      <c r="B8042" s="40"/>
    </row>
    <row r="8043" spans="1:2" x14ac:dyDescent="0.2">
      <c r="A8043" s="40"/>
      <c r="B8043" s="40"/>
    </row>
    <row r="8044" spans="1:2" x14ac:dyDescent="0.2">
      <c r="A8044" s="40"/>
      <c r="B8044" s="40"/>
    </row>
    <row r="8045" spans="1:2" x14ac:dyDescent="0.2">
      <c r="A8045" s="40"/>
      <c r="B8045" s="40"/>
    </row>
    <row r="8046" spans="1:2" x14ac:dyDescent="0.2">
      <c r="A8046" s="40"/>
      <c r="B8046" s="40"/>
    </row>
    <row r="8047" spans="1:2" x14ac:dyDescent="0.2">
      <c r="A8047" s="40"/>
      <c r="B8047" s="40"/>
    </row>
    <row r="8048" spans="1:2" x14ac:dyDescent="0.2">
      <c r="A8048" s="40"/>
      <c r="B8048" s="40"/>
    </row>
    <row r="8049" spans="1:2" x14ac:dyDescent="0.2">
      <c r="A8049" s="40"/>
      <c r="B8049" s="40"/>
    </row>
    <row r="8050" spans="1:2" x14ac:dyDescent="0.2">
      <c r="A8050" s="40"/>
      <c r="B8050" s="40"/>
    </row>
    <row r="8051" spans="1:2" x14ac:dyDescent="0.2">
      <c r="A8051" s="40"/>
      <c r="B8051" s="40"/>
    </row>
    <row r="8052" spans="1:2" x14ac:dyDescent="0.2">
      <c r="A8052" s="40"/>
      <c r="B8052" s="40"/>
    </row>
    <row r="8053" spans="1:2" x14ac:dyDescent="0.2">
      <c r="A8053" s="40"/>
      <c r="B8053" s="40"/>
    </row>
    <row r="8054" spans="1:2" x14ac:dyDescent="0.2">
      <c r="A8054" s="40"/>
      <c r="B8054" s="40"/>
    </row>
    <row r="8055" spans="1:2" x14ac:dyDescent="0.2">
      <c r="A8055" s="40"/>
      <c r="B8055" s="40"/>
    </row>
    <row r="8056" spans="1:2" x14ac:dyDescent="0.2">
      <c r="A8056" s="40"/>
      <c r="B8056" s="40"/>
    </row>
    <row r="8057" spans="1:2" x14ac:dyDescent="0.2">
      <c r="A8057" s="40"/>
      <c r="B8057" s="40"/>
    </row>
    <row r="8058" spans="1:2" x14ac:dyDescent="0.2">
      <c r="A8058" s="40"/>
      <c r="B8058" s="40"/>
    </row>
    <row r="8059" spans="1:2" x14ac:dyDescent="0.2">
      <c r="A8059" s="40"/>
      <c r="B8059" s="40"/>
    </row>
    <row r="8060" spans="1:2" x14ac:dyDescent="0.2">
      <c r="A8060" s="40"/>
      <c r="B8060" s="40"/>
    </row>
    <row r="8061" spans="1:2" x14ac:dyDescent="0.2">
      <c r="A8061" s="40"/>
      <c r="B8061" s="40"/>
    </row>
    <row r="8062" spans="1:2" x14ac:dyDescent="0.2">
      <c r="A8062" s="40"/>
      <c r="B8062" s="40"/>
    </row>
    <row r="8063" spans="1:2" x14ac:dyDescent="0.2">
      <c r="A8063" s="40"/>
      <c r="B8063" s="40"/>
    </row>
    <row r="8064" spans="1:2" x14ac:dyDescent="0.2">
      <c r="A8064" s="40"/>
      <c r="B8064" s="40"/>
    </row>
    <row r="8065" spans="1:2" x14ac:dyDescent="0.2">
      <c r="A8065" s="40"/>
      <c r="B8065" s="40"/>
    </row>
    <row r="8066" spans="1:2" x14ac:dyDescent="0.2">
      <c r="A8066" s="40"/>
      <c r="B8066" s="40"/>
    </row>
    <row r="8067" spans="1:2" x14ac:dyDescent="0.2">
      <c r="A8067" s="40"/>
      <c r="B8067" s="40"/>
    </row>
    <row r="8068" spans="1:2" x14ac:dyDescent="0.2">
      <c r="A8068" s="40"/>
      <c r="B8068" s="40"/>
    </row>
    <row r="8069" spans="1:2" x14ac:dyDescent="0.2">
      <c r="A8069" s="40"/>
      <c r="B8069" s="40"/>
    </row>
    <row r="8070" spans="1:2" x14ac:dyDescent="0.2">
      <c r="A8070" s="40"/>
      <c r="B8070" s="40"/>
    </row>
    <row r="8071" spans="1:2" x14ac:dyDescent="0.2">
      <c r="A8071" s="40"/>
      <c r="B8071" s="40"/>
    </row>
    <row r="8072" spans="1:2" x14ac:dyDescent="0.2">
      <c r="A8072" s="40"/>
      <c r="B8072" s="40"/>
    </row>
    <row r="8073" spans="1:2" x14ac:dyDescent="0.2">
      <c r="A8073" s="40"/>
      <c r="B8073" s="40"/>
    </row>
    <row r="8074" spans="1:2" x14ac:dyDescent="0.2">
      <c r="A8074" s="40"/>
      <c r="B8074" s="40"/>
    </row>
    <row r="8075" spans="1:2" x14ac:dyDescent="0.2">
      <c r="A8075" s="40"/>
      <c r="B8075" s="40"/>
    </row>
    <row r="8076" spans="1:2" x14ac:dyDescent="0.2">
      <c r="A8076" s="40"/>
      <c r="B8076" s="40"/>
    </row>
    <row r="8077" spans="1:2" x14ac:dyDescent="0.2">
      <c r="A8077" s="40"/>
      <c r="B8077" s="40"/>
    </row>
    <row r="8078" spans="1:2" x14ac:dyDescent="0.2">
      <c r="A8078" s="40"/>
      <c r="B8078" s="40"/>
    </row>
    <row r="8079" spans="1:2" x14ac:dyDescent="0.2">
      <c r="A8079" s="40"/>
      <c r="B8079" s="40"/>
    </row>
    <row r="8080" spans="1:2" x14ac:dyDescent="0.2">
      <c r="A8080" s="40"/>
      <c r="B8080" s="40"/>
    </row>
    <row r="8081" spans="1:2" x14ac:dyDescent="0.2">
      <c r="A8081" s="40"/>
      <c r="B8081" s="40"/>
    </row>
    <row r="8082" spans="1:2" x14ac:dyDescent="0.2">
      <c r="A8082" s="40"/>
      <c r="B8082" s="40"/>
    </row>
    <row r="8083" spans="1:2" x14ac:dyDescent="0.2">
      <c r="A8083" s="40"/>
      <c r="B8083" s="40"/>
    </row>
    <row r="8084" spans="1:2" x14ac:dyDescent="0.2">
      <c r="A8084" s="40"/>
      <c r="B8084" s="40"/>
    </row>
    <row r="8085" spans="1:2" x14ac:dyDescent="0.2">
      <c r="A8085" s="40"/>
      <c r="B8085" s="40"/>
    </row>
    <row r="8086" spans="1:2" x14ac:dyDescent="0.2">
      <c r="A8086" s="40"/>
      <c r="B8086" s="40"/>
    </row>
    <row r="8087" spans="1:2" x14ac:dyDescent="0.2">
      <c r="A8087" s="40"/>
      <c r="B8087" s="40"/>
    </row>
    <row r="8088" spans="1:2" x14ac:dyDescent="0.2">
      <c r="A8088" s="40"/>
      <c r="B8088" s="40"/>
    </row>
    <row r="8089" spans="1:2" x14ac:dyDescent="0.2">
      <c r="A8089" s="40"/>
      <c r="B8089" s="40"/>
    </row>
    <row r="8090" spans="1:2" x14ac:dyDescent="0.2">
      <c r="A8090" s="40"/>
      <c r="B8090" s="40"/>
    </row>
    <row r="8091" spans="1:2" x14ac:dyDescent="0.2">
      <c r="A8091" s="40"/>
      <c r="B8091" s="40"/>
    </row>
    <row r="8092" spans="1:2" x14ac:dyDescent="0.2">
      <c r="A8092" s="40"/>
      <c r="B8092" s="40"/>
    </row>
    <row r="8093" spans="1:2" x14ac:dyDescent="0.2">
      <c r="A8093" s="40"/>
      <c r="B8093" s="40"/>
    </row>
    <row r="8094" spans="1:2" x14ac:dyDescent="0.2">
      <c r="A8094" s="40"/>
      <c r="B8094" s="40"/>
    </row>
    <row r="8095" spans="1:2" x14ac:dyDescent="0.2">
      <c r="A8095" s="40"/>
      <c r="B8095" s="40"/>
    </row>
    <row r="8096" spans="1:2" x14ac:dyDescent="0.2">
      <c r="A8096" s="40"/>
      <c r="B8096" s="40"/>
    </row>
    <row r="8097" spans="1:2" x14ac:dyDescent="0.2">
      <c r="A8097" s="40"/>
      <c r="B8097" s="40"/>
    </row>
    <row r="8098" spans="1:2" x14ac:dyDescent="0.2">
      <c r="A8098" s="40"/>
      <c r="B8098" s="40"/>
    </row>
    <row r="8099" spans="1:2" x14ac:dyDescent="0.2">
      <c r="A8099" s="40"/>
      <c r="B8099" s="40"/>
    </row>
    <row r="8100" spans="1:2" x14ac:dyDescent="0.2">
      <c r="A8100" s="40"/>
      <c r="B8100" s="40"/>
    </row>
    <row r="8101" spans="1:2" x14ac:dyDescent="0.2">
      <c r="A8101" s="40"/>
      <c r="B8101" s="40"/>
    </row>
    <row r="8102" spans="1:2" x14ac:dyDescent="0.2">
      <c r="A8102" s="40"/>
      <c r="B8102" s="40"/>
    </row>
    <row r="8103" spans="1:2" x14ac:dyDescent="0.2">
      <c r="A8103" s="40"/>
      <c r="B8103" s="40"/>
    </row>
    <row r="8104" spans="1:2" x14ac:dyDescent="0.2">
      <c r="A8104" s="40"/>
      <c r="B8104" s="40"/>
    </row>
    <row r="8105" spans="1:2" x14ac:dyDescent="0.2">
      <c r="A8105" s="40"/>
      <c r="B8105" s="40"/>
    </row>
    <row r="8106" spans="1:2" x14ac:dyDescent="0.2">
      <c r="A8106" s="40"/>
      <c r="B8106" s="40"/>
    </row>
    <row r="8107" spans="1:2" x14ac:dyDescent="0.2">
      <c r="A8107" s="40"/>
      <c r="B8107" s="40"/>
    </row>
    <row r="8108" spans="1:2" x14ac:dyDescent="0.2">
      <c r="A8108" s="40"/>
      <c r="B8108" s="40"/>
    </row>
    <row r="8109" spans="1:2" x14ac:dyDescent="0.2">
      <c r="A8109" s="40"/>
      <c r="B8109" s="40"/>
    </row>
    <row r="8110" spans="1:2" x14ac:dyDescent="0.2">
      <c r="A8110" s="40"/>
      <c r="B8110" s="40"/>
    </row>
    <row r="8111" spans="1:2" x14ac:dyDescent="0.2">
      <c r="A8111" s="40"/>
      <c r="B8111" s="40"/>
    </row>
    <row r="8112" spans="1:2" x14ac:dyDescent="0.2">
      <c r="A8112" s="40"/>
      <c r="B8112" s="40"/>
    </row>
    <row r="8113" spans="1:2" x14ac:dyDescent="0.2">
      <c r="A8113" s="40"/>
      <c r="B8113" s="40"/>
    </row>
    <row r="8114" spans="1:2" x14ac:dyDescent="0.2">
      <c r="A8114" s="40"/>
      <c r="B8114" s="40"/>
    </row>
    <row r="8115" spans="1:2" x14ac:dyDescent="0.2">
      <c r="A8115" s="40"/>
      <c r="B8115" s="40"/>
    </row>
    <row r="8116" spans="1:2" x14ac:dyDescent="0.2">
      <c r="A8116" s="40"/>
      <c r="B8116" s="40"/>
    </row>
    <row r="8117" spans="1:2" x14ac:dyDescent="0.2">
      <c r="A8117" s="40"/>
      <c r="B8117" s="40"/>
    </row>
    <row r="8118" spans="1:2" x14ac:dyDescent="0.2">
      <c r="A8118" s="40"/>
      <c r="B8118" s="40"/>
    </row>
    <row r="8119" spans="1:2" x14ac:dyDescent="0.2">
      <c r="A8119" s="40"/>
      <c r="B8119" s="40"/>
    </row>
    <row r="8120" spans="1:2" x14ac:dyDescent="0.2">
      <c r="A8120" s="40"/>
      <c r="B8120" s="40"/>
    </row>
    <row r="8121" spans="1:2" x14ac:dyDescent="0.2">
      <c r="A8121" s="40"/>
      <c r="B8121" s="40"/>
    </row>
    <row r="8122" spans="1:2" x14ac:dyDescent="0.2">
      <c r="A8122" s="40"/>
      <c r="B8122" s="40"/>
    </row>
    <row r="8123" spans="1:2" x14ac:dyDescent="0.2">
      <c r="A8123" s="40"/>
      <c r="B8123" s="40"/>
    </row>
    <row r="8124" spans="1:2" x14ac:dyDescent="0.2">
      <c r="A8124" s="40"/>
      <c r="B8124" s="40"/>
    </row>
    <row r="8125" spans="1:2" x14ac:dyDescent="0.2">
      <c r="A8125" s="40"/>
      <c r="B8125" s="40"/>
    </row>
    <row r="8126" spans="1:2" x14ac:dyDescent="0.2">
      <c r="A8126" s="40"/>
      <c r="B8126" s="40"/>
    </row>
    <row r="8127" spans="1:2" x14ac:dyDescent="0.2">
      <c r="A8127" s="40"/>
      <c r="B8127" s="40"/>
    </row>
    <row r="8128" spans="1:2" x14ac:dyDescent="0.2">
      <c r="A8128" s="40"/>
      <c r="B8128" s="40"/>
    </row>
    <row r="8129" spans="1:2" x14ac:dyDescent="0.2">
      <c r="A8129" s="40"/>
      <c r="B8129" s="40"/>
    </row>
    <row r="8130" spans="1:2" x14ac:dyDescent="0.2">
      <c r="A8130" s="40"/>
      <c r="B8130" s="40"/>
    </row>
    <row r="8131" spans="1:2" x14ac:dyDescent="0.2">
      <c r="A8131" s="40"/>
      <c r="B8131" s="40"/>
    </row>
    <row r="8132" spans="1:2" x14ac:dyDescent="0.2">
      <c r="A8132" s="40"/>
      <c r="B8132" s="40"/>
    </row>
    <row r="8133" spans="1:2" x14ac:dyDescent="0.2">
      <c r="A8133" s="40"/>
      <c r="B8133" s="40"/>
    </row>
    <row r="8134" spans="1:2" x14ac:dyDescent="0.2">
      <c r="A8134" s="40"/>
      <c r="B8134" s="40"/>
    </row>
    <row r="8135" spans="1:2" x14ac:dyDescent="0.2">
      <c r="A8135" s="40"/>
      <c r="B8135" s="40"/>
    </row>
    <row r="8136" spans="1:2" x14ac:dyDescent="0.2">
      <c r="A8136" s="40"/>
      <c r="B8136" s="40"/>
    </row>
    <row r="8137" spans="1:2" x14ac:dyDescent="0.2">
      <c r="A8137" s="40"/>
      <c r="B8137" s="40"/>
    </row>
    <row r="8138" spans="1:2" x14ac:dyDescent="0.2">
      <c r="A8138" s="40"/>
      <c r="B8138" s="40"/>
    </row>
    <row r="8139" spans="1:2" x14ac:dyDescent="0.2">
      <c r="A8139" s="40"/>
      <c r="B8139" s="40"/>
    </row>
    <row r="8140" spans="1:2" x14ac:dyDescent="0.2">
      <c r="A8140" s="40"/>
      <c r="B8140" s="40"/>
    </row>
    <row r="8141" spans="1:2" x14ac:dyDescent="0.2">
      <c r="A8141" s="40"/>
      <c r="B8141" s="40"/>
    </row>
    <row r="8142" spans="1:2" x14ac:dyDescent="0.2">
      <c r="A8142" s="40"/>
      <c r="B8142" s="40"/>
    </row>
    <row r="8143" spans="1:2" x14ac:dyDescent="0.2">
      <c r="A8143" s="40"/>
      <c r="B8143" s="40"/>
    </row>
    <row r="8144" spans="1:2" x14ac:dyDescent="0.2">
      <c r="A8144" s="40"/>
      <c r="B8144" s="40"/>
    </row>
    <row r="8145" spans="1:2" x14ac:dyDescent="0.2">
      <c r="A8145" s="40"/>
      <c r="B8145" s="40"/>
    </row>
    <row r="8146" spans="1:2" x14ac:dyDescent="0.2">
      <c r="A8146" s="40"/>
      <c r="B8146" s="40"/>
    </row>
    <row r="8147" spans="1:2" x14ac:dyDescent="0.2">
      <c r="A8147" s="40"/>
      <c r="B8147" s="40"/>
    </row>
    <row r="8148" spans="1:2" x14ac:dyDescent="0.2">
      <c r="A8148" s="40"/>
      <c r="B8148" s="40"/>
    </row>
    <row r="8149" spans="1:2" x14ac:dyDescent="0.2">
      <c r="A8149" s="40"/>
      <c r="B8149" s="40"/>
    </row>
    <row r="8150" spans="1:2" x14ac:dyDescent="0.2">
      <c r="A8150" s="40"/>
      <c r="B8150" s="40"/>
    </row>
    <row r="8151" spans="1:2" x14ac:dyDescent="0.2">
      <c r="A8151" s="40"/>
      <c r="B8151" s="40"/>
    </row>
    <row r="8152" spans="1:2" x14ac:dyDescent="0.2">
      <c r="A8152" s="40"/>
      <c r="B8152" s="40"/>
    </row>
    <row r="8153" spans="1:2" x14ac:dyDescent="0.2">
      <c r="A8153" s="40"/>
      <c r="B8153" s="40"/>
    </row>
    <row r="8154" spans="1:2" x14ac:dyDescent="0.2">
      <c r="A8154" s="40"/>
      <c r="B8154" s="40"/>
    </row>
    <row r="8155" spans="1:2" x14ac:dyDescent="0.2">
      <c r="A8155" s="40"/>
      <c r="B8155" s="40"/>
    </row>
    <row r="8156" spans="1:2" x14ac:dyDescent="0.2">
      <c r="A8156" s="40"/>
      <c r="B8156" s="40"/>
    </row>
    <row r="8157" spans="1:2" x14ac:dyDescent="0.2">
      <c r="A8157" s="40"/>
      <c r="B8157" s="40"/>
    </row>
    <row r="8158" spans="1:2" x14ac:dyDescent="0.2">
      <c r="A8158" s="40"/>
      <c r="B8158" s="40"/>
    </row>
    <row r="8159" spans="1:2" x14ac:dyDescent="0.2">
      <c r="A8159" s="40"/>
      <c r="B8159" s="40"/>
    </row>
    <row r="8160" spans="1:2" x14ac:dyDescent="0.2">
      <c r="A8160" s="40"/>
      <c r="B8160" s="40"/>
    </row>
    <row r="8161" spans="1:2" x14ac:dyDescent="0.2">
      <c r="A8161" s="40"/>
      <c r="B8161" s="40"/>
    </row>
    <row r="8162" spans="1:2" x14ac:dyDescent="0.2">
      <c r="A8162" s="40"/>
      <c r="B8162" s="40"/>
    </row>
    <row r="8163" spans="1:2" x14ac:dyDescent="0.2">
      <c r="A8163" s="40"/>
      <c r="B8163" s="40"/>
    </row>
    <row r="8164" spans="1:2" x14ac:dyDescent="0.2">
      <c r="A8164" s="40"/>
      <c r="B8164" s="40"/>
    </row>
    <row r="8165" spans="1:2" x14ac:dyDescent="0.2">
      <c r="A8165" s="40"/>
      <c r="B8165" s="40"/>
    </row>
    <row r="8166" spans="1:2" x14ac:dyDescent="0.2">
      <c r="A8166" s="40"/>
      <c r="B8166" s="40"/>
    </row>
    <row r="8167" spans="1:2" x14ac:dyDescent="0.2">
      <c r="A8167" s="40"/>
      <c r="B8167" s="40"/>
    </row>
    <row r="8168" spans="1:2" x14ac:dyDescent="0.2">
      <c r="A8168" s="40"/>
      <c r="B8168" s="40"/>
    </row>
    <row r="8169" spans="1:2" x14ac:dyDescent="0.2">
      <c r="A8169" s="40"/>
      <c r="B8169" s="40"/>
    </row>
    <row r="8170" spans="1:2" x14ac:dyDescent="0.2">
      <c r="A8170" s="40"/>
      <c r="B8170" s="40"/>
    </row>
    <row r="8171" spans="1:2" x14ac:dyDescent="0.2">
      <c r="A8171" s="40"/>
      <c r="B8171" s="40"/>
    </row>
    <row r="8172" spans="1:2" x14ac:dyDescent="0.2">
      <c r="A8172" s="40"/>
      <c r="B8172" s="40"/>
    </row>
    <row r="8173" spans="1:2" x14ac:dyDescent="0.2">
      <c r="A8173" s="40"/>
      <c r="B8173" s="40"/>
    </row>
    <row r="8174" spans="1:2" x14ac:dyDescent="0.2">
      <c r="A8174" s="40"/>
      <c r="B8174" s="40"/>
    </row>
    <row r="8175" spans="1:2" x14ac:dyDescent="0.2">
      <c r="A8175" s="40"/>
      <c r="B8175" s="40"/>
    </row>
    <row r="8176" spans="1:2" x14ac:dyDescent="0.2">
      <c r="A8176" s="40"/>
      <c r="B8176" s="40"/>
    </row>
    <row r="8177" spans="1:2" x14ac:dyDescent="0.2">
      <c r="A8177" s="40"/>
      <c r="B8177" s="40"/>
    </row>
    <row r="8178" spans="1:2" x14ac:dyDescent="0.2">
      <c r="A8178" s="40"/>
      <c r="B8178" s="40"/>
    </row>
    <row r="8179" spans="1:2" x14ac:dyDescent="0.2">
      <c r="A8179" s="40"/>
      <c r="B8179" s="40"/>
    </row>
    <row r="8180" spans="1:2" x14ac:dyDescent="0.2">
      <c r="A8180" s="40"/>
      <c r="B8180" s="40"/>
    </row>
    <row r="8181" spans="1:2" x14ac:dyDescent="0.2">
      <c r="A8181" s="40"/>
      <c r="B8181" s="40"/>
    </row>
    <row r="8182" spans="1:2" x14ac:dyDescent="0.2">
      <c r="A8182" s="40"/>
      <c r="B8182" s="40"/>
    </row>
    <row r="8183" spans="1:2" x14ac:dyDescent="0.2">
      <c r="A8183" s="40"/>
      <c r="B8183" s="40"/>
    </row>
    <row r="8184" spans="1:2" x14ac:dyDescent="0.2">
      <c r="A8184" s="40"/>
      <c r="B8184" s="40"/>
    </row>
    <row r="8185" spans="1:2" x14ac:dyDescent="0.2">
      <c r="A8185" s="40"/>
      <c r="B8185" s="40"/>
    </row>
    <row r="8186" spans="1:2" x14ac:dyDescent="0.2">
      <c r="A8186" s="40"/>
      <c r="B8186" s="40"/>
    </row>
    <row r="8187" spans="1:2" x14ac:dyDescent="0.2">
      <c r="A8187" s="40"/>
      <c r="B8187" s="40"/>
    </row>
    <row r="8188" spans="1:2" x14ac:dyDescent="0.2">
      <c r="A8188" s="40"/>
      <c r="B8188" s="40"/>
    </row>
    <row r="8189" spans="1:2" x14ac:dyDescent="0.2">
      <c r="A8189" s="40"/>
      <c r="B8189" s="40"/>
    </row>
    <row r="8190" spans="1:2" x14ac:dyDescent="0.2">
      <c r="A8190" s="40"/>
      <c r="B8190" s="40"/>
    </row>
    <row r="8191" spans="1:2" x14ac:dyDescent="0.2">
      <c r="A8191" s="40"/>
      <c r="B8191" s="40"/>
    </row>
    <row r="8192" spans="1:2" x14ac:dyDescent="0.2">
      <c r="A8192" s="40"/>
      <c r="B8192" s="40"/>
    </row>
    <row r="8193" spans="1:2" x14ac:dyDescent="0.2">
      <c r="A8193" s="40"/>
      <c r="B8193" s="40"/>
    </row>
    <row r="8194" spans="1:2" x14ac:dyDescent="0.2">
      <c r="A8194" s="40"/>
      <c r="B8194" s="40"/>
    </row>
    <row r="8195" spans="1:2" x14ac:dyDescent="0.2">
      <c r="A8195" s="40"/>
      <c r="B8195" s="40"/>
    </row>
    <row r="8196" spans="1:2" x14ac:dyDescent="0.2">
      <c r="A8196" s="40"/>
      <c r="B8196" s="40"/>
    </row>
    <row r="8197" spans="1:2" x14ac:dyDescent="0.2">
      <c r="A8197" s="40"/>
      <c r="B8197" s="40"/>
    </row>
    <row r="8198" spans="1:2" x14ac:dyDescent="0.2">
      <c r="A8198" s="40"/>
      <c r="B8198" s="40"/>
    </row>
    <row r="8199" spans="1:2" x14ac:dyDescent="0.2">
      <c r="A8199" s="40"/>
      <c r="B8199" s="40"/>
    </row>
    <row r="8200" spans="1:2" x14ac:dyDescent="0.2">
      <c r="A8200" s="40"/>
      <c r="B8200" s="40"/>
    </row>
    <row r="8201" spans="1:2" x14ac:dyDescent="0.2">
      <c r="A8201" s="40"/>
      <c r="B8201" s="40"/>
    </row>
    <row r="8202" spans="1:2" x14ac:dyDescent="0.2">
      <c r="A8202" s="40"/>
      <c r="B8202" s="40"/>
    </row>
    <row r="8203" spans="1:2" x14ac:dyDescent="0.2">
      <c r="A8203" s="40"/>
      <c r="B8203" s="40"/>
    </row>
    <row r="8204" spans="1:2" x14ac:dyDescent="0.2">
      <c r="A8204" s="40"/>
      <c r="B8204" s="40"/>
    </row>
    <row r="8205" spans="1:2" x14ac:dyDescent="0.2">
      <c r="A8205" s="40"/>
      <c r="B8205" s="40"/>
    </row>
    <row r="8206" spans="1:2" x14ac:dyDescent="0.2">
      <c r="A8206" s="40"/>
      <c r="B8206" s="40"/>
    </row>
    <row r="8207" spans="1:2" x14ac:dyDescent="0.2">
      <c r="A8207" s="40"/>
      <c r="B8207" s="40"/>
    </row>
    <row r="8208" spans="1:2" x14ac:dyDescent="0.2">
      <c r="A8208" s="40"/>
      <c r="B8208" s="40"/>
    </row>
    <row r="8209" spans="1:2" x14ac:dyDescent="0.2">
      <c r="A8209" s="40"/>
      <c r="B8209" s="40"/>
    </row>
    <row r="8210" spans="1:2" x14ac:dyDescent="0.2">
      <c r="A8210" s="40"/>
      <c r="B8210" s="40"/>
    </row>
    <row r="8211" spans="1:2" x14ac:dyDescent="0.2">
      <c r="A8211" s="40"/>
      <c r="B8211" s="40"/>
    </row>
    <row r="8212" spans="1:2" x14ac:dyDescent="0.2">
      <c r="A8212" s="40"/>
      <c r="B8212" s="40"/>
    </row>
    <row r="8213" spans="1:2" x14ac:dyDescent="0.2">
      <c r="A8213" s="40"/>
      <c r="B8213" s="40"/>
    </row>
    <row r="8214" spans="1:2" x14ac:dyDescent="0.2">
      <c r="A8214" s="40"/>
      <c r="B8214" s="40"/>
    </row>
    <row r="8215" spans="1:2" x14ac:dyDescent="0.2">
      <c r="A8215" s="40"/>
      <c r="B8215" s="40"/>
    </row>
    <row r="8216" spans="1:2" x14ac:dyDescent="0.2">
      <c r="A8216" s="40"/>
      <c r="B8216" s="40"/>
    </row>
    <row r="8217" spans="1:2" x14ac:dyDescent="0.2">
      <c r="A8217" s="40"/>
      <c r="B8217" s="40"/>
    </row>
    <row r="8218" spans="1:2" x14ac:dyDescent="0.2">
      <c r="A8218" s="40"/>
      <c r="B8218" s="40"/>
    </row>
    <row r="8219" spans="1:2" x14ac:dyDescent="0.2">
      <c r="A8219" s="40"/>
      <c r="B8219" s="40"/>
    </row>
    <row r="8220" spans="1:2" x14ac:dyDescent="0.2">
      <c r="A8220" s="40"/>
      <c r="B8220" s="40"/>
    </row>
    <row r="8221" spans="1:2" x14ac:dyDescent="0.2">
      <c r="A8221" s="40"/>
      <c r="B8221" s="40"/>
    </row>
    <row r="8222" spans="1:2" x14ac:dyDescent="0.2">
      <c r="A8222" s="40"/>
      <c r="B8222" s="40"/>
    </row>
    <row r="8223" spans="1:2" x14ac:dyDescent="0.2">
      <c r="A8223" s="40"/>
      <c r="B8223" s="40"/>
    </row>
    <row r="8224" spans="1:2" x14ac:dyDescent="0.2">
      <c r="A8224" s="40"/>
      <c r="B8224" s="40"/>
    </row>
    <row r="8225" spans="1:2" x14ac:dyDescent="0.2">
      <c r="A8225" s="40"/>
      <c r="B8225" s="40"/>
    </row>
    <row r="8226" spans="1:2" x14ac:dyDescent="0.2">
      <c r="A8226" s="40"/>
      <c r="B8226" s="40"/>
    </row>
    <row r="8227" spans="1:2" x14ac:dyDescent="0.2">
      <c r="A8227" s="40"/>
      <c r="B8227" s="40"/>
    </row>
    <row r="8228" spans="1:2" x14ac:dyDescent="0.2">
      <c r="A8228" s="40"/>
      <c r="B8228" s="40"/>
    </row>
    <row r="8229" spans="1:2" x14ac:dyDescent="0.2">
      <c r="A8229" s="40"/>
      <c r="B8229" s="40"/>
    </row>
    <row r="8230" spans="1:2" x14ac:dyDescent="0.2">
      <c r="A8230" s="40"/>
      <c r="B8230" s="40"/>
    </row>
    <row r="8231" spans="1:2" x14ac:dyDescent="0.2">
      <c r="A8231" s="40"/>
      <c r="B8231" s="40"/>
    </row>
    <row r="8232" spans="1:2" x14ac:dyDescent="0.2">
      <c r="A8232" s="40"/>
      <c r="B8232" s="40"/>
    </row>
    <row r="8233" spans="1:2" x14ac:dyDescent="0.2">
      <c r="A8233" s="40"/>
      <c r="B8233" s="40"/>
    </row>
    <row r="8234" spans="1:2" x14ac:dyDescent="0.2">
      <c r="A8234" s="40"/>
      <c r="B8234" s="40"/>
    </row>
    <row r="8235" spans="1:2" x14ac:dyDescent="0.2">
      <c r="A8235" s="40"/>
      <c r="B8235" s="40"/>
    </row>
    <row r="8236" spans="1:2" x14ac:dyDescent="0.2">
      <c r="A8236" s="40"/>
      <c r="B8236" s="40"/>
    </row>
    <row r="8237" spans="1:2" x14ac:dyDescent="0.2">
      <c r="A8237" s="40"/>
      <c r="B8237" s="40"/>
    </row>
    <row r="8238" spans="1:2" x14ac:dyDescent="0.2">
      <c r="A8238" s="40"/>
      <c r="B8238" s="40"/>
    </row>
    <row r="8239" spans="1:2" x14ac:dyDescent="0.2">
      <c r="A8239" s="40"/>
      <c r="B8239" s="40"/>
    </row>
    <row r="8240" spans="1:2" x14ac:dyDescent="0.2">
      <c r="A8240" s="40"/>
      <c r="B8240" s="40"/>
    </row>
    <row r="8241" spans="1:2" x14ac:dyDescent="0.2">
      <c r="A8241" s="40"/>
      <c r="B8241" s="40"/>
    </row>
    <row r="8242" spans="1:2" x14ac:dyDescent="0.2">
      <c r="A8242" s="40"/>
      <c r="B8242" s="40"/>
    </row>
    <row r="8243" spans="1:2" x14ac:dyDescent="0.2">
      <c r="A8243" s="40"/>
      <c r="B8243" s="40"/>
    </row>
    <row r="8244" spans="1:2" x14ac:dyDescent="0.2">
      <c r="A8244" s="40"/>
      <c r="B8244" s="40"/>
    </row>
    <row r="8245" spans="1:2" x14ac:dyDescent="0.2">
      <c r="A8245" s="40"/>
      <c r="B8245" s="40"/>
    </row>
    <row r="8246" spans="1:2" x14ac:dyDescent="0.2">
      <c r="A8246" s="40"/>
      <c r="B8246" s="40"/>
    </row>
    <row r="8247" spans="1:2" x14ac:dyDescent="0.2">
      <c r="A8247" s="40"/>
      <c r="B8247" s="40"/>
    </row>
    <row r="8248" spans="1:2" x14ac:dyDescent="0.2">
      <c r="A8248" s="40"/>
      <c r="B8248" s="40"/>
    </row>
    <row r="8249" spans="1:2" x14ac:dyDescent="0.2">
      <c r="A8249" s="40"/>
      <c r="B8249" s="40"/>
    </row>
    <row r="8250" spans="1:2" x14ac:dyDescent="0.2">
      <c r="A8250" s="40"/>
      <c r="B8250" s="40"/>
    </row>
    <row r="8251" spans="1:2" x14ac:dyDescent="0.2">
      <c r="A8251" s="40"/>
      <c r="B8251" s="40"/>
    </row>
    <row r="8252" spans="1:2" x14ac:dyDescent="0.2">
      <c r="A8252" s="40"/>
      <c r="B8252" s="40"/>
    </row>
    <row r="8253" spans="1:2" x14ac:dyDescent="0.2">
      <c r="A8253" s="40"/>
      <c r="B8253" s="40"/>
    </row>
    <row r="8254" spans="1:2" x14ac:dyDescent="0.2">
      <c r="A8254" s="40"/>
      <c r="B8254" s="40"/>
    </row>
    <row r="8255" spans="1:2" x14ac:dyDescent="0.2">
      <c r="A8255" s="40"/>
      <c r="B8255" s="40"/>
    </row>
    <row r="8256" spans="1:2" x14ac:dyDescent="0.2">
      <c r="A8256" s="40"/>
      <c r="B8256" s="40"/>
    </row>
    <row r="8257" spans="1:2" x14ac:dyDescent="0.2">
      <c r="A8257" s="40"/>
      <c r="B8257" s="40"/>
    </row>
    <row r="8258" spans="1:2" x14ac:dyDescent="0.2">
      <c r="A8258" s="40"/>
      <c r="B8258" s="40"/>
    </row>
    <row r="8259" spans="1:2" x14ac:dyDescent="0.2">
      <c r="A8259" s="40"/>
      <c r="B8259" s="40"/>
    </row>
    <row r="8260" spans="1:2" x14ac:dyDescent="0.2">
      <c r="A8260" s="40"/>
      <c r="B8260" s="40"/>
    </row>
    <row r="8261" spans="1:2" x14ac:dyDescent="0.2">
      <c r="A8261" s="40"/>
      <c r="B8261" s="40"/>
    </row>
    <row r="8262" spans="1:2" x14ac:dyDescent="0.2">
      <c r="A8262" s="40"/>
      <c r="B8262" s="40"/>
    </row>
    <row r="8263" spans="1:2" x14ac:dyDescent="0.2">
      <c r="A8263" s="40"/>
      <c r="B8263" s="40"/>
    </row>
    <row r="8264" spans="1:2" x14ac:dyDescent="0.2">
      <c r="A8264" s="40"/>
      <c r="B8264" s="40"/>
    </row>
    <row r="8265" spans="1:2" x14ac:dyDescent="0.2">
      <c r="A8265" s="40"/>
      <c r="B8265" s="40"/>
    </row>
    <row r="8266" spans="1:2" x14ac:dyDescent="0.2">
      <c r="A8266" s="40"/>
      <c r="B8266" s="40"/>
    </row>
    <row r="8267" spans="1:2" x14ac:dyDescent="0.2">
      <c r="A8267" s="40"/>
      <c r="B8267" s="40"/>
    </row>
    <row r="8268" spans="1:2" x14ac:dyDescent="0.2">
      <c r="A8268" s="40"/>
      <c r="B8268" s="40"/>
    </row>
    <row r="8269" spans="1:2" x14ac:dyDescent="0.2">
      <c r="A8269" s="40"/>
      <c r="B8269" s="40"/>
    </row>
    <row r="8270" spans="1:2" x14ac:dyDescent="0.2">
      <c r="A8270" s="40"/>
      <c r="B8270" s="40"/>
    </row>
    <row r="8271" spans="1:2" x14ac:dyDescent="0.2">
      <c r="A8271" s="40"/>
      <c r="B8271" s="40"/>
    </row>
    <row r="8272" spans="1:2" x14ac:dyDescent="0.2">
      <c r="A8272" s="40"/>
      <c r="B8272" s="40"/>
    </row>
    <row r="8273" spans="1:2" x14ac:dyDescent="0.2">
      <c r="A8273" s="40"/>
      <c r="B8273" s="40"/>
    </row>
    <row r="8274" spans="1:2" x14ac:dyDescent="0.2">
      <c r="A8274" s="40"/>
      <c r="B8274" s="40"/>
    </row>
    <row r="8275" spans="1:2" x14ac:dyDescent="0.2">
      <c r="A8275" s="40"/>
      <c r="B8275" s="40"/>
    </row>
    <row r="8276" spans="1:2" x14ac:dyDescent="0.2">
      <c r="A8276" s="40"/>
      <c r="B8276" s="40"/>
    </row>
    <row r="8277" spans="1:2" x14ac:dyDescent="0.2">
      <c r="A8277" s="40"/>
      <c r="B8277" s="40"/>
    </row>
    <row r="8278" spans="1:2" x14ac:dyDescent="0.2">
      <c r="A8278" s="40"/>
      <c r="B8278" s="40"/>
    </row>
    <row r="8279" spans="1:2" x14ac:dyDescent="0.2">
      <c r="A8279" s="40"/>
      <c r="B8279" s="40"/>
    </row>
    <row r="8280" spans="1:2" x14ac:dyDescent="0.2">
      <c r="A8280" s="40"/>
      <c r="B8280" s="40"/>
    </row>
    <row r="8281" spans="1:2" x14ac:dyDescent="0.2">
      <c r="A8281" s="40"/>
      <c r="B8281" s="40"/>
    </row>
    <row r="8282" spans="1:2" x14ac:dyDescent="0.2">
      <c r="A8282" s="40"/>
      <c r="B8282" s="40"/>
    </row>
    <row r="8283" spans="1:2" x14ac:dyDescent="0.2">
      <c r="A8283" s="40"/>
      <c r="B8283" s="40"/>
    </row>
    <row r="8284" spans="1:2" x14ac:dyDescent="0.2">
      <c r="A8284" s="40"/>
      <c r="B8284" s="40"/>
    </row>
    <row r="8285" spans="1:2" x14ac:dyDescent="0.2">
      <c r="A8285" s="40"/>
      <c r="B8285" s="40"/>
    </row>
    <row r="8286" spans="1:2" x14ac:dyDescent="0.2">
      <c r="A8286" s="40"/>
      <c r="B8286" s="40"/>
    </row>
    <row r="8287" spans="1:2" x14ac:dyDescent="0.2">
      <c r="A8287" s="40"/>
      <c r="B8287" s="40"/>
    </row>
    <row r="8288" spans="1:2" x14ac:dyDescent="0.2">
      <c r="A8288" s="40"/>
      <c r="B8288" s="40"/>
    </row>
    <row r="8289" spans="1:2" x14ac:dyDescent="0.2">
      <c r="A8289" s="40"/>
      <c r="B8289" s="40"/>
    </row>
    <row r="8290" spans="1:2" x14ac:dyDescent="0.2">
      <c r="A8290" s="40"/>
      <c r="B8290" s="40"/>
    </row>
    <row r="8291" spans="1:2" x14ac:dyDescent="0.2">
      <c r="A8291" s="40"/>
      <c r="B8291" s="40"/>
    </row>
    <row r="8292" spans="1:2" x14ac:dyDescent="0.2">
      <c r="A8292" s="40"/>
      <c r="B8292" s="40"/>
    </row>
    <row r="8293" spans="1:2" x14ac:dyDescent="0.2">
      <c r="A8293" s="40"/>
      <c r="B8293" s="40"/>
    </row>
    <row r="8294" spans="1:2" x14ac:dyDescent="0.2">
      <c r="A8294" s="40"/>
      <c r="B8294" s="40"/>
    </row>
    <row r="8295" spans="1:2" x14ac:dyDescent="0.2">
      <c r="A8295" s="40"/>
      <c r="B8295" s="40"/>
    </row>
    <row r="8296" spans="1:2" x14ac:dyDescent="0.2">
      <c r="A8296" s="40"/>
      <c r="B8296" s="40"/>
    </row>
    <row r="8297" spans="1:2" x14ac:dyDescent="0.2">
      <c r="A8297" s="40"/>
      <c r="B8297" s="40"/>
    </row>
    <row r="8298" spans="1:2" x14ac:dyDescent="0.2">
      <c r="A8298" s="40"/>
      <c r="B8298" s="40"/>
    </row>
    <row r="8299" spans="1:2" x14ac:dyDescent="0.2">
      <c r="A8299" s="40"/>
      <c r="B8299" s="40"/>
    </row>
    <row r="8300" spans="1:2" x14ac:dyDescent="0.2">
      <c r="A8300" s="40"/>
      <c r="B8300" s="40"/>
    </row>
    <row r="8301" spans="1:2" x14ac:dyDescent="0.2">
      <c r="A8301" s="40"/>
      <c r="B8301" s="40"/>
    </row>
    <row r="8302" spans="1:2" x14ac:dyDescent="0.2">
      <c r="A8302" s="40"/>
      <c r="B8302" s="40"/>
    </row>
    <row r="8303" spans="1:2" x14ac:dyDescent="0.2">
      <c r="A8303" s="40"/>
      <c r="B8303" s="40"/>
    </row>
    <row r="8304" spans="1:2" x14ac:dyDescent="0.2">
      <c r="A8304" s="40"/>
      <c r="B8304" s="40"/>
    </row>
    <row r="8305" spans="1:2" x14ac:dyDescent="0.2">
      <c r="A8305" s="40"/>
      <c r="B8305" s="40"/>
    </row>
    <row r="8306" spans="1:2" x14ac:dyDescent="0.2">
      <c r="A8306" s="40"/>
      <c r="B8306" s="40"/>
    </row>
    <row r="8307" spans="1:2" x14ac:dyDescent="0.2">
      <c r="A8307" s="40"/>
      <c r="B8307" s="40"/>
    </row>
    <row r="8308" spans="1:2" x14ac:dyDescent="0.2">
      <c r="A8308" s="40"/>
      <c r="B8308" s="40"/>
    </row>
    <row r="8309" spans="1:2" x14ac:dyDescent="0.2">
      <c r="A8309" s="40"/>
      <c r="B8309" s="40"/>
    </row>
    <row r="8310" spans="1:2" x14ac:dyDescent="0.2">
      <c r="A8310" s="40"/>
      <c r="B8310" s="40"/>
    </row>
    <row r="8311" spans="1:2" x14ac:dyDescent="0.2">
      <c r="A8311" s="40"/>
      <c r="B8311" s="40"/>
    </row>
    <row r="8312" spans="1:2" x14ac:dyDescent="0.2">
      <c r="A8312" s="40"/>
      <c r="B8312" s="40"/>
    </row>
    <row r="8313" spans="1:2" x14ac:dyDescent="0.2">
      <c r="A8313" s="40"/>
      <c r="B8313" s="40"/>
    </row>
    <row r="8314" spans="1:2" x14ac:dyDescent="0.2">
      <c r="A8314" s="40"/>
      <c r="B8314" s="40"/>
    </row>
    <row r="8315" spans="1:2" x14ac:dyDescent="0.2">
      <c r="A8315" s="40"/>
      <c r="B8315" s="40"/>
    </row>
    <row r="8316" spans="1:2" x14ac:dyDescent="0.2">
      <c r="A8316" s="40"/>
      <c r="B8316" s="40"/>
    </row>
    <row r="8317" spans="1:2" x14ac:dyDescent="0.2">
      <c r="A8317" s="40"/>
      <c r="B8317" s="40"/>
    </row>
    <row r="8318" spans="1:2" x14ac:dyDescent="0.2">
      <c r="A8318" s="40"/>
      <c r="B8318" s="40"/>
    </row>
    <row r="8319" spans="1:2" x14ac:dyDescent="0.2">
      <c r="A8319" s="40"/>
      <c r="B8319" s="40"/>
    </row>
    <row r="8320" spans="1:2" x14ac:dyDescent="0.2">
      <c r="A8320" s="40"/>
      <c r="B8320" s="40"/>
    </row>
    <row r="8321" spans="1:2" x14ac:dyDescent="0.2">
      <c r="A8321" s="40"/>
      <c r="B8321" s="40"/>
    </row>
    <row r="8322" spans="1:2" x14ac:dyDescent="0.2">
      <c r="A8322" s="40"/>
      <c r="B8322" s="40"/>
    </row>
    <row r="8323" spans="1:2" x14ac:dyDescent="0.2">
      <c r="A8323" s="40"/>
      <c r="B8323" s="40"/>
    </row>
    <row r="8324" spans="1:2" x14ac:dyDescent="0.2">
      <c r="A8324" s="40"/>
      <c r="B8324" s="40"/>
    </row>
    <row r="8325" spans="1:2" x14ac:dyDescent="0.2">
      <c r="A8325" s="40"/>
      <c r="B8325" s="40"/>
    </row>
    <row r="8326" spans="1:2" x14ac:dyDescent="0.2">
      <c r="A8326" s="40"/>
      <c r="B8326" s="40"/>
    </row>
    <row r="8327" spans="1:2" x14ac:dyDescent="0.2">
      <c r="A8327" s="40"/>
      <c r="B8327" s="40"/>
    </row>
    <row r="8328" spans="1:2" x14ac:dyDescent="0.2">
      <c r="A8328" s="40"/>
      <c r="B8328" s="40"/>
    </row>
    <row r="8329" spans="1:2" x14ac:dyDescent="0.2">
      <c r="A8329" s="40"/>
      <c r="B8329" s="40"/>
    </row>
    <row r="8330" spans="1:2" x14ac:dyDescent="0.2">
      <c r="A8330" s="40"/>
      <c r="B8330" s="40"/>
    </row>
    <row r="8331" spans="1:2" x14ac:dyDescent="0.2">
      <c r="A8331" s="40"/>
      <c r="B8331" s="40"/>
    </row>
    <row r="8332" spans="1:2" x14ac:dyDescent="0.2">
      <c r="A8332" s="40"/>
      <c r="B8332" s="40"/>
    </row>
    <row r="8333" spans="1:2" x14ac:dyDescent="0.2">
      <c r="A8333" s="40"/>
      <c r="B8333" s="40"/>
    </row>
    <row r="8334" spans="1:2" x14ac:dyDescent="0.2">
      <c r="A8334" s="40"/>
      <c r="B8334" s="40"/>
    </row>
    <row r="8335" spans="1:2" x14ac:dyDescent="0.2">
      <c r="A8335" s="40"/>
      <c r="B8335" s="40"/>
    </row>
    <row r="8336" spans="1:2" x14ac:dyDescent="0.2">
      <c r="A8336" s="40"/>
      <c r="B8336" s="40"/>
    </row>
    <row r="8337" spans="1:2" x14ac:dyDescent="0.2">
      <c r="A8337" s="40"/>
      <c r="B8337" s="40"/>
    </row>
    <row r="8338" spans="1:2" x14ac:dyDescent="0.2">
      <c r="A8338" s="40"/>
      <c r="B8338" s="40"/>
    </row>
    <row r="8339" spans="1:2" x14ac:dyDescent="0.2">
      <c r="A8339" s="40"/>
      <c r="B8339" s="40"/>
    </row>
    <row r="8340" spans="1:2" x14ac:dyDescent="0.2">
      <c r="A8340" s="40"/>
      <c r="B8340" s="40"/>
    </row>
    <row r="8341" spans="1:2" x14ac:dyDescent="0.2">
      <c r="A8341" s="40"/>
      <c r="B8341" s="40"/>
    </row>
    <row r="8342" spans="1:2" x14ac:dyDescent="0.2">
      <c r="A8342" s="40"/>
      <c r="B8342" s="40"/>
    </row>
    <row r="8343" spans="1:2" x14ac:dyDescent="0.2">
      <c r="A8343" s="40"/>
      <c r="B8343" s="40"/>
    </row>
    <row r="8344" spans="1:2" x14ac:dyDescent="0.2">
      <c r="A8344" s="40"/>
      <c r="B8344" s="40"/>
    </row>
    <row r="8345" spans="1:2" x14ac:dyDescent="0.2">
      <c r="A8345" s="40"/>
      <c r="B8345" s="40"/>
    </row>
    <row r="8346" spans="1:2" x14ac:dyDescent="0.2">
      <c r="A8346" s="40"/>
      <c r="B8346" s="40"/>
    </row>
    <row r="8347" spans="1:2" x14ac:dyDescent="0.2">
      <c r="A8347" s="40"/>
      <c r="B8347" s="40"/>
    </row>
    <row r="8348" spans="1:2" x14ac:dyDescent="0.2">
      <c r="A8348" s="40"/>
      <c r="B8348" s="40"/>
    </row>
    <row r="8349" spans="1:2" x14ac:dyDescent="0.2">
      <c r="A8349" s="40"/>
      <c r="B8349" s="40"/>
    </row>
    <row r="8350" spans="1:2" x14ac:dyDescent="0.2">
      <c r="A8350" s="40"/>
      <c r="B8350" s="40"/>
    </row>
    <row r="8351" spans="1:2" x14ac:dyDescent="0.2">
      <c r="A8351" s="40"/>
      <c r="B8351" s="40"/>
    </row>
    <row r="8352" spans="1:2" x14ac:dyDescent="0.2">
      <c r="A8352" s="40"/>
      <c r="B8352" s="40"/>
    </row>
    <row r="8353" spans="1:2" x14ac:dyDescent="0.2">
      <c r="A8353" s="40"/>
      <c r="B8353" s="40"/>
    </row>
    <row r="8354" spans="1:2" x14ac:dyDescent="0.2">
      <c r="A8354" s="40"/>
      <c r="B8354" s="40"/>
    </row>
    <row r="8355" spans="1:2" x14ac:dyDescent="0.2">
      <c r="A8355" s="40"/>
      <c r="B8355" s="40"/>
    </row>
    <row r="8356" spans="1:2" x14ac:dyDescent="0.2">
      <c r="A8356" s="40"/>
      <c r="B8356" s="40"/>
    </row>
    <row r="8357" spans="1:2" x14ac:dyDescent="0.2">
      <c r="A8357" s="40"/>
      <c r="B8357" s="40"/>
    </row>
    <row r="8358" spans="1:2" x14ac:dyDescent="0.2">
      <c r="A8358" s="40"/>
      <c r="B8358" s="40"/>
    </row>
    <row r="8359" spans="1:2" x14ac:dyDescent="0.2">
      <c r="A8359" s="40"/>
      <c r="B8359" s="40"/>
    </row>
    <row r="8360" spans="1:2" x14ac:dyDescent="0.2">
      <c r="A8360" s="40"/>
      <c r="B8360" s="40"/>
    </row>
    <row r="8361" spans="1:2" x14ac:dyDescent="0.2">
      <c r="A8361" s="40"/>
      <c r="B8361" s="40"/>
    </row>
    <row r="8362" spans="1:2" x14ac:dyDescent="0.2">
      <c r="A8362" s="40"/>
      <c r="B8362" s="40"/>
    </row>
    <row r="8363" spans="1:2" x14ac:dyDescent="0.2">
      <c r="A8363" s="40"/>
      <c r="B8363" s="40"/>
    </row>
    <row r="8364" spans="1:2" x14ac:dyDescent="0.2">
      <c r="A8364" s="40"/>
      <c r="B8364" s="40"/>
    </row>
    <row r="8365" spans="1:2" x14ac:dyDescent="0.2">
      <c r="A8365" s="40"/>
      <c r="B8365" s="40"/>
    </row>
    <row r="8366" spans="1:2" x14ac:dyDescent="0.2">
      <c r="A8366" s="40"/>
      <c r="B8366" s="40"/>
    </row>
    <row r="8367" spans="1:2" x14ac:dyDescent="0.2">
      <c r="A8367" s="40"/>
      <c r="B8367" s="40"/>
    </row>
    <row r="8368" spans="1:2" x14ac:dyDescent="0.2">
      <c r="A8368" s="40"/>
      <c r="B8368" s="40"/>
    </row>
    <row r="8369" spans="1:2" x14ac:dyDescent="0.2">
      <c r="A8369" s="40"/>
      <c r="B8369" s="40"/>
    </row>
    <row r="8370" spans="1:2" x14ac:dyDescent="0.2">
      <c r="A8370" s="40"/>
      <c r="B8370" s="40"/>
    </row>
    <row r="8371" spans="1:2" x14ac:dyDescent="0.2">
      <c r="A8371" s="40"/>
      <c r="B8371" s="40"/>
    </row>
    <row r="8372" spans="1:2" x14ac:dyDescent="0.2">
      <c r="A8372" s="40"/>
      <c r="B8372" s="40"/>
    </row>
    <row r="8373" spans="1:2" x14ac:dyDescent="0.2">
      <c r="A8373" s="40"/>
      <c r="B8373" s="40"/>
    </row>
    <row r="8374" spans="1:2" x14ac:dyDescent="0.2">
      <c r="A8374" s="40"/>
      <c r="B8374" s="40"/>
    </row>
    <row r="8375" spans="1:2" x14ac:dyDescent="0.2">
      <c r="A8375" s="40"/>
      <c r="B8375" s="40"/>
    </row>
    <row r="8376" spans="1:2" x14ac:dyDescent="0.2">
      <c r="A8376" s="40"/>
      <c r="B8376" s="40"/>
    </row>
    <row r="8377" spans="1:2" x14ac:dyDescent="0.2">
      <c r="A8377" s="40"/>
      <c r="B8377" s="40"/>
    </row>
    <row r="8378" spans="1:2" x14ac:dyDescent="0.2">
      <c r="A8378" s="40"/>
      <c r="B8378" s="40"/>
    </row>
    <row r="8379" spans="1:2" x14ac:dyDescent="0.2">
      <c r="A8379" s="40"/>
      <c r="B8379" s="40"/>
    </row>
    <row r="8380" spans="1:2" x14ac:dyDescent="0.2">
      <c r="A8380" s="40"/>
      <c r="B8380" s="40"/>
    </row>
    <row r="8381" spans="1:2" x14ac:dyDescent="0.2">
      <c r="A8381" s="40"/>
      <c r="B8381" s="40"/>
    </row>
    <row r="8382" spans="1:2" x14ac:dyDescent="0.2">
      <c r="A8382" s="40"/>
      <c r="B8382" s="40"/>
    </row>
    <row r="8383" spans="1:2" x14ac:dyDescent="0.2">
      <c r="A8383" s="40"/>
      <c r="B8383" s="40"/>
    </row>
    <row r="8384" spans="1:2" x14ac:dyDescent="0.2">
      <c r="A8384" s="40"/>
      <c r="B8384" s="40"/>
    </row>
    <row r="8385" spans="1:2" x14ac:dyDescent="0.2">
      <c r="A8385" s="40"/>
      <c r="B8385" s="40"/>
    </row>
    <row r="8386" spans="1:2" x14ac:dyDescent="0.2">
      <c r="A8386" s="40"/>
      <c r="B8386" s="40"/>
    </row>
    <row r="8387" spans="1:2" x14ac:dyDescent="0.2">
      <c r="A8387" s="40"/>
      <c r="B8387" s="40"/>
    </row>
    <row r="8388" spans="1:2" x14ac:dyDescent="0.2">
      <c r="A8388" s="40"/>
      <c r="B8388" s="40"/>
    </row>
    <row r="8389" spans="1:2" x14ac:dyDescent="0.2">
      <c r="A8389" s="40"/>
      <c r="B8389" s="40"/>
    </row>
    <row r="8390" spans="1:2" x14ac:dyDescent="0.2">
      <c r="A8390" s="40"/>
      <c r="B8390" s="40"/>
    </row>
    <row r="8391" spans="1:2" x14ac:dyDescent="0.2">
      <c r="A8391" s="40"/>
      <c r="B8391" s="40"/>
    </row>
    <row r="8392" spans="1:2" x14ac:dyDescent="0.2">
      <c r="A8392" s="40"/>
      <c r="B8392" s="40"/>
    </row>
    <row r="8393" spans="1:2" x14ac:dyDescent="0.2">
      <c r="A8393" s="40"/>
      <c r="B8393" s="40"/>
    </row>
    <row r="8394" spans="1:2" x14ac:dyDescent="0.2">
      <c r="A8394" s="40"/>
      <c r="B8394" s="40"/>
    </row>
    <row r="8395" spans="1:2" x14ac:dyDescent="0.2">
      <c r="A8395" s="40"/>
      <c r="B8395" s="40"/>
    </row>
    <row r="8396" spans="1:2" x14ac:dyDescent="0.2">
      <c r="A8396" s="40"/>
      <c r="B8396" s="40"/>
    </row>
    <row r="8397" spans="1:2" x14ac:dyDescent="0.2">
      <c r="A8397" s="40"/>
      <c r="B8397" s="40"/>
    </row>
    <row r="8398" spans="1:2" x14ac:dyDescent="0.2">
      <c r="A8398" s="40"/>
      <c r="B8398" s="40"/>
    </row>
    <row r="8399" spans="1:2" x14ac:dyDescent="0.2">
      <c r="A8399" s="40"/>
      <c r="B8399" s="40"/>
    </row>
    <row r="8400" spans="1:2" x14ac:dyDescent="0.2">
      <c r="A8400" s="40"/>
      <c r="B8400" s="40"/>
    </row>
    <row r="8401" spans="1:2" x14ac:dyDescent="0.2">
      <c r="A8401" s="40"/>
      <c r="B8401" s="40"/>
    </row>
    <row r="8402" spans="1:2" x14ac:dyDescent="0.2">
      <c r="A8402" s="40"/>
      <c r="B8402" s="40"/>
    </row>
    <row r="8403" spans="1:2" x14ac:dyDescent="0.2">
      <c r="A8403" s="40"/>
      <c r="B8403" s="40"/>
    </row>
    <row r="8404" spans="1:2" x14ac:dyDescent="0.2">
      <c r="A8404" s="40"/>
      <c r="B8404" s="40"/>
    </row>
    <row r="8405" spans="1:2" x14ac:dyDescent="0.2">
      <c r="A8405" s="40"/>
      <c r="B8405" s="40"/>
    </row>
    <row r="8406" spans="1:2" x14ac:dyDescent="0.2">
      <c r="A8406" s="40"/>
      <c r="B8406" s="40"/>
    </row>
    <row r="8407" spans="1:2" x14ac:dyDescent="0.2">
      <c r="A8407" s="40"/>
      <c r="B8407" s="40"/>
    </row>
    <row r="8408" spans="1:2" x14ac:dyDescent="0.2">
      <c r="A8408" s="40"/>
      <c r="B8408" s="40"/>
    </row>
    <row r="8409" spans="1:2" x14ac:dyDescent="0.2">
      <c r="A8409" s="40"/>
      <c r="B8409" s="40"/>
    </row>
    <row r="8410" spans="1:2" x14ac:dyDescent="0.2">
      <c r="A8410" s="40"/>
      <c r="B8410" s="40"/>
    </row>
    <row r="8411" spans="1:2" x14ac:dyDescent="0.2">
      <c r="A8411" s="40"/>
      <c r="B8411" s="40"/>
    </row>
    <row r="8412" spans="1:2" x14ac:dyDescent="0.2">
      <c r="A8412" s="40"/>
      <c r="B8412" s="40"/>
    </row>
    <row r="8413" spans="1:2" x14ac:dyDescent="0.2">
      <c r="A8413" s="40"/>
      <c r="B8413" s="40"/>
    </row>
    <row r="8414" spans="1:2" x14ac:dyDescent="0.2">
      <c r="A8414" s="40"/>
      <c r="B8414" s="40"/>
    </row>
    <row r="8415" spans="1:2" x14ac:dyDescent="0.2">
      <c r="A8415" s="40"/>
      <c r="B8415" s="40"/>
    </row>
    <row r="8416" spans="1:2" x14ac:dyDescent="0.2">
      <c r="A8416" s="40"/>
      <c r="B8416" s="40"/>
    </row>
    <row r="8417" spans="1:2" x14ac:dyDescent="0.2">
      <c r="A8417" s="40"/>
      <c r="B8417" s="40"/>
    </row>
    <row r="8418" spans="1:2" x14ac:dyDescent="0.2">
      <c r="A8418" s="40"/>
      <c r="B8418" s="40"/>
    </row>
    <row r="8419" spans="1:2" x14ac:dyDescent="0.2">
      <c r="A8419" s="40"/>
      <c r="B8419" s="40"/>
    </row>
    <row r="8420" spans="1:2" x14ac:dyDescent="0.2">
      <c r="A8420" s="40"/>
      <c r="B8420" s="40"/>
    </row>
    <row r="8421" spans="1:2" x14ac:dyDescent="0.2">
      <c r="A8421" s="40"/>
      <c r="B8421" s="40"/>
    </row>
    <row r="8422" spans="1:2" x14ac:dyDescent="0.2">
      <c r="A8422" s="40"/>
      <c r="B8422" s="40"/>
    </row>
    <row r="8423" spans="1:2" x14ac:dyDescent="0.2">
      <c r="A8423" s="40"/>
      <c r="B8423" s="40"/>
    </row>
    <row r="8424" spans="1:2" x14ac:dyDescent="0.2">
      <c r="A8424" s="40"/>
      <c r="B8424" s="40"/>
    </row>
    <row r="8425" spans="1:2" x14ac:dyDescent="0.2">
      <c r="A8425" s="40"/>
      <c r="B8425" s="40"/>
    </row>
    <row r="8426" spans="1:2" x14ac:dyDescent="0.2">
      <c r="A8426" s="40"/>
      <c r="B8426" s="40"/>
    </row>
    <row r="8427" spans="1:2" x14ac:dyDescent="0.2">
      <c r="A8427" s="40"/>
      <c r="B8427" s="40"/>
    </row>
    <row r="8428" spans="1:2" x14ac:dyDescent="0.2">
      <c r="A8428" s="40"/>
      <c r="B8428" s="40"/>
    </row>
    <row r="8429" spans="1:2" x14ac:dyDescent="0.2">
      <c r="A8429" s="40"/>
      <c r="B8429" s="40"/>
    </row>
    <row r="8430" spans="1:2" x14ac:dyDescent="0.2">
      <c r="A8430" s="40"/>
      <c r="B8430" s="40"/>
    </row>
    <row r="8431" spans="1:2" x14ac:dyDescent="0.2">
      <c r="A8431" s="40"/>
      <c r="B8431" s="40"/>
    </row>
    <row r="8432" spans="1:2" x14ac:dyDescent="0.2">
      <c r="A8432" s="40"/>
      <c r="B8432" s="40"/>
    </row>
    <row r="8433" spans="1:2" x14ac:dyDescent="0.2">
      <c r="A8433" s="40"/>
      <c r="B8433" s="40"/>
    </row>
    <row r="8434" spans="1:2" x14ac:dyDescent="0.2">
      <c r="A8434" s="40"/>
      <c r="B8434" s="40"/>
    </row>
    <row r="8435" spans="1:2" x14ac:dyDescent="0.2">
      <c r="A8435" s="40"/>
      <c r="B8435" s="40"/>
    </row>
    <row r="8436" spans="1:2" x14ac:dyDescent="0.2">
      <c r="A8436" s="40"/>
      <c r="B8436" s="40"/>
    </row>
    <row r="8437" spans="1:2" x14ac:dyDescent="0.2">
      <c r="A8437" s="40"/>
      <c r="B8437" s="40"/>
    </row>
    <row r="8438" spans="1:2" x14ac:dyDescent="0.2">
      <c r="A8438" s="40"/>
      <c r="B8438" s="40"/>
    </row>
    <row r="8439" spans="1:2" x14ac:dyDescent="0.2">
      <c r="A8439" s="40"/>
      <c r="B8439" s="40"/>
    </row>
    <row r="8440" spans="1:2" x14ac:dyDescent="0.2">
      <c r="A8440" s="40"/>
      <c r="B8440" s="40"/>
    </row>
    <row r="8441" spans="1:2" x14ac:dyDescent="0.2">
      <c r="A8441" s="40"/>
      <c r="B8441" s="40"/>
    </row>
    <row r="8442" spans="1:2" x14ac:dyDescent="0.2">
      <c r="A8442" s="40"/>
      <c r="B8442" s="40"/>
    </row>
    <row r="8443" spans="1:2" x14ac:dyDescent="0.2">
      <c r="A8443" s="40"/>
      <c r="B8443" s="40"/>
    </row>
    <row r="8444" spans="1:2" x14ac:dyDescent="0.2">
      <c r="A8444" s="40"/>
      <c r="B8444" s="40"/>
    </row>
    <row r="8445" spans="1:2" x14ac:dyDescent="0.2">
      <c r="A8445" s="40"/>
      <c r="B8445" s="40"/>
    </row>
    <row r="8446" spans="1:2" x14ac:dyDescent="0.2">
      <c r="A8446" s="40"/>
      <c r="B8446" s="40"/>
    </row>
    <row r="8447" spans="1:2" x14ac:dyDescent="0.2">
      <c r="A8447" s="40"/>
      <c r="B8447" s="40"/>
    </row>
    <row r="8448" spans="1:2" x14ac:dyDescent="0.2">
      <c r="A8448" s="40"/>
      <c r="B8448" s="40"/>
    </row>
    <row r="8449" spans="1:2" x14ac:dyDescent="0.2">
      <c r="A8449" s="40"/>
      <c r="B8449" s="40"/>
    </row>
    <row r="8450" spans="1:2" x14ac:dyDescent="0.2">
      <c r="A8450" s="40"/>
      <c r="B8450" s="40"/>
    </row>
    <row r="8451" spans="1:2" x14ac:dyDescent="0.2">
      <c r="A8451" s="40"/>
      <c r="B8451" s="40"/>
    </row>
    <row r="8452" spans="1:2" x14ac:dyDescent="0.2">
      <c r="A8452" s="40"/>
      <c r="B8452" s="40"/>
    </row>
    <row r="8453" spans="1:2" x14ac:dyDescent="0.2">
      <c r="A8453" s="40"/>
      <c r="B8453" s="40"/>
    </row>
    <row r="8454" spans="1:2" x14ac:dyDescent="0.2">
      <c r="A8454" s="40"/>
      <c r="B8454" s="40"/>
    </row>
    <row r="8455" spans="1:2" x14ac:dyDescent="0.2">
      <c r="A8455" s="40"/>
      <c r="B8455" s="40"/>
    </row>
    <row r="8456" spans="1:2" x14ac:dyDescent="0.2">
      <c r="A8456" s="40"/>
      <c r="B8456" s="40"/>
    </row>
    <row r="8457" spans="1:2" x14ac:dyDescent="0.2">
      <c r="A8457" s="40"/>
      <c r="B8457" s="40"/>
    </row>
    <row r="8458" spans="1:2" x14ac:dyDescent="0.2">
      <c r="A8458" s="40"/>
      <c r="B8458" s="40"/>
    </row>
    <row r="8459" spans="1:2" x14ac:dyDescent="0.2">
      <c r="A8459" s="40"/>
      <c r="B8459" s="40"/>
    </row>
    <row r="8460" spans="1:2" x14ac:dyDescent="0.2">
      <c r="A8460" s="40"/>
      <c r="B8460" s="40"/>
    </row>
    <row r="8461" spans="1:2" x14ac:dyDescent="0.2">
      <c r="A8461" s="40"/>
      <c r="B8461" s="40"/>
    </row>
    <row r="8462" spans="1:2" x14ac:dyDescent="0.2">
      <c r="A8462" s="40"/>
      <c r="B8462" s="40"/>
    </row>
    <row r="8463" spans="1:2" x14ac:dyDescent="0.2">
      <c r="A8463" s="40"/>
      <c r="B8463" s="40"/>
    </row>
    <row r="8464" spans="1:2" x14ac:dyDescent="0.2">
      <c r="A8464" s="40"/>
      <c r="B8464" s="40"/>
    </row>
    <row r="8465" spans="1:2" x14ac:dyDescent="0.2">
      <c r="A8465" s="40"/>
      <c r="B8465" s="40"/>
    </row>
    <row r="8466" spans="1:2" x14ac:dyDescent="0.2">
      <c r="A8466" s="40"/>
      <c r="B8466" s="40"/>
    </row>
    <row r="8467" spans="1:2" x14ac:dyDescent="0.2">
      <c r="A8467" s="40"/>
      <c r="B8467" s="40"/>
    </row>
    <row r="8468" spans="1:2" x14ac:dyDescent="0.2">
      <c r="A8468" s="40"/>
      <c r="B8468" s="40"/>
    </row>
    <row r="8469" spans="1:2" x14ac:dyDescent="0.2">
      <c r="A8469" s="40"/>
      <c r="B8469" s="40"/>
    </row>
    <row r="8470" spans="1:2" x14ac:dyDescent="0.2">
      <c r="A8470" s="40"/>
      <c r="B8470" s="40"/>
    </row>
    <row r="8471" spans="1:2" x14ac:dyDescent="0.2">
      <c r="A8471" s="40"/>
      <c r="B8471" s="40"/>
    </row>
    <row r="8472" spans="1:2" x14ac:dyDescent="0.2">
      <c r="A8472" s="40"/>
      <c r="B8472" s="40"/>
    </row>
    <row r="8473" spans="1:2" x14ac:dyDescent="0.2">
      <c r="A8473" s="40"/>
      <c r="B8473" s="40"/>
    </row>
    <row r="8474" spans="1:2" x14ac:dyDescent="0.2">
      <c r="A8474" s="40"/>
      <c r="B8474" s="40"/>
    </row>
    <row r="8475" spans="1:2" x14ac:dyDescent="0.2">
      <c r="A8475" s="40"/>
      <c r="B8475" s="40"/>
    </row>
    <row r="8476" spans="1:2" x14ac:dyDescent="0.2">
      <c r="A8476" s="40"/>
      <c r="B8476" s="40"/>
    </row>
    <row r="8477" spans="1:2" x14ac:dyDescent="0.2">
      <c r="A8477" s="40"/>
      <c r="B8477" s="40"/>
    </row>
    <row r="8478" spans="1:2" x14ac:dyDescent="0.2">
      <c r="A8478" s="40"/>
      <c r="B8478" s="40"/>
    </row>
    <row r="8479" spans="1:2" x14ac:dyDescent="0.2">
      <c r="A8479" s="40"/>
      <c r="B8479" s="40"/>
    </row>
    <row r="8480" spans="1:2" x14ac:dyDescent="0.2">
      <c r="A8480" s="40"/>
      <c r="B8480" s="40"/>
    </row>
    <row r="8481" spans="1:2" x14ac:dyDescent="0.2">
      <c r="A8481" s="40"/>
      <c r="B8481" s="40"/>
    </row>
    <row r="8482" spans="1:2" x14ac:dyDescent="0.2">
      <c r="A8482" s="40"/>
      <c r="B8482" s="40"/>
    </row>
    <row r="8483" spans="1:2" x14ac:dyDescent="0.2">
      <c r="A8483" s="40"/>
      <c r="B8483" s="40"/>
    </row>
    <row r="8484" spans="1:2" x14ac:dyDescent="0.2">
      <c r="A8484" s="40"/>
      <c r="B8484" s="40"/>
    </row>
    <row r="8485" spans="1:2" x14ac:dyDescent="0.2">
      <c r="A8485" s="40"/>
      <c r="B8485" s="40"/>
    </row>
    <row r="8486" spans="1:2" x14ac:dyDescent="0.2">
      <c r="A8486" s="40"/>
      <c r="B8486" s="40"/>
    </row>
    <row r="8487" spans="1:2" x14ac:dyDescent="0.2">
      <c r="A8487" s="40"/>
      <c r="B8487" s="40"/>
    </row>
    <row r="8488" spans="1:2" x14ac:dyDescent="0.2">
      <c r="A8488" s="40"/>
      <c r="B8488" s="40"/>
    </row>
    <row r="8489" spans="1:2" x14ac:dyDescent="0.2">
      <c r="A8489" s="40"/>
      <c r="B8489" s="40"/>
    </row>
    <row r="8490" spans="1:2" x14ac:dyDescent="0.2">
      <c r="A8490" s="40"/>
      <c r="B8490" s="40"/>
    </row>
    <row r="8491" spans="1:2" x14ac:dyDescent="0.2">
      <c r="A8491" s="40"/>
      <c r="B8491" s="40"/>
    </row>
    <row r="8492" spans="1:2" x14ac:dyDescent="0.2">
      <c r="A8492" s="40"/>
      <c r="B8492" s="40"/>
    </row>
    <row r="8493" spans="1:2" x14ac:dyDescent="0.2">
      <c r="A8493" s="40"/>
      <c r="B8493" s="40"/>
    </row>
    <row r="8494" spans="1:2" x14ac:dyDescent="0.2">
      <c r="A8494" s="40"/>
      <c r="B8494" s="40"/>
    </row>
    <row r="8495" spans="1:2" x14ac:dyDescent="0.2">
      <c r="A8495" s="40"/>
      <c r="B8495" s="40"/>
    </row>
    <row r="8496" spans="1:2" x14ac:dyDescent="0.2">
      <c r="A8496" s="40"/>
      <c r="B8496" s="40"/>
    </row>
    <row r="8497" spans="1:2" x14ac:dyDescent="0.2">
      <c r="A8497" s="40"/>
      <c r="B8497" s="40"/>
    </row>
    <row r="8498" spans="1:2" x14ac:dyDescent="0.2">
      <c r="A8498" s="40"/>
      <c r="B8498" s="40"/>
    </row>
    <row r="8499" spans="1:2" x14ac:dyDescent="0.2">
      <c r="A8499" s="40"/>
      <c r="B8499" s="40"/>
    </row>
    <row r="8500" spans="1:2" x14ac:dyDescent="0.2">
      <c r="A8500" s="40"/>
      <c r="B8500" s="40"/>
    </row>
    <row r="8501" spans="1:2" x14ac:dyDescent="0.2">
      <c r="A8501" s="40"/>
      <c r="B8501" s="40"/>
    </row>
    <row r="8502" spans="1:2" x14ac:dyDescent="0.2">
      <c r="A8502" s="40"/>
      <c r="B8502" s="40"/>
    </row>
    <row r="8503" spans="1:2" x14ac:dyDescent="0.2">
      <c r="A8503" s="40"/>
      <c r="B8503" s="40"/>
    </row>
    <row r="8504" spans="1:2" x14ac:dyDescent="0.2">
      <c r="A8504" s="40"/>
      <c r="B8504" s="40"/>
    </row>
    <row r="8505" spans="1:2" x14ac:dyDescent="0.2">
      <c r="A8505" s="40"/>
      <c r="B8505" s="40"/>
    </row>
    <row r="8506" spans="1:2" x14ac:dyDescent="0.2">
      <c r="A8506" s="40"/>
      <c r="B8506" s="40"/>
    </row>
    <row r="8507" spans="1:2" x14ac:dyDescent="0.2">
      <c r="A8507" s="40"/>
      <c r="B8507" s="40"/>
    </row>
    <row r="8508" spans="1:2" x14ac:dyDescent="0.2">
      <c r="A8508" s="40"/>
      <c r="B8508" s="40"/>
    </row>
    <row r="8509" spans="1:2" x14ac:dyDescent="0.2">
      <c r="A8509" s="40"/>
      <c r="B8509" s="40"/>
    </row>
    <row r="8510" spans="1:2" x14ac:dyDescent="0.2">
      <c r="A8510" s="40"/>
      <c r="B8510" s="40"/>
    </row>
    <row r="8511" spans="1:2" x14ac:dyDescent="0.2">
      <c r="A8511" s="40"/>
      <c r="B8511" s="40"/>
    </row>
    <row r="8512" spans="1:2" x14ac:dyDescent="0.2">
      <c r="A8512" s="40"/>
      <c r="B8512" s="40"/>
    </row>
    <row r="8513" spans="1:2" x14ac:dyDescent="0.2">
      <c r="A8513" s="40"/>
      <c r="B8513" s="40"/>
    </row>
    <row r="8514" spans="1:2" x14ac:dyDescent="0.2">
      <c r="A8514" s="40"/>
      <c r="B8514" s="40"/>
    </row>
    <row r="8515" spans="1:2" x14ac:dyDescent="0.2">
      <c r="A8515" s="40"/>
      <c r="B8515" s="40"/>
    </row>
    <row r="8516" spans="1:2" x14ac:dyDescent="0.2">
      <c r="A8516" s="40"/>
      <c r="B8516" s="40"/>
    </row>
    <row r="8517" spans="1:2" x14ac:dyDescent="0.2">
      <c r="A8517" s="40"/>
      <c r="B8517" s="40"/>
    </row>
    <row r="8518" spans="1:2" x14ac:dyDescent="0.2">
      <c r="A8518" s="40"/>
      <c r="B8518" s="40"/>
    </row>
    <row r="8519" spans="1:2" x14ac:dyDescent="0.2">
      <c r="A8519" s="40"/>
      <c r="B8519" s="40"/>
    </row>
    <row r="8520" spans="1:2" x14ac:dyDescent="0.2">
      <c r="A8520" s="40"/>
      <c r="B8520" s="40"/>
    </row>
    <row r="8521" spans="1:2" x14ac:dyDescent="0.2">
      <c r="A8521" s="40"/>
      <c r="B8521" s="40"/>
    </row>
    <row r="8522" spans="1:2" x14ac:dyDescent="0.2">
      <c r="A8522" s="40"/>
      <c r="B8522" s="40"/>
    </row>
    <row r="8523" spans="1:2" x14ac:dyDescent="0.2">
      <c r="A8523" s="40"/>
      <c r="B8523" s="40"/>
    </row>
    <row r="8524" spans="1:2" x14ac:dyDescent="0.2">
      <c r="A8524" s="40"/>
      <c r="B8524" s="40"/>
    </row>
    <row r="8525" spans="1:2" x14ac:dyDescent="0.2">
      <c r="A8525" s="40"/>
      <c r="B8525" s="40"/>
    </row>
    <row r="8526" spans="1:2" x14ac:dyDescent="0.2">
      <c r="A8526" s="40"/>
      <c r="B8526" s="40"/>
    </row>
    <row r="8527" spans="1:2" x14ac:dyDescent="0.2">
      <c r="A8527" s="40"/>
      <c r="B8527" s="40"/>
    </row>
    <row r="8528" spans="1:2" x14ac:dyDescent="0.2">
      <c r="A8528" s="40"/>
      <c r="B8528" s="40"/>
    </row>
    <row r="8529" spans="1:2" x14ac:dyDescent="0.2">
      <c r="A8529" s="40"/>
      <c r="B8529" s="40"/>
    </row>
    <row r="8530" spans="1:2" x14ac:dyDescent="0.2">
      <c r="A8530" s="40"/>
      <c r="B8530" s="40"/>
    </row>
    <row r="8531" spans="1:2" x14ac:dyDescent="0.2">
      <c r="A8531" s="40"/>
      <c r="B8531" s="40"/>
    </row>
    <row r="8532" spans="1:2" x14ac:dyDescent="0.2">
      <c r="A8532" s="40"/>
      <c r="B8532" s="40"/>
    </row>
    <row r="8533" spans="1:2" x14ac:dyDescent="0.2">
      <c r="A8533" s="40"/>
      <c r="B8533" s="40"/>
    </row>
    <row r="8534" spans="1:2" x14ac:dyDescent="0.2">
      <c r="A8534" s="40"/>
      <c r="B8534" s="40"/>
    </row>
    <row r="8535" spans="1:2" x14ac:dyDescent="0.2">
      <c r="A8535" s="40"/>
      <c r="B8535" s="40"/>
    </row>
    <row r="8536" spans="1:2" x14ac:dyDescent="0.2">
      <c r="A8536" s="40"/>
      <c r="B8536" s="40"/>
    </row>
    <row r="8537" spans="1:2" x14ac:dyDescent="0.2">
      <c r="A8537" s="40"/>
      <c r="B8537" s="40"/>
    </row>
    <row r="8538" spans="1:2" x14ac:dyDescent="0.2">
      <c r="A8538" s="40"/>
      <c r="B8538" s="40"/>
    </row>
    <row r="8539" spans="1:2" x14ac:dyDescent="0.2">
      <c r="A8539" s="40"/>
      <c r="B8539" s="40"/>
    </row>
    <row r="8540" spans="1:2" x14ac:dyDescent="0.2">
      <c r="A8540" s="40"/>
      <c r="B8540" s="40"/>
    </row>
    <row r="8541" spans="1:2" x14ac:dyDescent="0.2">
      <c r="A8541" s="40"/>
      <c r="B8541" s="40"/>
    </row>
    <row r="8542" spans="1:2" x14ac:dyDescent="0.2">
      <c r="A8542" s="40"/>
      <c r="B8542" s="40"/>
    </row>
    <row r="8543" spans="1:2" x14ac:dyDescent="0.2">
      <c r="A8543" s="40"/>
      <c r="B8543" s="40"/>
    </row>
    <row r="8544" spans="1:2" x14ac:dyDescent="0.2">
      <c r="A8544" s="40"/>
      <c r="B8544" s="40"/>
    </row>
    <row r="8545" spans="1:2" x14ac:dyDescent="0.2">
      <c r="A8545" s="40"/>
      <c r="B8545" s="40"/>
    </row>
    <row r="8546" spans="1:2" x14ac:dyDescent="0.2">
      <c r="A8546" s="40"/>
      <c r="B8546" s="40"/>
    </row>
    <row r="8547" spans="1:2" x14ac:dyDescent="0.2">
      <c r="A8547" s="40"/>
      <c r="B8547" s="40"/>
    </row>
    <row r="8548" spans="1:2" x14ac:dyDescent="0.2">
      <c r="A8548" s="40"/>
      <c r="B8548" s="40"/>
    </row>
    <row r="8549" spans="1:2" x14ac:dyDescent="0.2">
      <c r="A8549" s="40"/>
      <c r="B8549" s="40"/>
    </row>
    <row r="8550" spans="1:2" x14ac:dyDescent="0.2">
      <c r="A8550" s="40"/>
      <c r="B8550" s="40"/>
    </row>
    <row r="8551" spans="1:2" x14ac:dyDescent="0.2">
      <c r="A8551" s="40"/>
      <c r="B8551" s="40"/>
    </row>
    <row r="8552" spans="1:2" x14ac:dyDescent="0.2">
      <c r="A8552" s="40"/>
      <c r="B8552" s="40"/>
    </row>
    <row r="8553" spans="1:2" x14ac:dyDescent="0.2">
      <c r="A8553" s="40"/>
      <c r="B8553" s="40"/>
    </row>
    <row r="8554" spans="1:2" x14ac:dyDescent="0.2">
      <c r="A8554" s="40"/>
      <c r="B8554" s="40"/>
    </row>
    <row r="8555" spans="1:2" x14ac:dyDescent="0.2">
      <c r="A8555" s="40"/>
      <c r="B8555" s="40"/>
    </row>
    <row r="8556" spans="1:2" x14ac:dyDescent="0.2">
      <c r="A8556" s="40"/>
      <c r="B8556" s="40"/>
    </row>
    <row r="8557" spans="1:2" x14ac:dyDescent="0.2">
      <c r="A8557" s="40"/>
      <c r="B8557" s="40"/>
    </row>
    <row r="8558" spans="1:2" x14ac:dyDescent="0.2">
      <c r="A8558" s="40"/>
      <c r="B8558" s="40"/>
    </row>
    <row r="8559" spans="1:2" x14ac:dyDescent="0.2">
      <c r="A8559" s="40"/>
      <c r="B8559" s="40"/>
    </row>
    <row r="8560" spans="1:2" x14ac:dyDescent="0.2">
      <c r="A8560" s="40"/>
      <c r="B8560" s="40"/>
    </row>
    <row r="8561" spans="1:2" x14ac:dyDescent="0.2">
      <c r="A8561" s="40"/>
      <c r="B8561" s="40"/>
    </row>
    <row r="8562" spans="1:2" x14ac:dyDescent="0.2">
      <c r="A8562" s="40"/>
      <c r="B8562" s="40"/>
    </row>
    <row r="8563" spans="1:2" x14ac:dyDescent="0.2">
      <c r="A8563" s="40"/>
      <c r="B8563" s="40"/>
    </row>
    <row r="8564" spans="1:2" x14ac:dyDescent="0.2">
      <c r="A8564" s="40"/>
      <c r="B8564" s="40"/>
    </row>
    <row r="8565" spans="1:2" x14ac:dyDescent="0.2">
      <c r="A8565" s="40"/>
      <c r="B8565" s="40"/>
    </row>
    <row r="8566" spans="1:2" x14ac:dyDescent="0.2">
      <c r="A8566" s="40"/>
      <c r="B8566" s="40"/>
    </row>
    <row r="8567" spans="1:2" x14ac:dyDescent="0.2">
      <c r="A8567" s="40"/>
      <c r="B8567" s="40"/>
    </row>
    <row r="8568" spans="1:2" x14ac:dyDescent="0.2">
      <c r="A8568" s="40"/>
      <c r="B8568" s="40"/>
    </row>
    <row r="8569" spans="1:2" x14ac:dyDescent="0.2">
      <c r="A8569" s="40"/>
      <c r="B8569" s="40"/>
    </row>
    <row r="8570" spans="1:2" x14ac:dyDescent="0.2">
      <c r="A8570" s="40"/>
      <c r="B8570" s="40"/>
    </row>
    <row r="8571" spans="1:2" x14ac:dyDescent="0.2">
      <c r="A8571" s="40"/>
      <c r="B8571" s="40"/>
    </row>
    <row r="8572" spans="1:2" x14ac:dyDescent="0.2">
      <c r="A8572" s="40"/>
      <c r="B8572" s="40"/>
    </row>
    <row r="8573" spans="1:2" x14ac:dyDescent="0.2">
      <c r="A8573" s="40"/>
      <c r="B8573" s="40"/>
    </row>
    <row r="8574" spans="1:2" x14ac:dyDescent="0.2">
      <c r="A8574" s="40"/>
      <c r="B8574" s="40"/>
    </row>
    <row r="8575" spans="1:2" x14ac:dyDescent="0.2">
      <c r="A8575" s="40"/>
      <c r="B8575" s="40"/>
    </row>
    <row r="8576" spans="1:2" x14ac:dyDescent="0.2">
      <c r="A8576" s="40"/>
      <c r="B8576" s="40"/>
    </row>
    <row r="8577" spans="1:2" x14ac:dyDescent="0.2">
      <c r="A8577" s="40"/>
      <c r="B8577" s="40"/>
    </row>
    <row r="8578" spans="1:2" x14ac:dyDescent="0.2">
      <c r="A8578" s="40"/>
      <c r="B8578" s="40"/>
    </row>
    <row r="8579" spans="1:2" x14ac:dyDescent="0.2">
      <c r="A8579" s="40"/>
      <c r="B8579" s="40"/>
    </row>
    <row r="8580" spans="1:2" x14ac:dyDescent="0.2">
      <c r="A8580" s="40"/>
      <c r="B8580" s="40"/>
    </row>
    <row r="8581" spans="1:2" x14ac:dyDescent="0.2">
      <c r="A8581" s="40"/>
      <c r="B8581" s="40"/>
    </row>
    <row r="8582" spans="1:2" x14ac:dyDescent="0.2">
      <c r="A8582" s="40"/>
      <c r="B8582" s="40"/>
    </row>
    <row r="8583" spans="1:2" x14ac:dyDescent="0.2">
      <c r="A8583" s="40"/>
      <c r="B8583" s="40"/>
    </row>
    <row r="8584" spans="1:2" x14ac:dyDescent="0.2">
      <c r="A8584" s="40"/>
      <c r="B8584" s="40"/>
    </row>
    <row r="8585" spans="1:2" x14ac:dyDescent="0.2">
      <c r="A8585" s="40"/>
      <c r="B8585" s="40"/>
    </row>
    <row r="8586" spans="1:2" x14ac:dyDescent="0.2">
      <c r="A8586" s="40"/>
      <c r="B8586" s="40"/>
    </row>
    <row r="8587" spans="1:2" x14ac:dyDescent="0.2">
      <c r="A8587" s="40"/>
      <c r="B8587" s="40"/>
    </row>
    <row r="8588" spans="1:2" x14ac:dyDescent="0.2">
      <c r="A8588" s="40"/>
      <c r="B8588" s="40"/>
    </row>
    <row r="8589" spans="1:2" x14ac:dyDescent="0.2">
      <c r="A8589" s="40"/>
      <c r="B8589" s="40"/>
    </row>
    <row r="8590" spans="1:2" x14ac:dyDescent="0.2">
      <c r="A8590" s="40"/>
      <c r="B8590" s="40"/>
    </row>
    <row r="8591" spans="1:2" x14ac:dyDescent="0.2">
      <c r="A8591" s="40"/>
      <c r="B8591" s="40"/>
    </row>
    <row r="8592" spans="1:2" x14ac:dyDescent="0.2">
      <c r="A8592" s="40"/>
      <c r="B8592" s="40"/>
    </row>
    <row r="8593" spans="1:2" x14ac:dyDescent="0.2">
      <c r="A8593" s="40"/>
      <c r="B8593" s="40"/>
    </row>
    <row r="8594" spans="1:2" x14ac:dyDescent="0.2">
      <c r="A8594" s="40"/>
      <c r="B8594" s="40"/>
    </row>
    <row r="8595" spans="1:2" x14ac:dyDescent="0.2">
      <c r="A8595" s="40"/>
      <c r="B8595" s="40"/>
    </row>
    <row r="8596" spans="1:2" x14ac:dyDescent="0.2">
      <c r="A8596" s="40"/>
      <c r="B8596" s="40"/>
    </row>
    <row r="8597" spans="1:2" x14ac:dyDescent="0.2">
      <c r="A8597" s="40"/>
      <c r="B8597" s="40"/>
    </row>
    <row r="8598" spans="1:2" x14ac:dyDescent="0.2">
      <c r="A8598" s="40"/>
      <c r="B8598" s="40"/>
    </row>
    <row r="8599" spans="1:2" x14ac:dyDescent="0.2">
      <c r="A8599" s="40"/>
      <c r="B8599" s="40"/>
    </row>
    <row r="8600" spans="1:2" x14ac:dyDescent="0.2">
      <c r="A8600" s="40"/>
      <c r="B8600" s="40"/>
    </row>
    <row r="8601" spans="1:2" x14ac:dyDescent="0.2">
      <c r="A8601" s="40"/>
      <c r="B8601" s="40"/>
    </row>
    <row r="8602" spans="1:2" x14ac:dyDescent="0.2">
      <c r="A8602" s="40"/>
      <c r="B8602" s="40"/>
    </row>
    <row r="8603" spans="1:2" x14ac:dyDescent="0.2">
      <c r="A8603" s="40"/>
      <c r="B8603" s="40"/>
    </row>
    <row r="8604" spans="1:2" x14ac:dyDescent="0.2">
      <c r="A8604" s="40"/>
      <c r="B8604" s="40"/>
    </row>
    <row r="8605" spans="1:2" x14ac:dyDescent="0.2">
      <c r="A8605" s="40"/>
      <c r="B8605" s="40"/>
    </row>
    <row r="8606" spans="1:2" x14ac:dyDescent="0.2">
      <c r="A8606" s="40"/>
      <c r="B8606" s="40"/>
    </row>
    <row r="8607" spans="1:2" x14ac:dyDescent="0.2">
      <c r="A8607" s="40"/>
      <c r="B8607" s="40"/>
    </row>
    <row r="8608" spans="1:2" x14ac:dyDescent="0.2">
      <c r="A8608" s="40"/>
      <c r="B8608" s="40"/>
    </row>
    <row r="8609" spans="1:2" x14ac:dyDescent="0.2">
      <c r="A8609" s="40"/>
      <c r="B8609" s="40"/>
    </row>
    <row r="8610" spans="1:2" x14ac:dyDescent="0.2">
      <c r="A8610" s="40"/>
      <c r="B8610" s="40"/>
    </row>
    <row r="8611" spans="1:2" x14ac:dyDescent="0.2">
      <c r="A8611" s="40"/>
      <c r="B8611" s="40"/>
    </row>
    <row r="8612" spans="1:2" x14ac:dyDescent="0.2">
      <c r="A8612" s="40"/>
      <c r="B8612" s="40"/>
    </row>
    <row r="8613" spans="1:2" x14ac:dyDescent="0.2">
      <c r="A8613" s="40"/>
      <c r="B8613" s="40"/>
    </row>
    <row r="8614" spans="1:2" x14ac:dyDescent="0.2">
      <c r="A8614" s="40"/>
      <c r="B8614" s="40"/>
    </row>
    <row r="8615" spans="1:2" x14ac:dyDescent="0.2">
      <c r="A8615" s="40"/>
      <c r="B8615" s="40"/>
    </row>
    <row r="8616" spans="1:2" x14ac:dyDescent="0.2">
      <c r="A8616" s="40"/>
      <c r="B8616" s="40"/>
    </row>
    <row r="8617" spans="1:2" x14ac:dyDescent="0.2">
      <c r="A8617" s="40"/>
      <c r="B8617" s="40"/>
    </row>
    <row r="8618" spans="1:2" x14ac:dyDescent="0.2">
      <c r="A8618" s="40"/>
      <c r="B8618" s="40"/>
    </row>
    <row r="8619" spans="1:2" x14ac:dyDescent="0.2">
      <c r="A8619" s="40"/>
      <c r="B8619" s="40"/>
    </row>
    <row r="8620" spans="1:2" x14ac:dyDescent="0.2">
      <c r="A8620" s="40"/>
      <c r="B8620" s="40"/>
    </row>
    <row r="8621" spans="1:2" x14ac:dyDescent="0.2">
      <c r="A8621" s="40"/>
      <c r="B8621" s="40"/>
    </row>
    <row r="8622" spans="1:2" x14ac:dyDescent="0.2">
      <c r="A8622" s="40"/>
      <c r="B8622" s="40"/>
    </row>
    <row r="8623" spans="1:2" x14ac:dyDescent="0.2">
      <c r="A8623" s="40"/>
      <c r="B8623" s="40"/>
    </row>
    <row r="8624" spans="1:2" x14ac:dyDescent="0.2">
      <c r="A8624" s="40"/>
      <c r="B8624" s="40"/>
    </row>
    <row r="8625" spans="1:2" x14ac:dyDescent="0.2">
      <c r="A8625" s="40"/>
      <c r="B8625" s="40"/>
    </row>
    <row r="8626" spans="1:2" x14ac:dyDescent="0.2">
      <c r="A8626" s="40"/>
      <c r="B8626" s="40"/>
    </row>
    <row r="8627" spans="1:2" x14ac:dyDescent="0.2">
      <c r="A8627" s="40"/>
      <c r="B8627" s="40"/>
    </row>
    <row r="8628" spans="1:2" x14ac:dyDescent="0.2">
      <c r="A8628" s="40"/>
      <c r="B8628" s="40"/>
    </row>
    <row r="8629" spans="1:2" x14ac:dyDescent="0.2">
      <c r="A8629" s="40"/>
      <c r="B8629" s="40"/>
    </row>
    <row r="8630" spans="1:2" x14ac:dyDescent="0.2">
      <c r="A8630" s="40"/>
      <c r="B8630" s="40"/>
    </row>
    <row r="8631" spans="1:2" x14ac:dyDescent="0.2">
      <c r="A8631" s="40"/>
      <c r="B8631" s="40"/>
    </row>
    <row r="8632" spans="1:2" x14ac:dyDescent="0.2">
      <c r="A8632" s="40"/>
      <c r="B8632" s="40"/>
    </row>
    <row r="8633" spans="1:2" x14ac:dyDescent="0.2">
      <c r="A8633" s="40"/>
      <c r="B8633" s="40"/>
    </row>
    <row r="8634" spans="1:2" x14ac:dyDescent="0.2">
      <c r="A8634" s="40"/>
      <c r="B8634" s="40"/>
    </row>
    <row r="8635" spans="1:2" x14ac:dyDescent="0.2">
      <c r="A8635" s="40"/>
      <c r="B8635" s="40"/>
    </row>
    <row r="8636" spans="1:2" x14ac:dyDescent="0.2">
      <c r="A8636" s="40"/>
      <c r="B8636" s="40"/>
    </row>
    <row r="8637" spans="1:2" x14ac:dyDescent="0.2">
      <c r="A8637" s="40"/>
      <c r="B8637" s="40"/>
    </row>
    <row r="8638" spans="1:2" x14ac:dyDescent="0.2">
      <c r="A8638" s="40"/>
      <c r="B8638" s="40"/>
    </row>
    <row r="8639" spans="1:2" x14ac:dyDescent="0.2">
      <c r="A8639" s="40"/>
      <c r="B8639" s="40"/>
    </row>
    <row r="8640" spans="1:2" x14ac:dyDescent="0.2">
      <c r="A8640" s="40"/>
      <c r="B8640" s="40"/>
    </row>
    <row r="8641" spans="1:2" x14ac:dyDescent="0.2">
      <c r="A8641" s="40"/>
      <c r="B8641" s="40"/>
    </row>
    <row r="8642" spans="1:2" x14ac:dyDescent="0.2">
      <c r="A8642" s="40"/>
      <c r="B8642" s="40"/>
    </row>
    <row r="8643" spans="1:2" x14ac:dyDescent="0.2">
      <c r="A8643" s="40"/>
      <c r="B8643" s="40"/>
    </row>
    <row r="8644" spans="1:2" x14ac:dyDescent="0.2">
      <c r="A8644" s="40"/>
      <c r="B8644" s="40"/>
    </row>
    <row r="8645" spans="1:2" x14ac:dyDescent="0.2">
      <c r="A8645" s="40"/>
      <c r="B8645" s="40"/>
    </row>
    <row r="8646" spans="1:2" x14ac:dyDescent="0.2">
      <c r="A8646" s="40"/>
      <c r="B8646" s="40"/>
    </row>
    <row r="8647" spans="1:2" x14ac:dyDescent="0.2">
      <c r="A8647" s="40"/>
      <c r="B8647" s="40"/>
    </row>
    <row r="8648" spans="1:2" x14ac:dyDescent="0.2">
      <c r="A8648" s="40"/>
      <c r="B8648" s="40"/>
    </row>
    <row r="8649" spans="1:2" x14ac:dyDescent="0.2">
      <c r="A8649" s="40"/>
      <c r="B8649" s="40"/>
    </row>
    <row r="8650" spans="1:2" x14ac:dyDescent="0.2">
      <c r="A8650" s="40"/>
      <c r="B8650" s="40"/>
    </row>
    <row r="8651" spans="1:2" x14ac:dyDescent="0.2">
      <c r="A8651" s="40"/>
      <c r="B8651" s="40"/>
    </row>
    <row r="8652" spans="1:2" x14ac:dyDescent="0.2">
      <c r="A8652" s="40"/>
      <c r="B8652" s="40"/>
    </row>
    <row r="8653" spans="1:2" x14ac:dyDescent="0.2">
      <c r="A8653" s="40"/>
      <c r="B8653" s="40"/>
    </row>
    <row r="8654" spans="1:2" x14ac:dyDescent="0.2">
      <c r="A8654" s="40"/>
      <c r="B8654" s="40"/>
    </row>
    <row r="8655" spans="1:2" x14ac:dyDescent="0.2">
      <c r="A8655" s="40"/>
      <c r="B8655" s="40"/>
    </row>
    <row r="8656" spans="1:2" x14ac:dyDescent="0.2">
      <c r="A8656" s="40"/>
      <c r="B8656" s="40"/>
    </row>
    <row r="8657" spans="1:2" x14ac:dyDescent="0.2">
      <c r="A8657" s="40"/>
      <c r="B8657" s="40"/>
    </row>
    <row r="8658" spans="1:2" x14ac:dyDescent="0.2">
      <c r="A8658" s="40"/>
      <c r="B8658" s="40"/>
    </row>
    <row r="8659" spans="1:2" x14ac:dyDescent="0.2">
      <c r="A8659" s="40"/>
      <c r="B8659" s="40"/>
    </row>
    <row r="8660" spans="1:2" x14ac:dyDescent="0.2">
      <c r="A8660" s="40"/>
      <c r="B8660" s="40"/>
    </row>
    <row r="8661" spans="1:2" x14ac:dyDescent="0.2">
      <c r="A8661" s="40"/>
      <c r="B8661" s="40"/>
    </row>
    <row r="8662" spans="1:2" x14ac:dyDescent="0.2">
      <c r="A8662" s="40"/>
      <c r="B8662" s="40"/>
    </row>
    <row r="8663" spans="1:2" x14ac:dyDescent="0.2">
      <c r="A8663" s="40"/>
      <c r="B8663" s="40"/>
    </row>
    <row r="8664" spans="1:2" x14ac:dyDescent="0.2">
      <c r="A8664" s="40"/>
      <c r="B8664" s="40"/>
    </row>
    <row r="8665" spans="1:2" x14ac:dyDescent="0.2">
      <c r="A8665" s="40"/>
      <c r="B8665" s="40"/>
    </row>
    <row r="8666" spans="1:2" x14ac:dyDescent="0.2">
      <c r="A8666" s="40"/>
      <c r="B8666" s="40"/>
    </row>
    <row r="8667" spans="1:2" x14ac:dyDescent="0.2">
      <c r="A8667" s="40"/>
      <c r="B8667" s="40"/>
    </row>
    <row r="8668" spans="1:2" x14ac:dyDescent="0.2">
      <c r="A8668" s="40"/>
      <c r="B8668" s="40"/>
    </row>
    <row r="8669" spans="1:2" x14ac:dyDescent="0.2">
      <c r="A8669" s="40"/>
      <c r="B8669" s="40"/>
    </row>
    <row r="8670" spans="1:2" x14ac:dyDescent="0.2">
      <c r="A8670" s="40"/>
      <c r="B8670" s="40"/>
    </row>
    <row r="8671" spans="1:2" x14ac:dyDescent="0.2">
      <c r="A8671" s="40"/>
      <c r="B8671" s="40"/>
    </row>
    <row r="8672" spans="1:2" x14ac:dyDescent="0.2">
      <c r="A8672" s="40"/>
      <c r="B8672" s="40"/>
    </row>
    <row r="8673" spans="1:2" x14ac:dyDescent="0.2">
      <c r="A8673" s="40"/>
      <c r="B8673" s="40"/>
    </row>
    <row r="8674" spans="1:2" x14ac:dyDescent="0.2">
      <c r="A8674" s="40"/>
      <c r="B8674" s="40"/>
    </row>
    <row r="8675" spans="1:2" x14ac:dyDescent="0.2">
      <c r="A8675" s="40"/>
      <c r="B8675" s="40"/>
    </row>
    <row r="8676" spans="1:2" x14ac:dyDescent="0.2">
      <c r="A8676" s="40"/>
      <c r="B8676" s="40"/>
    </row>
    <row r="8677" spans="1:2" x14ac:dyDescent="0.2">
      <c r="A8677" s="40"/>
      <c r="B8677" s="40"/>
    </row>
    <row r="8678" spans="1:2" x14ac:dyDescent="0.2">
      <c r="A8678" s="40"/>
      <c r="B8678" s="40"/>
    </row>
    <row r="8679" spans="1:2" x14ac:dyDescent="0.2">
      <c r="A8679" s="40"/>
      <c r="B8679" s="40"/>
    </row>
    <row r="8680" spans="1:2" x14ac:dyDescent="0.2">
      <c r="A8680" s="40"/>
      <c r="B8680" s="40"/>
    </row>
    <row r="8681" spans="1:2" x14ac:dyDescent="0.2">
      <c r="A8681" s="40"/>
      <c r="B8681" s="40"/>
    </row>
    <row r="8682" spans="1:2" x14ac:dyDescent="0.2">
      <c r="A8682" s="40"/>
      <c r="B8682" s="40"/>
    </row>
    <row r="8683" spans="1:2" x14ac:dyDescent="0.2">
      <c r="A8683" s="40"/>
      <c r="B8683" s="40"/>
    </row>
    <row r="8684" spans="1:2" x14ac:dyDescent="0.2">
      <c r="A8684" s="40"/>
      <c r="B8684" s="40"/>
    </row>
    <row r="8685" spans="1:2" x14ac:dyDescent="0.2">
      <c r="A8685" s="40"/>
      <c r="B8685" s="40"/>
    </row>
    <row r="8686" spans="1:2" x14ac:dyDescent="0.2">
      <c r="A8686" s="40"/>
      <c r="B8686" s="40"/>
    </row>
    <row r="8687" spans="1:2" x14ac:dyDescent="0.2">
      <c r="A8687" s="40"/>
      <c r="B8687" s="40"/>
    </row>
    <row r="8688" spans="1:2" x14ac:dyDescent="0.2">
      <c r="A8688" s="40"/>
      <c r="B8688" s="40"/>
    </row>
    <row r="8689" spans="1:2" x14ac:dyDescent="0.2">
      <c r="A8689" s="40"/>
      <c r="B8689" s="40"/>
    </row>
    <row r="8690" spans="1:2" x14ac:dyDescent="0.2">
      <c r="A8690" s="40"/>
      <c r="B8690" s="40"/>
    </row>
    <row r="8691" spans="1:2" x14ac:dyDescent="0.2">
      <c r="A8691" s="40"/>
      <c r="B8691" s="40"/>
    </row>
    <row r="8692" spans="1:2" x14ac:dyDescent="0.2">
      <c r="A8692" s="40"/>
      <c r="B8692" s="40"/>
    </row>
    <row r="8693" spans="1:2" x14ac:dyDescent="0.2">
      <c r="A8693" s="40"/>
      <c r="B8693" s="40"/>
    </row>
    <row r="8694" spans="1:2" x14ac:dyDescent="0.2">
      <c r="A8694" s="40"/>
      <c r="B8694" s="40"/>
    </row>
    <row r="8695" spans="1:2" x14ac:dyDescent="0.2">
      <c r="A8695" s="40"/>
      <c r="B8695" s="40"/>
    </row>
    <row r="8696" spans="1:2" x14ac:dyDescent="0.2">
      <c r="A8696" s="40"/>
      <c r="B8696" s="40"/>
    </row>
    <row r="8697" spans="1:2" x14ac:dyDescent="0.2">
      <c r="A8697" s="40"/>
      <c r="B8697" s="40"/>
    </row>
    <row r="8698" spans="1:2" x14ac:dyDescent="0.2">
      <c r="A8698" s="40"/>
      <c r="B8698" s="40"/>
    </row>
    <row r="8699" spans="1:2" x14ac:dyDescent="0.2">
      <c r="A8699" s="40"/>
      <c r="B8699" s="40"/>
    </row>
    <row r="8700" spans="1:2" x14ac:dyDescent="0.2">
      <c r="A8700" s="40"/>
      <c r="B8700" s="40"/>
    </row>
    <row r="8701" spans="1:2" x14ac:dyDescent="0.2">
      <c r="A8701" s="40"/>
      <c r="B8701" s="40"/>
    </row>
    <row r="8702" spans="1:2" x14ac:dyDescent="0.2">
      <c r="A8702" s="40"/>
      <c r="B8702" s="40"/>
    </row>
    <row r="8703" spans="1:2" x14ac:dyDescent="0.2">
      <c r="A8703" s="40"/>
      <c r="B8703" s="40"/>
    </row>
    <row r="8704" spans="1:2" x14ac:dyDescent="0.2">
      <c r="A8704" s="40"/>
      <c r="B8704" s="40"/>
    </row>
    <row r="8705" spans="1:2" x14ac:dyDescent="0.2">
      <c r="A8705" s="40"/>
      <c r="B8705" s="40"/>
    </row>
    <row r="8706" spans="1:2" x14ac:dyDescent="0.2">
      <c r="A8706" s="40"/>
      <c r="B8706" s="40"/>
    </row>
    <row r="8707" spans="1:2" x14ac:dyDescent="0.2">
      <c r="A8707" s="40"/>
      <c r="B8707" s="40"/>
    </row>
    <row r="8708" spans="1:2" x14ac:dyDescent="0.2">
      <c r="A8708" s="40"/>
      <c r="B8708" s="40"/>
    </row>
    <row r="8709" spans="1:2" x14ac:dyDescent="0.2">
      <c r="A8709" s="40"/>
      <c r="B8709" s="40"/>
    </row>
    <row r="8710" spans="1:2" x14ac:dyDescent="0.2">
      <c r="A8710" s="40"/>
      <c r="B8710" s="40"/>
    </row>
    <row r="8711" spans="1:2" x14ac:dyDescent="0.2">
      <c r="A8711" s="40"/>
      <c r="B8711" s="40"/>
    </row>
    <row r="8712" spans="1:2" x14ac:dyDescent="0.2">
      <c r="A8712" s="40"/>
      <c r="B8712" s="40"/>
    </row>
    <row r="8713" spans="1:2" x14ac:dyDescent="0.2">
      <c r="A8713" s="40"/>
      <c r="B8713" s="40"/>
    </row>
    <row r="8714" spans="1:2" x14ac:dyDescent="0.2">
      <c r="A8714" s="40"/>
      <c r="B8714" s="40"/>
    </row>
    <row r="8715" spans="1:2" x14ac:dyDescent="0.2">
      <c r="A8715" s="40"/>
      <c r="B8715" s="40"/>
    </row>
    <row r="8716" spans="1:2" x14ac:dyDescent="0.2">
      <c r="A8716" s="40"/>
      <c r="B8716" s="40"/>
    </row>
    <row r="8717" spans="1:2" x14ac:dyDescent="0.2">
      <c r="A8717" s="40"/>
      <c r="B8717" s="40"/>
    </row>
    <row r="8718" spans="1:2" x14ac:dyDescent="0.2">
      <c r="A8718" s="40"/>
      <c r="B8718" s="40"/>
    </row>
    <row r="8719" spans="1:2" x14ac:dyDescent="0.2">
      <c r="A8719" s="40"/>
      <c r="B8719" s="40"/>
    </row>
    <row r="8720" spans="1:2" x14ac:dyDescent="0.2">
      <c r="A8720" s="40"/>
      <c r="B8720" s="40"/>
    </row>
    <row r="8721" spans="1:2" x14ac:dyDescent="0.2">
      <c r="A8721" s="40"/>
      <c r="B8721" s="40"/>
    </row>
    <row r="8722" spans="1:2" x14ac:dyDescent="0.2">
      <c r="A8722" s="40"/>
      <c r="B8722" s="40"/>
    </row>
    <row r="8723" spans="1:2" x14ac:dyDescent="0.2">
      <c r="A8723" s="40"/>
      <c r="B8723" s="40"/>
    </row>
    <row r="8724" spans="1:2" x14ac:dyDescent="0.2">
      <c r="A8724" s="40"/>
      <c r="B8724" s="40"/>
    </row>
    <row r="8725" spans="1:2" x14ac:dyDescent="0.2">
      <c r="A8725" s="40"/>
      <c r="B8725" s="40"/>
    </row>
    <row r="8726" spans="1:2" x14ac:dyDescent="0.2">
      <c r="A8726" s="40"/>
      <c r="B8726" s="40"/>
    </row>
    <row r="8727" spans="1:2" x14ac:dyDescent="0.2">
      <c r="A8727" s="40"/>
      <c r="B8727" s="40"/>
    </row>
    <row r="8728" spans="1:2" x14ac:dyDescent="0.2">
      <c r="A8728" s="40"/>
      <c r="B8728" s="40"/>
    </row>
    <row r="8729" spans="1:2" x14ac:dyDescent="0.2">
      <c r="A8729" s="40"/>
      <c r="B8729" s="40"/>
    </row>
    <row r="8730" spans="1:2" x14ac:dyDescent="0.2">
      <c r="A8730" s="40"/>
      <c r="B8730" s="40"/>
    </row>
    <row r="8731" spans="1:2" x14ac:dyDescent="0.2">
      <c r="A8731" s="40"/>
      <c r="B8731" s="40"/>
    </row>
    <row r="8732" spans="1:2" x14ac:dyDescent="0.2">
      <c r="A8732" s="40"/>
      <c r="B8732" s="40"/>
    </row>
    <row r="8733" spans="1:2" x14ac:dyDescent="0.2">
      <c r="A8733" s="40"/>
      <c r="B8733" s="40"/>
    </row>
    <row r="8734" spans="1:2" x14ac:dyDescent="0.2">
      <c r="A8734" s="40"/>
      <c r="B8734" s="40"/>
    </row>
    <row r="8735" spans="1:2" x14ac:dyDescent="0.2">
      <c r="A8735" s="40"/>
      <c r="B8735" s="40"/>
    </row>
    <row r="8736" spans="1:2" x14ac:dyDescent="0.2">
      <c r="A8736" s="40"/>
      <c r="B8736" s="40"/>
    </row>
    <row r="8737" spans="1:2" x14ac:dyDescent="0.2">
      <c r="A8737" s="40"/>
      <c r="B8737" s="40"/>
    </row>
    <row r="8738" spans="1:2" x14ac:dyDescent="0.2">
      <c r="A8738" s="40"/>
      <c r="B8738" s="40"/>
    </row>
    <row r="8739" spans="1:2" x14ac:dyDescent="0.2">
      <c r="A8739" s="40"/>
      <c r="B8739" s="40"/>
    </row>
    <row r="8740" spans="1:2" x14ac:dyDescent="0.2">
      <c r="A8740" s="40"/>
      <c r="B8740" s="40"/>
    </row>
    <row r="8741" spans="1:2" x14ac:dyDescent="0.2">
      <c r="A8741" s="40"/>
      <c r="B8741" s="40"/>
    </row>
    <row r="8742" spans="1:2" x14ac:dyDescent="0.2">
      <c r="A8742" s="40"/>
      <c r="B8742" s="40"/>
    </row>
    <row r="8743" spans="1:2" x14ac:dyDescent="0.2">
      <c r="A8743" s="40"/>
      <c r="B8743" s="40"/>
    </row>
    <row r="8744" spans="1:2" x14ac:dyDescent="0.2">
      <c r="A8744" s="40"/>
      <c r="B8744" s="40"/>
    </row>
    <row r="8745" spans="1:2" x14ac:dyDescent="0.2">
      <c r="A8745" s="40"/>
      <c r="B8745" s="40"/>
    </row>
    <row r="8746" spans="1:2" x14ac:dyDescent="0.2">
      <c r="A8746" s="40"/>
      <c r="B8746" s="40"/>
    </row>
    <row r="8747" spans="1:2" x14ac:dyDescent="0.2">
      <c r="A8747" s="40"/>
      <c r="B8747" s="40"/>
    </row>
    <row r="8748" spans="1:2" x14ac:dyDescent="0.2">
      <c r="A8748" s="40"/>
      <c r="B8748" s="40"/>
    </row>
    <row r="8749" spans="1:2" x14ac:dyDescent="0.2">
      <c r="A8749" s="40"/>
      <c r="B8749" s="40"/>
    </row>
    <row r="8750" spans="1:2" x14ac:dyDescent="0.2">
      <c r="A8750" s="40"/>
      <c r="B8750" s="40"/>
    </row>
    <row r="8751" spans="1:2" x14ac:dyDescent="0.2">
      <c r="A8751" s="40"/>
      <c r="B8751" s="40"/>
    </row>
    <row r="8752" spans="1:2" x14ac:dyDescent="0.2">
      <c r="A8752" s="40"/>
      <c r="B8752" s="40"/>
    </row>
    <row r="8753" spans="1:2" x14ac:dyDescent="0.2">
      <c r="A8753" s="40"/>
      <c r="B8753" s="40"/>
    </row>
    <row r="8754" spans="1:2" x14ac:dyDescent="0.2">
      <c r="A8754" s="40"/>
      <c r="B8754" s="40"/>
    </row>
    <row r="8755" spans="1:2" x14ac:dyDescent="0.2">
      <c r="A8755" s="40"/>
      <c r="B8755" s="40"/>
    </row>
    <row r="8756" spans="1:2" x14ac:dyDescent="0.2">
      <c r="A8756" s="40"/>
      <c r="B8756" s="40"/>
    </row>
    <row r="8757" spans="1:2" x14ac:dyDescent="0.2">
      <c r="A8757" s="40"/>
      <c r="B8757" s="40"/>
    </row>
    <row r="8758" spans="1:2" x14ac:dyDescent="0.2">
      <c r="A8758" s="40"/>
      <c r="B8758" s="40"/>
    </row>
    <row r="8759" spans="1:2" x14ac:dyDescent="0.2">
      <c r="A8759" s="40"/>
      <c r="B8759" s="40"/>
    </row>
    <row r="8760" spans="1:2" x14ac:dyDescent="0.2">
      <c r="A8760" s="40"/>
      <c r="B8760" s="40"/>
    </row>
    <row r="8761" spans="1:2" x14ac:dyDescent="0.2">
      <c r="A8761" s="40"/>
      <c r="B8761" s="40"/>
    </row>
    <row r="8762" spans="1:2" x14ac:dyDescent="0.2">
      <c r="A8762" s="40"/>
      <c r="B8762" s="40"/>
    </row>
    <row r="8763" spans="1:2" x14ac:dyDescent="0.2">
      <c r="A8763" s="40"/>
      <c r="B8763" s="40"/>
    </row>
    <row r="8764" spans="1:2" x14ac:dyDescent="0.2">
      <c r="A8764" s="40"/>
      <c r="B8764" s="40"/>
    </row>
    <row r="8765" spans="1:2" x14ac:dyDescent="0.2">
      <c r="A8765" s="40"/>
      <c r="B8765" s="40"/>
    </row>
    <row r="8766" spans="1:2" x14ac:dyDescent="0.2">
      <c r="A8766" s="40"/>
      <c r="B8766" s="40"/>
    </row>
    <row r="8767" spans="1:2" x14ac:dyDescent="0.2">
      <c r="A8767" s="40"/>
      <c r="B8767" s="40"/>
    </row>
    <row r="8768" spans="1:2" x14ac:dyDescent="0.2">
      <c r="A8768" s="40"/>
      <c r="B8768" s="40"/>
    </row>
    <row r="8769" spans="1:2" x14ac:dyDescent="0.2">
      <c r="A8769" s="40"/>
      <c r="B8769" s="40"/>
    </row>
    <row r="8770" spans="1:2" x14ac:dyDescent="0.2">
      <c r="A8770" s="40"/>
      <c r="B8770" s="40"/>
    </row>
    <row r="8771" spans="1:2" x14ac:dyDescent="0.2">
      <c r="A8771" s="40"/>
      <c r="B8771" s="40"/>
    </row>
    <row r="8772" spans="1:2" x14ac:dyDescent="0.2">
      <c r="A8772" s="40"/>
      <c r="B8772" s="40"/>
    </row>
    <row r="8773" spans="1:2" x14ac:dyDescent="0.2">
      <c r="A8773" s="40"/>
      <c r="B8773" s="40"/>
    </row>
    <row r="8774" spans="1:2" x14ac:dyDescent="0.2">
      <c r="A8774" s="40"/>
      <c r="B8774" s="40"/>
    </row>
    <row r="8775" spans="1:2" x14ac:dyDescent="0.2">
      <c r="A8775" s="40"/>
      <c r="B8775" s="40"/>
    </row>
    <row r="8776" spans="1:2" x14ac:dyDescent="0.2">
      <c r="A8776" s="40"/>
      <c r="B8776" s="40"/>
    </row>
    <row r="8777" spans="1:2" x14ac:dyDescent="0.2">
      <c r="A8777" s="40"/>
      <c r="B8777" s="40"/>
    </row>
    <row r="8778" spans="1:2" x14ac:dyDescent="0.2">
      <c r="A8778" s="40"/>
      <c r="B8778" s="40"/>
    </row>
    <row r="8779" spans="1:2" x14ac:dyDescent="0.2">
      <c r="A8779" s="40"/>
      <c r="B8779" s="40"/>
    </row>
    <row r="8780" spans="1:2" x14ac:dyDescent="0.2">
      <c r="A8780" s="40"/>
      <c r="B8780" s="40"/>
    </row>
    <row r="8781" spans="1:2" x14ac:dyDescent="0.2">
      <c r="A8781" s="40"/>
      <c r="B8781" s="40"/>
    </row>
    <row r="8782" spans="1:2" x14ac:dyDescent="0.2">
      <c r="A8782" s="40"/>
      <c r="B8782" s="40"/>
    </row>
    <row r="8783" spans="1:2" x14ac:dyDescent="0.2">
      <c r="A8783" s="40"/>
      <c r="B8783" s="40"/>
    </row>
    <row r="8784" spans="1:2" x14ac:dyDescent="0.2">
      <c r="A8784" s="40"/>
      <c r="B8784" s="40"/>
    </row>
    <row r="8785" spans="1:2" x14ac:dyDescent="0.2">
      <c r="A8785" s="40"/>
      <c r="B8785" s="40"/>
    </row>
    <row r="8786" spans="1:2" x14ac:dyDescent="0.2">
      <c r="A8786" s="40"/>
      <c r="B8786" s="40"/>
    </row>
    <row r="8787" spans="1:2" x14ac:dyDescent="0.2">
      <c r="A8787" s="40"/>
      <c r="B8787" s="40"/>
    </row>
    <row r="8788" spans="1:2" x14ac:dyDescent="0.2">
      <c r="A8788" s="40"/>
      <c r="B8788" s="40"/>
    </row>
    <row r="8789" spans="1:2" x14ac:dyDescent="0.2">
      <c r="A8789" s="40"/>
      <c r="B8789" s="40"/>
    </row>
    <row r="8790" spans="1:2" x14ac:dyDescent="0.2">
      <c r="A8790" s="40"/>
      <c r="B8790" s="40"/>
    </row>
    <row r="8791" spans="1:2" x14ac:dyDescent="0.2">
      <c r="A8791" s="40"/>
      <c r="B8791" s="40"/>
    </row>
    <row r="8792" spans="1:2" x14ac:dyDescent="0.2">
      <c r="A8792" s="40"/>
      <c r="B8792" s="40"/>
    </row>
    <row r="8793" spans="1:2" x14ac:dyDescent="0.2">
      <c r="A8793" s="40"/>
      <c r="B8793" s="40"/>
    </row>
    <row r="8794" spans="1:2" x14ac:dyDescent="0.2">
      <c r="A8794" s="40"/>
      <c r="B8794" s="40"/>
    </row>
    <row r="8795" spans="1:2" x14ac:dyDescent="0.2">
      <c r="A8795" s="40"/>
      <c r="B8795" s="40"/>
    </row>
    <row r="8796" spans="1:2" x14ac:dyDescent="0.2">
      <c r="A8796" s="40"/>
      <c r="B8796" s="40"/>
    </row>
    <row r="8797" spans="1:2" x14ac:dyDescent="0.2">
      <c r="A8797" s="40"/>
      <c r="B8797" s="40"/>
    </row>
    <row r="8798" spans="1:2" x14ac:dyDescent="0.2">
      <c r="A8798" s="40"/>
      <c r="B8798" s="40"/>
    </row>
    <row r="8799" spans="1:2" x14ac:dyDescent="0.2">
      <c r="A8799" s="40"/>
      <c r="B8799" s="40"/>
    </row>
    <row r="8800" spans="1:2" x14ac:dyDescent="0.2">
      <c r="A8800" s="40"/>
      <c r="B8800" s="40"/>
    </row>
    <row r="8801" spans="1:2" x14ac:dyDescent="0.2">
      <c r="A8801" s="40"/>
      <c r="B8801" s="40"/>
    </row>
    <row r="8802" spans="1:2" x14ac:dyDescent="0.2">
      <c r="A8802" s="40"/>
      <c r="B8802" s="40"/>
    </row>
    <row r="8803" spans="1:2" x14ac:dyDescent="0.2">
      <c r="A8803" s="40"/>
      <c r="B8803" s="40"/>
    </row>
    <row r="8804" spans="1:2" x14ac:dyDescent="0.2">
      <c r="A8804" s="40"/>
      <c r="B8804" s="40"/>
    </row>
    <row r="8805" spans="1:2" x14ac:dyDescent="0.2">
      <c r="A8805" s="40"/>
      <c r="B8805" s="40"/>
    </row>
    <row r="8806" spans="1:2" x14ac:dyDescent="0.2">
      <c r="A8806" s="40"/>
      <c r="B8806" s="40"/>
    </row>
    <row r="8807" spans="1:2" x14ac:dyDescent="0.2">
      <c r="A8807" s="40"/>
      <c r="B8807" s="40"/>
    </row>
    <row r="8808" spans="1:2" x14ac:dyDescent="0.2">
      <c r="A8808" s="40"/>
      <c r="B8808" s="40"/>
    </row>
    <row r="8809" spans="1:2" x14ac:dyDescent="0.2">
      <c r="A8809" s="40"/>
      <c r="B8809" s="40"/>
    </row>
    <row r="8810" spans="1:2" x14ac:dyDescent="0.2">
      <c r="A8810" s="40"/>
      <c r="B8810" s="40"/>
    </row>
    <row r="8811" spans="1:2" x14ac:dyDescent="0.2">
      <c r="A8811" s="40"/>
      <c r="B8811" s="40"/>
    </row>
    <row r="8812" spans="1:2" x14ac:dyDescent="0.2">
      <c r="A8812" s="40"/>
      <c r="B8812" s="40"/>
    </row>
    <row r="8813" spans="1:2" x14ac:dyDescent="0.2">
      <c r="A8813" s="40"/>
      <c r="B8813" s="40"/>
    </row>
    <row r="8814" spans="1:2" x14ac:dyDescent="0.2">
      <c r="A8814" s="40"/>
      <c r="B8814" s="40"/>
    </row>
    <row r="8815" spans="1:2" x14ac:dyDescent="0.2">
      <c r="A8815" s="40"/>
      <c r="B8815" s="40"/>
    </row>
    <row r="8816" spans="1:2" x14ac:dyDescent="0.2">
      <c r="A8816" s="40"/>
      <c r="B8816" s="40"/>
    </row>
    <row r="8817" spans="1:2" x14ac:dyDescent="0.2">
      <c r="A8817" s="40"/>
      <c r="B8817" s="40"/>
    </row>
    <row r="8818" spans="1:2" x14ac:dyDescent="0.2">
      <c r="A8818" s="40"/>
      <c r="B8818" s="40"/>
    </row>
    <row r="8819" spans="1:2" x14ac:dyDescent="0.2">
      <c r="A8819" s="40"/>
      <c r="B8819" s="40"/>
    </row>
    <row r="8820" spans="1:2" x14ac:dyDescent="0.2">
      <c r="A8820" s="40"/>
      <c r="B8820" s="40"/>
    </row>
    <row r="8821" spans="1:2" x14ac:dyDescent="0.2">
      <c r="A8821" s="40"/>
      <c r="B8821" s="40"/>
    </row>
    <row r="8822" spans="1:2" x14ac:dyDescent="0.2">
      <c r="A8822" s="40"/>
      <c r="B8822" s="40"/>
    </row>
    <row r="8823" spans="1:2" x14ac:dyDescent="0.2">
      <c r="A8823" s="40"/>
      <c r="B8823" s="40"/>
    </row>
    <row r="8824" spans="1:2" x14ac:dyDescent="0.2">
      <c r="A8824" s="40"/>
      <c r="B8824" s="40"/>
    </row>
    <row r="8825" spans="1:2" x14ac:dyDescent="0.2">
      <c r="A8825" s="40"/>
      <c r="B8825" s="40"/>
    </row>
    <row r="8826" spans="1:2" x14ac:dyDescent="0.2">
      <c r="A8826" s="40"/>
      <c r="B8826" s="40"/>
    </row>
    <row r="8827" spans="1:2" x14ac:dyDescent="0.2">
      <c r="A8827" s="40"/>
      <c r="B8827" s="40"/>
    </row>
    <row r="8828" spans="1:2" x14ac:dyDescent="0.2">
      <c r="A8828" s="40"/>
      <c r="B8828" s="40"/>
    </row>
    <row r="8829" spans="1:2" x14ac:dyDescent="0.2">
      <c r="A8829" s="40"/>
      <c r="B8829" s="40"/>
    </row>
    <row r="8830" spans="1:2" x14ac:dyDescent="0.2">
      <c r="A8830" s="40"/>
      <c r="B8830" s="40"/>
    </row>
    <row r="8831" spans="1:2" x14ac:dyDescent="0.2">
      <c r="A8831" s="40"/>
      <c r="B8831" s="40"/>
    </row>
    <row r="8832" spans="1:2" x14ac:dyDescent="0.2">
      <c r="A8832" s="40"/>
      <c r="B8832" s="40"/>
    </row>
    <row r="8833" spans="1:2" x14ac:dyDescent="0.2">
      <c r="A8833" s="40"/>
      <c r="B8833" s="40"/>
    </row>
    <row r="8834" spans="1:2" x14ac:dyDescent="0.2">
      <c r="A8834" s="40"/>
      <c r="B8834" s="40"/>
    </row>
    <row r="8835" spans="1:2" x14ac:dyDescent="0.2">
      <c r="A8835" s="40"/>
      <c r="B8835" s="40"/>
    </row>
    <row r="8836" spans="1:2" x14ac:dyDescent="0.2">
      <c r="A8836" s="40"/>
      <c r="B8836" s="40"/>
    </row>
    <row r="8837" spans="1:2" x14ac:dyDescent="0.2">
      <c r="A8837" s="40"/>
      <c r="B8837" s="40"/>
    </row>
    <row r="8838" spans="1:2" x14ac:dyDescent="0.2">
      <c r="A8838" s="40"/>
      <c r="B8838" s="40"/>
    </row>
    <row r="8839" spans="1:2" x14ac:dyDescent="0.2">
      <c r="A8839" s="40"/>
      <c r="B8839" s="40"/>
    </row>
    <row r="8840" spans="1:2" x14ac:dyDescent="0.2">
      <c r="A8840" s="40"/>
      <c r="B8840" s="40"/>
    </row>
    <row r="8841" spans="1:2" x14ac:dyDescent="0.2">
      <c r="A8841" s="40"/>
      <c r="B8841" s="40"/>
    </row>
    <row r="8842" spans="1:2" x14ac:dyDescent="0.2">
      <c r="A8842" s="40"/>
      <c r="B8842" s="40"/>
    </row>
    <row r="8843" spans="1:2" x14ac:dyDescent="0.2">
      <c r="A8843" s="40"/>
      <c r="B8843" s="40"/>
    </row>
    <row r="8844" spans="1:2" x14ac:dyDescent="0.2">
      <c r="A8844" s="40"/>
      <c r="B8844" s="40"/>
    </row>
    <row r="8845" spans="1:2" x14ac:dyDescent="0.2">
      <c r="A8845" s="40"/>
      <c r="B8845" s="40"/>
    </row>
    <row r="8846" spans="1:2" x14ac:dyDescent="0.2">
      <c r="A8846" s="40"/>
      <c r="B8846" s="40"/>
    </row>
    <row r="8847" spans="1:2" x14ac:dyDescent="0.2">
      <c r="A8847" s="40"/>
      <c r="B8847" s="40"/>
    </row>
    <row r="8848" spans="1:2" x14ac:dyDescent="0.2">
      <c r="A8848" s="40"/>
      <c r="B8848" s="40"/>
    </row>
    <row r="8849" spans="1:2" x14ac:dyDescent="0.2">
      <c r="A8849" s="40"/>
      <c r="B8849" s="40"/>
    </row>
    <row r="8850" spans="1:2" x14ac:dyDescent="0.2">
      <c r="A8850" s="40"/>
      <c r="B8850" s="40"/>
    </row>
    <row r="8851" spans="1:2" x14ac:dyDescent="0.2">
      <c r="A8851" s="40"/>
      <c r="B8851" s="40"/>
    </row>
    <row r="8852" spans="1:2" x14ac:dyDescent="0.2">
      <c r="A8852" s="40"/>
      <c r="B8852" s="40"/>
    </row>
    <row r="8853" spans="1:2" x14ac:dyDescent="0.2">
      <c r="A8853" s="40"/>
      <c r="B8853" s="40"/>
    </row>
    <row r="8854" spans="1:2" x14ac:dyDescent="0.2">
      <c r="A8854" s="40"/>
      <c r="B8854" s="40"/>
    </row>
    <row r="8855" spans="1:2" x14ac:dyDescent="0.2">
      <c r="A8855" s="40"/>
      <c r="B8855" s="40"/>
    </row>
    <row r="8856" spans="1:2" x14ac:dyDescent="0.2">
      <c r="A8856" s="40"/>
      <c r="B8856" s="40"/>
    </row>
    <row r="8857" spans="1:2" x14ac:dyDescent="0.2">
      <c r="A8857" s="40"/>
      <c r="B8857" s="40"/>
    </row>
    <row r="8858" spans="1:2" x14ac:dyDescent="0.2">
      <c r="A8858" s="40"/>
      <c r="B8858" s="40"/>
    </row>
    <row r="8859" spans="1:2" x14ac:dyDescent="0.2">
      <c r="A8859" s="40"/>
      <c r="B8859" s="40"/>
    </row>
    <row r="8860" spans="1:2" x14ac:dyDescent="0.2">
      <c r="A8860" s="40"/>
      <c r="B8860" s="40"/>
    </row>
    <row r="8861" spans="1:2" x14ac:dyDescent="0.2">
      <c r="A8861" s="40"/>
      <c r="B8861" s="40"/>
    </row>
    <row r="8862" spans="1:2" x14ac:dyDescent="0.2">
      <c r="A8862" s="40"/>
      <c r="B8862" s="40"/>
    </row>
    <row r="8863" spans="1:2" x14ac:dyDescent="0.2">
      <c r="A8863" s="40"/>
      <c r="B8863" s="40"/>
    </row>
    <row r="8864" spans="1:2" x14ac:dyDescent="0.2">
      <c r="A8864" s="40"/>
      <c r="B8864" s="40"/>
    </row>
    <row r="8865" spans="1:2" x14ac:dyDescent="0.2">
      <c r="A8865" s="40"/>
      <c r="B8865" s="40"/>
    </row>
    <row r="8866" spans="1:2" x14ac:dyDescent="0.2">
      <c r="A8866" s="40"/>
      <c r="B8866" s="40"/>
    </row>
    <row r="8867" spans="1:2" x14ac:dyDescent="0.2">
      <c r="A8867" s="40"/>
      <c r="B8867" s="40"/>
    </row>
    <row r="8868" spans="1:2" x14ac:dyDescent="0.2">
      <c r="A8868" s="40"/>
      <c r="B8868" s="40"/>
    </row>
    <row r="8869" spans="1:2" x14ac:dyDescent="0.2">
      <c r="A8869" s="40"/>
      <c r="B8869" s="40"/>
    </row>
    <row r="8870" spans="1:2" x14ac:dyDescent="0.2">
      <c r="A8870" s="40"/>
      <c r="B8870" s="40"/>
    </row>
    <row r="8871" spans="1:2" x14ac:dyDescent="0.2">
      <c r="A8871" s="40"/>
      <c r="B8871" s="40"/>
    </row>
    <row r="8872" spans="1:2" x14ac:dyDescent="0.2">
      <c r="A8872" s="40"/>
      <c r="B8872" s="40"/>
    </row>
    <row r="8873" spans="1:2" x14ac:dyDescent="0.2">
      <c r="A8873" s="40"/>
      <c r="B8873" s="40"/>
    </row>
    <row r="8874" spans="1:2" x14ac:dyDescent="0.2">
      <c r="A8874" s="40"/>
      <c r="B8874" s="40"/>
    </row>
    <row r="8875" spans="1:2" x14ac:dyDescent="0.2">
      <c r="A8875" s="40"/>
      <c r="B8875" s="40"/>
    </row>
    <row r="8876" spans="1:2" x14ac:dyDescent="0.2">
      <c r="A8876" s="40"/>
      <c r="B8876" s="40"/>
    </row>
    <row r="8877" spans="1:2" x14ac:dyDescent="0.2">
      <c r="A8877" s="40"/>
      <c r="B8877" s="40"/>
    </row>
    <row r="8878" spans="1:2" x14ac:dyDescent="0.2">
      <c r="A8878" s="40"/>
      <c r="B8878" s="40"/>
    </row>
    <row r="8879" spans="1:2" x14ac:dyDescent="0.2">
      <c r="A8879" s="40"/>
      <c r="B8879" s="40"/>
    </row>
    <row r="8880" spans="1:2" x14ac:dyDescent="0.2">
      <c r="A8880" s="40"/>
      <c r="B8880" s="40"/>
    </row>
    <row r="8881" spans="1:2" x14ac:dyDescent="0.2">
      <c r="A8881" s="40"/>
      <c r="B8881" s="40"/>
    </row>
    <row r="8882" spans="1:2" x14ac:dyDescent="0.2">
      <c r="A8882" s="40"/>
      <c r="B8882" s="40"/>
    </row>
    <row r="8883" spans="1:2" x14ac:dyDescent="0.2">
      <c r="A8883" s="40"/>
      <c r="B8883" s="40"/>
    </row>
    <row r="8884" spans="1:2" x14ac:dyDescent="0.2">
      <c r="A8884" s="40"/>
      <c r="B8884" s="40"/>
    </row>
    <row r="8885" spans="1:2" x14ac:dyDescent="0.2">
      <c r="A8885" s="40"/>
      <c r="B8885" s="40"/>
    </row>
    <row r="8886" spans="1:2" x14ac:dyDescent="0.2">
      <c r="A8886" s="40"/>
      <c r="B8886" s="40"/>
    </row>
    <row r="8887" spans="1:2" x14ac:dyDescent="0.2">
      <c r="A8887" s="40"/>
      <c r="B8887" s="40"/>
    </row>
    <row r="8888" spans="1:2" x14ac:dyDescent="0.2">
      <c r="A8888" s="40"/>
      <c r="B8888" s="40"/>
    </row>
    <row r="8889" spans="1:2" x14ac:dyDescent="0.2">
      <c r="A8889" s="40"/>
      <c r="B8889" s="40"/>
    </row>
    <row r="8890" spans="1:2" x14ac:dyDescent="0.2">
      <c r="A8890" s="40"/>
      <c r="B8890" s="40"/>
    </row>
    <row r="8891" spans="1:2" x14ac:dyDescent="0.2">
      <c r="A8891" s="40"/>
      <c r="B8891" s="40"/>
    </row>
    <row r="8892" spans="1:2" x14ac:dyDescent="0.2">
      <c r="A8892" s="40"/>
      <c r="B8892" s="40"/>
    </row>
    <row r="8893" spans="1:2" x14ac:dyDescent="0.2">
      <c r="A8893" s="40"/>
      <c r="B8893" s="40"/>
    </row>
    <row r="8894" spans="1:2" x14ac:dyDescent="0.2">
      <c r="A8894" s="40"/>
      <c r="B8894" s="40"/>
    </row>
    <row r="8895" spans="1:2" x14ac:dyDescent="0.2">
      <c r="A8895" s="40"/>
      <c r="B8895" s="40"/>
    </row>
    <row r="8896" spans="1:2" x14ac:dyDescent="0.2">
      <c r="A8896" s="40"/>
      <c r="B8896" s="40"/>
    </row>
    <row r="8897" spans="1:2" x14ac:dyDescent="0.2">
      <c r="A8897" s="40"/>
      <c r="B8897" s="40"/>
    </row>
    <row r="8898" spans="1:2" x14ac:dyDescent="0.2">
      <c r="A8898" s="40"/>
      <c r="B8898" s="40"/>
    </row>
    <row r="8899" spans="1:2" x14ac:dyDescent="0.2">
      <c r="A8899" s="40"/>
      <c r="B8899" s="40"/>
    </row>
    <row r="8900" spans="1:2" x14ac:dyDescent="0.2">
      <c r="A8900" s="40"/>
      <c r="B8900" s="40"/>
    </row>
    <row r="8901" spans="1:2" x14ac:dyDescent="0.2">
      <c r="A8901" s="40"/>
      <c r="B8901" s="40"/>
    </row>
    <row r="8902" spans="1:2" x14ac:dyDescent="0.2">
      <c r="A8902" s="40"/>
      <c r="B8902" s="40"/>
    </row>
    <row r="8903" spans="1:2" x14ac:dyDescent="0.2">
      <c r="A8903" s="40"/>
      <c r="B8903" s="40"/>
    </row>
    <row r="8904" spans="1:2" x14ac:dyDescent="0.2">
      <c r="A8904" s="40"/>
      <c r="B8904" s="40"/>
    </row>
    <row r="8905" spans="1:2" x14ac:dyDescent="0.2">
      <c r="A8905" s="40"/>
      <c r="B8905" s="40"/>
    </row>
    <row r="8906" spans="1:2" x14ac:dyDescent="0.2">
      <c r="A8906" s="40"/>
      <c r="B8906" s="40"/>
    </row>
    <row r="8907" spans="1:2" x14ac:dyDescent="0.2">
      <c r="A8907" s="40"/>
      <c r="B8907" s="40"/>
    </row>
    <row r="8908" spans="1:2" x14ac:dyDescent="0.2">
      <c r="A8908" s="40"/>
      <c r="B8908" s="40"/>
    </row>
    <row r="8909" spans="1:2" x14ac:dyDescent="0.2">
      <c r="A8909" s="40"/>
      <c r="B8909" s="40"/>
    </row>
    <row r="8910" spans="1:2" x14ac:dyDescent="0.2">
      <c r="A8910" s="40"/>
      <c r="B8910" s="40"/>
    </row>
    <row r="8911" spans="1:2" x14ac:dyDescent="0.2">
      <c r="A8911" s="40"/>
      <c r="B8911" s="40"/>
    </row>
    <row r="8912" spans="1:2" x14ac:dyDescent="0.2">
      <c r="A8912" s="40"/>
      <c r="B8912" s="40"/>
    </row>
    <row r="8913" spans="1:2" x14ac:dyDescent="0.2">
      <c r="A8913" s="40"/>
      <c r="B8913" s="40"/>
    </row>
    <row r="8914" spans="1:2" x14ac:dyDescent="0.2">
      <c r="A8914" s="40"/>
      <c r="B8914" s="40"/>
    </row>
    <row r="8915" spans="1:2" x14ac:dyDescent="0.2">
      <c r="A8915" s="40"/>
      <c r="B8915" s="40"/>
    </row>
    <row r="8916" spans="1:2" x14ac:dyDescent="0.2">
      <c r="A8916" s="40"/>
      <c r="B8916" s="40"/>
    </row>
    <row r="8917" spans="1:2" x14ac:dyDescent="0.2">
      <c r="A8917" s="40"/>
      <c r="B8917" s="40"/>
    </row>
    <row r="8918" spans="1:2" x14ac:dyDescent="0.2">
      <c r="A8918" s="40"/>
      <c r="B8918" s="40"/>
    </row>
    <row r="8919" spans="1:2" x14ac:dyDescent="0.2">
      <c r="A8919" s="40"/>
      <c r="B8919" s="40"/>
    </row>
    <row r="8920" spans="1:2" x14ac:dyDescent="0.2">
      <c r="A8920" s="40"/>
      <c r="B8920" s="40"/>
    </row>
    <row r="8921" spans="1:2" x14ac:dyDescent="0.2">
      <c r="A8921" s="40"/>
      <c r="B8921" s="40"/>
    </row>
    <row r="8922" spans="1:2" x14ac:dyDescent="0.2">
      <c r="A8922" s="40"/>
      <c r="B8922" s="40"/>
    </row>
    <row r="8923" spans="1:2" x14ac:dyDescent="0.2">
      <c r="A8923" s="40"/>
      <c r="B8923" s="40"/>
    </row>
    <row r="8924" spans="1:2" x14ac:dyDescent="0.2">
      <c r="A8924" s="40"/>
      <c r="B8924" s="40"/>
    </row>
    <row r="8925" spans="1:2" x14ac:dyDescent="0.2">
      <c r="A8925" s="40"/>
      <c r="B8925" s="40"/>
    </row>
    <row r="8926" spans="1:2" x14ac:dyDescent="0.2">
      <c r="A8926" s="40"/>
      <c r="B8926" s="40"/>
    </row>
    <row r="8927" spans="1:2" x14ac:dyDescent="0.2">
      <c r="A8927" s="40"/>
      <c r="B8927" s="40"/>
    </row>
    <row r="8928" spans="1:2" x14ac:dyDescent="0.2">
      <c r="A8928" s="40"/>
      <c r="B8928" s="40"/>
    </row>
    <row r="8929" spans="1:2" x14ac:dyDescent="0.2">
      <c r="A8929" s="40"/>
      <c r="B8929" s="40"/>
    </row>
    <row r="8930" spans="1:2" x14ac:dyDescent="0.2">
      <c r="A8930" s="40"/>
      <c r="B8930" s="40"/>
    </row>
    <row r="8931" spans="1:2" x14ac:dyDescent="0.2">
      <c r="A8931" s="40"/>
      <c r="B8931" s="40"/>
    </row>
    <row r="8932" spans="1:2" x14ac:dyDescent="0.2">
      <c r="A8932" s="40"/>
      <c r="B8932" s="40"/>
    </row>
    <row r="8933" spans="1:2" x14ac:dyDescent="0.2">
      <c r="A8933" s="40"/>
      <c r="B8933" s="40"/>
    </row>
    <row r="8934" spans="1:2" x14ac:dyDescent="0.2">
      <c r="A8934" s="40"/>
      <c r="B8934" s="40"/>
    </row>
    <row r="8935" spans="1:2" x14ac:dyDescent="0.2">
      <c r="A8935" s="40"/>
      <c r="B8935" s="40"/>
    </row>
    <row r="8936" spans="1:2" x14ac:dyDescent="0.2">
      <c r="A8936" s="40"/>
      <c r="B8936" s="40"/>
    </row>
    <row r="8937" spans="1:2" x14ac:dyDescent="0.2">
      <c r="A8937" s="40"/>
      <c r="B8937" s="40"/>
    </row>
    <row r="8938" spans="1:2" x14ac:dyDescent="0.2">
      <c r="A8938" s="40"/>
      <c r="B8938" s="40"/>
    </row>
    <row r="8939" spans="1:2" x14ac:dyDescent="0.2">
      <c r="A8939" s="40"/>
      <c r="B8939" s="40"/>
    </row>
    <row r="8940" spans="1:2" x14ac:dyDescent="0.2">
      <c r="A8940" s="40"/>
      <c r="B8940" s="40"/>
    </row>
    <row r="8941" spans="1:2" x14ac:dyDescent="0.2">
      <c r="A8941" s="40"/>
      <c r="B8941" s="40"/>
    </row>
    <row r="8942" spans="1:2" x14ac:dyDescent="0.2">
      <c r="A8942" s="40"/>
      <c r="B8942" s="40"/>
    </row>
    <row r="8943" spans="1:2" x14ac:dyDescent="0.2">
      <c r="A8943" s="40"/>
      <c r="B8943" s="40"/>
    </row>
    <row r="8944" spans="1:2" x14ac:dyDescent="0.2">
      <c r="A8944" s="40"/>
      <c r="B8944" s="40"/>
    </row>
    <row r="8945" spans="1:2" x14ac:dyDescent="0.2">
      <c r="A8945" s="40"/>
      <c r="B8945" s="40"/>
    </row>
    <row r="8946" spans="1:2" x14ac:dyDescent="0.2">
      <c r="A8946" s="40"/>
      <c r="B8946" s="40"/>
    </row>
    <row r="8947" spans="1:2" x14ac:dyDescent="0.2">
      <c r="A8947" s="40"/>
      <c r="B8947" s="40"/>
    </row>
    <row r="8948" spans="1:2" x14ac:dyDescent="0.2">
      <c r="A8948" s="40"/>
      <c r="B8948" s="40"/>
    </row>
    <row r="8949" spans="1:2" x14ac:dyDescent="0.2">
      <c r="A8949" s="40"/>
      <c r="B8949" s="40"/>
    </row>
    <row r="8950" spans="1:2" x14ac:dyDescent="0.2">
      <c r="A8950" s="40"/>
      <c r="B8950" s="40"/>
    </row>
    <row r="8951" spans="1:2" x14ac:dyDescent="0.2">
      <c r="A8951" s="40"/>
      <c r="B8951" s="40"/>
    </row>
    <row r="8952" spans="1:2" x14ac:dyDescent="0.2">
      <c r="A8952" s="40"/>
      <c r="B8952" s="40"/>
    </row>
    <row r="8953" spans="1:2" x14ac:dyDescent="0.2">
      <c r="A8953" s="40"/>
      <c r="B8953" s="40"/>
    </row>
    <row r="8954" spans="1:2" x14ac:dyDescent="0.2">
      <c r="A8954" s="40"/>
      <c r="B8954" s="40"/>
    </row>
    <row r="8955" spans="1:2" x14ac:dyDescent="0.2">
      <c r="A8955" s="40"/>
      <c r="B8955" s="40"/>
    </row>
    <row r="8956" spans="1:2" x14ac:dyDescent="0.2">
      <c r="A8956" s="40"/>
      <c r="B8956" s="40"/>
    </row>
    <row r="8957" spans="1:2" x14ac:dyDescent="0.2">
      <c r="A8957" s="40"/>
      <c r="B8957" s="40"/>
    </row>
    <row r="8958" spans="1:2" x14ac:dyDescent="0.2">
      <c r="A8958" s="40"/>
      <c r="B8958" s="40"/>
    </row>
    <row r="8959" spans="1:2" x14ac:dyDescent="0.2">
      <c r="A8959" s="40"/>
      <c r="B8959" s="40"/>
    </row>
    <row r="8960" spans="1:2" x14ac:dyDescent="0.2">
      <c r="A8960" s="40"/>
      <c r="B8960" s="40"/>
    </row>
    <row r="8961" spans="1:2" x14ac:dyDescent="0.2">
      <c r="A8961" s="40"/>
      <c r="B8961" s="40"/>
    </row>
    <row r="8962" spans="1:2" x14ac:dyDescent="0.2">
      <c r="A8962" s="40"/>
      <c r="B8962" s="40"/>
    </row>
    <row r="8963" spans="1:2" x14ac:dyDescent="0.2">
      <c r="A8963" s="40"/>
      <c r="B8963" s="40"/>
    </row>
    <row r="8964" spans="1:2" x14ac:dyDescent="0.2">
      <c r="A8964" s="40"/>
      <c r="B8964" s="40"/>
    </row>
    <row r="8965" spans="1:2" x14ac:dyDescent="0.2">
      <c r="A8965" s="40"/>
      <c r="B8965" s="40"/>
    </row>
    <row r="8966" spans="1:2" x14ac:dyDescent="0.2">
      <c r="A8966" s="40"/>
      <c r="B8966" s="40"/>
    </row>
    <row r="8967" spans="1:2" x14ac:dyDescent="0.2">
      <c r="A8967" s="40"/>
      <c r="B8967" s="40"/>
    </row>
    <row r="8968" spans="1:2" x14ac:dyDescent="0.2">
      <c r="A8968" s="40"/>
      <c r="B8968" s="40"/>
    </row>
    <row r="8969" spans="1:2" x14ac:dyDescent="0.2">
      <c r="A8969" s="40"/>
      <c r="B8969" s="40"/>
    </row>
    <row r="8970" spans="1:2" x14ac:dyDescent="0.2">
      <c r="A8970" s="40"/>
      <c r="B8970" s="40"/>
    </row>
    <row r="8971" spans="1:2" x14ac:dyDescent="0.2">
      <c r="A8971" s="40"/>
      <c r="B8971" s="40"/>
    </row>
    <row r="8972" spans="1:2" x14ac:dyDescent="0.2">
      <c r="A8972" s="40"/>
      <c r="B8972" s="40"/>
    </row>
    <row r="8973" spans="1:2" x14ac:dyDescent="0.2">
      <c r="A8973" s="40"/>
      <c r="B8973" s="40"/>
    </row>
    <row r="8974" spans="1:2" x14ac:dyDescent="0.2">
      <c r="A8974" s="40"/>
      <c r="B8974" s="40"/>
    </row>
    <row r="8975" spans="1:2" x14ac:dyDescent="0.2">
      <c r="A8975" s="40"/>
      <c r="B8975" s="40"/>
    </row>
    <row r="8976" spans="1:2" x14ac:dyDescent="0.2">
      <c r="A8976" s="40"/>
      <c r="B8976" s="40"/>
    </row>
    <row r="8977" spans="1:2" x14ac:dyDescent="0.2">
      <c r="A8977" s="40"/>
      <c r="B8977" s="40"/>
    </row>
    <row r="8978" spans="1:2" x14ac:dyDescent="0.2">
      <c r="A8978" s="40"/>
      <c r="B8978" s="40"/>
    </row>
    <row r="8979" spans="1:2" x14ac:dyDescent="0.2">
      <c r="A8979" s="40"/>
      <c r="B8979" s="40"/>
    </row>
    <row r="8980" spans="1:2" x14ac:dyDescent="0.2">
      <c r="A8980" s="40"/>
      <c r="B8980" s="40"/>
    </row>
    <row r="8981" spans="1:2" x14ac:dyDescent="0.2">
      <c r="A8981" s="40"/>
      <c r="B8981" s="40"/>
    </row>
    <row r="8982" spans="1:2" x14ac:dyDescent="0.2">
      <c r="A8982" s="40"/>
      <c r="B8982" s="40"/>
    </row>
    <row r="8983" spans="1:2" x14ac:dyDescent="0.2">
      <c r="A8983" s="40"/>
      <c r="B8983" s="40"/>
    </row>
    <row r="8984" spans="1:2" x14ac:dyDescent="0.2">
      <c r="A8984" s="40"/>
      <c r="B8984" s="40"/>
    </row>
    <row r="8985" spans="1:2" x14ac:dyDescent="0.2">
      <c r="A8985" s="40"/>
      <c r="B8985" s="40"/>
    </row>
    <row r="8986" spans="1:2" x14ac:dyDescent="0.2">
      <c r="A8986" s="40"/>
      <c r="B8986" s="40"/>
    </row>
    <row r="8987" spans="1:2" x14ac:dyDescent="0.2">
      <c r="A8987" s="40"/>
      <c r="B8987" s="40"/>
    </row>
    <row r="8988" spans="1:2" x14ac:dyDescent="0.2">
      <c r="A8988" s="40"/>
      <c r="B8988" s="40"/>
    </row>
    <row r="8989" spans="1:2" x14ac:dyDescent="0.2">
      <c r="A8989" s="40"/>
      <c r="B8989" s="40"/>
    </row>
    <row r="8990" spans="1:2" x14ac:dyDescent="0.2">
      <c r="A8990" s="40"/>
      <c r="B8990" s="40"/>
    </row>
    <row r="8991" spans="1:2" x14ac:dyDescent="0.2">
      <c r="A8991" s="40"/>
      <c r="B8991" s="40"/>
    </row>
    <row r="8992" spans="1:2" x14ac:dyDescent="0.2">
      <c r="A8992" s="40"/>
      <c r="B8992" s="40"/>
    </row>
    <row r="8993" spans="1:2" x14ac:dyDescent="0.2">
      <c r="A8993" s="40"/>
      <c r="B8993" s="40"/>
    </row>
    <row r="8994" spans="1:2" x14ac:dyDescent="0.2">
      <c r="A8994" s="40"/>
      <c r="B8994" s="40"/>
    </row>
    <row r="8995" spans="1:2" x14ac:dyDescent="0.2">
      <c r="A8995" s="40"/>
      <c r="B8995" s="40"/>
    </row>
    <row r="8996" spans="1:2" x14ac:dyDescent="0.2">
      <c r="A8996" s="40"/>
      <c r="B8996" s="40"/>
    </row>
    <row r="8997" spans="1:2" x14ac:dyDescent="0.2">
      <c r="A8997" s="40"/>
      <c r="B8997" s="40"/>
    </row>
    <row r="8998" spans="1:2" x14ac:dyDescent="0.2">
      <c r="A8998" s="40"/>
      <c r="B8998" s="40"/>
    </row>
    <row r="8999" spans="1:2" x14ac:dyDescent="0.2">
      <c r="A8999" s="40"/>
      <c r="B8999" s="40"/>
    </row>
    <row r="9000" spans="1:2" x14ac:dyDescent="0.2">
      <c r="A9000" s="40"/>
      <c r="B9000" s="40"/>
    </row>
    <row r="9001" spans="1:2" x14ac:dyDescent="0.2">
      <c r="A9001" s="40"/>
      <c r="B9001" s="40"/>
    </row>
    <row r="9002" spans="1:2" x14ac:dyDescent="0.2">
      <c r="A9002" s="40"/>
      <c r="B9002" s="40"/>
    </row>
    <row r="9003" spans="1:2" x14ac:dyDescent="0.2">
      <c r="A9003" s="40"/>
      <c r="B9003" s="40"/>
    </row>
    <row r="9004" spans="1:2" x14ac:dyDescent="0.2">
      <c r="A9004" s="40"/>
      <c r="B9004" s="40"/>
    </row>
    <row r="9005" spans="1:2" x14ac:dyDescent="0.2">
      <c r="A9005" s="40"/>
      <c r="B9005" s="40"/>
    </row>
    <row r="9006" spans="1:2" x14ac:dyDescent="0.2">
      <c r="A9006" s="40"/>
      <c r="B9006" s="40"/>
    </row>
    <row r="9007" spans="1:2" x14ac:dyDescent="0.2">
      <c r="A9007" s="40"/>
      <c r="B9007" s="40"/>
    </row>
    <row r="9008" spans="1:2" x14ac:dyDescent="0.2">
      <c r="A9008" s="40"/>
      <c r="B9008" s="40"/>
    </row>
    <row r="9009" spans="1:2" x14ac:dyDescent="0.2">
      <c r="A9009" s="40"/>
      <c r="B9009" s="40"/>
    </row>
    <row r="9010" spans="1:2" x14ac:dyDescent="0.2">
      <c r="A9010" s="40"/>
      <c r="B9010" s="40"/>
    </row>
    <row r="9011" spans="1:2" x14ac:dyDescent="0.2">
      <c r="A9011" s="40"/>
      <c r="B9011" s="40"/>
    </row>
    <row r="9012" spans="1:2" x14ac:dyDescent="0.2">
      <c r="A9012" s="40"/>
      <c r="B9012" s="40"/>
    </row>
    <row r="9013" spans="1:2" x14ac:dyDescent="0.2">
      <c r="A9013" s="40"/>
      <c r="B9013" s="40"/>
    </row>
    <row r="9014" spans="1:2" x14ac:dyDescent="0.2">
      <c r="A9014" s="40"/>
      <c r="B9014" s="40"/>
    </row>
    <row r="9015" spans="1:2" x14ac:dyDescent="0.2">
      <c r="A9015" s="40"/>
      <c r="B9015" s="40"/>
    </row>
    <row r="9016" spans="1:2" x14ac:dyDescent="0.2">
      <c r="A9016" s="40"/>
      <c r="B9016" s="40"/>
    </row>
    <row r="9017" spans="1:2" x14ac:dyDescent="0.2">
      <c r="A9017" s="40"/>
      <c r="B9017" s="40"/>
    </row>
    <row r="9018" spans="1:2" x14ac:dyDescent="0.2">
      <c r="A9018" s="40"/>
      <c r="B9018" s="40"/>
    </row>
    <row r="9019" spans="1:2" x14ac:dyDescent="0.2">
      <c r="A9019" s="40"/>
      <c r="B9019" s="40"/>
    </row>
    <row r="9020" spans="1:2" x14ac:dyDescent="0.2">
      <c r="A9020" s="40"/>
      <c r="B9020" s="40"/>
    </row>
    <row r="9021" spans="1:2" x14ac:dyDescent="0.2">
      <c r="A9021" s="40"/>
      <c r="B9021" s="40"/>
    </row>
    <row r="9022" spans="1:2" x14ac:dyDescent="0.2">
      <c r="A9022" s="40"/>
      <c r="B9022" s="40"/>
    </row>
    <row r="9023" spans="1:2" x14ac:dyDescent="0.2">
      <c r="A9023" s="40"/>
      <c r="B9023" s="40"/>
    </row>
    <row r="9024" spans="1:2" x14ac:dyDescent="0.2">
      <c r="A9024" s="40"/>
      <c r="B9024" s="40"/>
    </row>
    <row r="9025" spans="1:2" x14ac:dyDescent="0.2">
      <c r="A9025" s="40"/>
      <c r="B9025" s="40"/>
    </row>
    <row r="9026" spans="1:2" x14ac:dyDescent="0.2">
      <c r="A9026" s="40"/>
      <c r="B9026" s="40"/>
    </row>
    <row r="9027" spans="1:2" x14ac:dyDescent="0.2">
      <c r="A9027" s="40"/>
      <c r="B9027" s="40"/>
    </row>
    <row r="9028" spans="1:2" x14ac:dyDescent="0.2">
      <c r="A9028" s="40"/>
      <c r="B9028" s="40"/>
    </row>
    <row r="9029" spans="1:2" x14ac:dyDescent="0.2">
      <c r="A9029" s="40"/>
      <c r="B9029" s="40"/>
    </row>
    <row r="9030" spans="1:2" x14ac:dyDescent="0.2">
      <c r="A9030" s="40"/>
      <c r="B9030" s="40"/>
    </row>
    <row r="9031" spans="1:2" x14ac:dyDescent="0.2">
      <c r="A9031" s="40"/>
      <c r="B9031" s="40"/>
    </row>
    <row r="9032" spans="1:2" x14ac:dyDescent="0.2">
      <c r="A9032" s="40"/>
      <c r="B9032" s="40"/>
    </row>
    <row r="9033" spans="1:2" x14ac:dyDescent="0.2">
      <c r="A9033" s="40"/>
      <c r="B9033" s="40"/>
    </row>
    <row r="9034" spans="1:2" x14ac:dyDescent="0.2">
      <c r="A9034" s="40"/>
      <c r="B9034" s="40"/>
    </row>
    <row r="9035" spans="1:2" x14ac:dyDescent="0.2">
      <c r="A9035" s="40"/>
      <c r="B9035" s="40"/>
    </row>
    <row r="9036" spans="1:2" x14ac:dyDescent="0.2">
      <c r="A9036" s="40"/>
      <c r="B9036" s="40"/>
    </row>
    <row r="9037" spans="1:2" x14ac:dyDescent="0.2">
      <c r="A9037" s="40"/>
      <c r="B9037" s="40"/>
    </row>
    <row r="9038" spans="1:2" x14ac:dyDescent="0.2">
      <c r="A9038" s="40"/>
      <c r="B9038" s="40"/>
    </row>
    <row r="9039" spans="1:2" x14ac:dyDescent="0.2">
      <c r="A9039" s="40"/>
      <c r="B9039" s="40"/>
    </row>
    <row r="9040" spans="1:2" x14ac:dyDescent="0.2">
      <c r="A9040" s="40"/>
      <c r="B9040" s="40"/>
    </row>
    <row r="9041" spans="1:2" x14ac:dyDescent="0.2">
      <c r="A9041" s="40"/>
      <c r="B9041" s="40"/>
    </row>
    <row r="9042" spans="1:2" x14ac:dyDescent="0.2">
      <c r="A9042" s="40"/>
      <c r="B9042" s="40"/>
    </row>
    <row r="9043" spans="1:2" x14ac:dyDescent="0.2">
      <c r="A9043" s="40"/>
      <c r="B9043" s="40"/>
    </row>
    <row r="9044" spans="1:2" x14ac:dyDescent="0.2">
      <c r="A9044" s="40"/>
      <c r="B9044" s="40"/>
    </row>
    <row r="9045" spans="1:2" x14ac:dyDescent="0.2">
      <c r="A9045" s="40"/>
      <c r="B9045" s="40"/>
    </row>
    <row r="9046" spans="1:2" x14ac:dyDescent="0.2">
      <c r="A9046" s="40"/>
      <c r="B9046" s="40"/>
    </row>
    <row r="9047" spans="1:2" x14ac:dyDescent="0.2">
      <c r="A9047" s="40"/>
      <c r="B9047" s="40"/>
    </row>
    <row r="9048" spans="1:2" x14ac:dyDescent="0.2">
      <c r="A9048" s="40"/>
      <c r="B9048" s="40"/>
    </row>
    <row r="9049" spans="1:2" x14ac:dyDescent="0.2">
      <c r="A9049" s="40"/>
      <c r="B9049" s="40"/>
    </row>
    <row r="9050" spans="1:2" x14ac:dyDescent="0.2">
      <c r="A9050" s="40"/>
      <c r="B9050" s="40"/>
    </row>
    <row r="9051" spans="1:2" x14ac:dyDescent="0.2">
      <c r="A9051" s="40"/>
      <c r="B9051" s="40"/>
    </row>
    <row r="9052" spans="1:2" x14ac:dyDescent="0.2">
      <c r="A9052" s="40"/>
      <c r="B9052" s="40"/>
    </row>
    <row r="9053" spans="1:2" x14ac:dyDescent="0.2">
      <c r="A9053" s="40"/>
      <c r="B9053" s="40"/>
    </row>
    <row r="9054" spans="1:2" x14ac:dyDescent="0.2">
      <c r="A9054" s="40"/>
      <c r="B9054" s="40"/>
    </row>
    <row r="9055" spans="1:2" x14ac:dyDescent="0.2">
      <c r="A9055" s="40"/>
      <c r="B9055" s="40"/>
    </row>
    <row r="9056" spans="1:2" x14ac:dyDescent="0.2">
      <c r="A9056" s="40"/>
      <c r="B9056" s="40"/>
    </row>
    <row r="9057" spans="1:2" x14ac:dyDescent="0.2">
      <c r="A9057" s="40"/>
      <c r="B9057" s="40"/>
    </row>
    <row r="9058" spans="1:2" x14ac:dyDescent="0.2">
      <c r="A9058" s="40"/>
      <c r="B9058" s="40"/>
    </row>
    <row r="9059" spans="1:2" x14ac:dyDescent="0.2">
      <c r="A9059" s="40"/>
      <c r="B9059" s="40"/>
    </row>
    <row r="9060" spans="1:2" x14ac:dyDescent="0.2">
      <c r="A9060" s="40"/>
      <c r="B9060" s="40"/>
    </row>
    <row r="9061" spans="1:2" x14ac:dyDescent="0.2">
      <c r="A9061" s="40"/>
      <c r="B9061" s="40"/>
    </row>
    <row r="9062" spans="1:2" x14ac:dyDescent="0.2">
      <c r="A9062" s="40"/>
      <c r="B9062" s="40"/>
    </row>
    <row r="9063" spans="1:2" x14ac:dyDescent="0.2">
      <c r="A9063" s="40"/>
      <c r="B9063" s="40"/>
    </row>
    <row r="9064" spans="1:2" x14ac:dyDescent="0.2">
      <c r="A9064" s="40"/>
      <c r="B9064" s="40"/>
    </row>
    <row r="9065" spans="1:2" x14ac:dyDescent="0.2">
      <c r="A9065" s="40"/>
      <c r="B9065" s="40"/>
    </row>
    <row r="9066" spans="1:2" x14ac:dyDescent="0.2">
      <c r="A9066" s="40"/>
      <c r="B9066" s="40"/>
    </row>
    <row r="9067" spans="1:2" x14ac:dyDescent="0.2">
      <c r="A9067" s="40"/>
      <c r="B9067" s="40"/>
    </row>
    <row r="9068" spans="1:2" x14ac:dyDescent="0.2">
      <c r="A9068" s="40"/>
      <c r="B9068" s="40"/>
    </row>
    <row r="9069" spans="1:2" x14ac:dyDescent="0.2">
      <c r="A9069" s="40"/>
      <c r="B9069" s="40"/>
    </row>
    <row r="9070" spans="1:2" x14ac:dyDescent="0.2">
      <c r="A9070" s="40"/>
      <c r="B9070" s="40"/>
    </row>
    <row r="9071" spans="1:2" x14ac:dyDescent="0.2">
      <c r="A9071" s="40"/>
      <c r="B9071" s="40"/>
    </row>
    <row r="9072" spans="1:2" x14ac:dyDescent="0.2">
      <c r="A9072" s="40"/>
      <c r="B9072" s="40"/>
    </row>
    <row r="9073" spans="1:2" x14ac:dyDescent="0.2">
      <c r="A9073" s="40"/>
      <c r="B9073" s="40"/>
    </row>
    <row r="9074" spans="1:2" x14ac:dyDescent="0.2">
      <c r="A9074" s="40"/>
      <c r="B9074" s="40"/>
    </row>
    <row r="9075" spans="1:2" x14ac:dyDescent="0.2">
      <c r="A9075" s="40"/>
      <c r="B9075" s="40"/>
    </row>
    <row r="9076" spans="1:2" x14ac:dyDescent="0.2">
      <c r="A9076" s="40"/>
      <c r="B9076" s="40"/>
    </row>
    <row r="9077" spans="1:2" x14ac:dyDescent="0.2">
      <c r="A9077" s="40"/>
      <c r="B9077" s="40"/>
    </row>
    <row r="9078" spans="1:2" x14ac:dyDescent="0.2">
      <c r="A9078" s="40"/>
      <c r="B9078" s="40"/>
    </row>
    <row r="9079" spans="1:2" x14ac:dyDescent="0.2">
      <c r="A9079" s="40"/>
      <c r="B9079" s="40"/>
    </row>
    <row r="9080" spans="1:2" x14ac:dyDescent="0.2">
      <c r="A9080" s="40"/>
      <c r="B9080" s="40"/>
    </row>
    <row r="9081" spans="1:2" x14ac:dyDescent="0.2">
      <c r="A9081" s="40"/>
      <c r="B9081" s="40"/>
    </row>
    <row r="9082" spans="1:2" x14ac:dyDescent="0.2">
      <c r="A9082" s="40"/>
      <c r="B9082" s="40"/>
    </row>
    <row r="9083" spans="1:2" x14ac:dyDescent="0.2">
      <c r="A9083" s="40"/>
      <c r="B9083" s="40"/>
    </row>
    <row r="9084" spans="1:2" x14ac:dyDescent="0.2">
      <c r="A9084" s="40"/>
      <c r="B9084" s="40"/>
    </row>
    <row r="9085" spans="1:2" x14ac:dyDescent="0.2">
      <c r="A9085" s="40"/>
      <c r="B9085" s="40"/>
    </row>
    <row r="9086" spans="1:2" x14ac:dyDescent="0.2">
      <c r="A9086" s="40"/>
      <c r="B9086" s="40"/>
    </row>
    <row r="9087" spans="1:2" x14ac:dyDescent="0.2">
      <c r="A9087" s="40"/>
      <c r="B9087" s="40"/>
    </row>
    <row r="9088" spans="1:2" x14ac:dyDescent="0.2">
      <c r="A9088" s="40"/>
      <c r="B9088" s="40"/>
    </row>
    <row r="9089" spans="1:2" x14ac:dyDescent="0.2">
      <c r="A9089" s="40"/>
      <c r="B9089" s="40"/>
    </row>
    <row r="9090" spans="1:2" x14ac:dyDescent="0.2">
      <c r="A9090" s="40"/>
      <c r="B9090" s="40"/>
    </row>
    <row r="9091" spans="1:2" x14ac:dyDescent="0.2">
      <c r="A9091" s="40"/>
      <c r="B9091" s="40"/>
    </row>
    <row r="9092" spans="1:2" x14ac:dyDescent="0.2">
      <c r="A9092" s="40"/>
      <c r="B9092" s="40"/>
    </row>
    <row r="9093" spans="1:2" x14ac:dyDescent="0.2">
      <c r="A9093" s="40"/>
      <c r="B9093" s="40"/>
    </row>
    <row r="9094" spans="1:2" x14ac:dyDescent="0.2">
      <c r="A9094" s="40"/>
      <c r="B9094" s="40"/>
    </row>
    <row r="9095" spans="1:2" x14ac:dyDescent="0.2">
      <c r="A9095" s="40"/>
      <c r="B9095" s="40"/>
    </row>
    <row r="9096" spans="1:2" x14ac:dyDescent="0.2">
      <c r="A9096" s="40"/>
      <c r="B9096" s="40"/>
    </row>
    <row r="9097" spans="1:2" x14ac:dyDescent="0.2">
      <c r="A9097" s="40"/>
      <c r="B9097" s="40"/>
    </row>
    <row r="9098" spans="1:2" x14ac:dyDescent="0.2">
      <c r="A9098" s="40"/>
      <c r="B9098" s="40"/>
    </row>
    <row r="9099" spans="1:2" x14ac:dyDescent="0.2">
      <c r="A9099" s="40"/>
      <c r="B9099" s="40"/>
    </row>
    <row r="9100" spans="1:2" x14ac:dyDescent="0.2">
      <c r="A9100" s="40"/>
      <c r="B9100" s="40"/>
    </row>
    <row r="9101" spans="1:2" x14ac:dyDescent="0.2">
      <c r="A9101" s="40"/>
      <c r="B9101" s="40"/>
    </row>
    <row r="9102" spans="1:2" x14ac:dyDescent="0.2">
      <c r="A9102" s="40"/>
      <c r="B9102" s="40"/>
    </row>
    <row r="9103" spans="1:2" x14ac:dyDescent="0.2">
      <c r="A9103" s="40"/>
      <c r="B9103" s="40"/>
    </row>
    <row r="9104" spans="1:2" x14ac:dyDescent="0.2">
      <c r="A9104" s="40"/>
      <c r="B9104" s="40"/>
    </row>
    <row r="9105" spans="1:2" x14ac:dyDescent="0.2">
      <c r="A9105" s="40"/>
      <c r="B9105" s="40"/>
    </row>
    <row r="9106" spans="1:2" x14ac:dyDescent="0.2">
      <c r="A9106" s="40"/>
      <c r="B9106" s="40"/>
    </row>
    <row r="9107" spans="1:2" x14ac:dyDescent="0.2">
      <c r="A9107" s="40"/>
      <c r="B9107" s="40"/>
    </row>
    <row r="9108" spans="1:2" x14ac:dyDescent="0.2">
      <c r="A9108" s="40"/>
      <c r="B9108" s="40"/>
    </row>
    <row r="9109" spans="1:2" x14ac:dyDescent="0.2">
      <c r="A9109" s="40"/>
      <c r="B9109" s="40"/>
    </row>
    <row r="9110" spans="1:2" x14ac:dyDescent="0.2">
      <c r="A9110" s="40"/>
      <c r="B9110" s="40"/>
    </row>
    <row r="9111" spans="1:2" x14ac:dyDescent="0.2">
      <c r="A9111" s="40"/>
      <c r="B9111" s="40"/>
    </row>
    <row r="9112" spans="1:2" x14ac:dyDescent="0.2">
      <c r="A9112" s="40"/>
      <c r="B9112" s="40"/>
    </row>
    <row r="9113" spans="1:2" x14ac:dyDescent="0.2">
      <c r="A9113" s="40"/>
      <c r="B9113" s="40"/>
    </row>
    <row r="9114" spans="1:2" x14ac:dyDescent="0.2">
      <c r="A9114" s="40"/>
      <c r="B9114" s="40"/>
    </row>
    <row r="9115" spans="1:2" x14ac:dyDescent="0.2">
      <c r="A9115" s="40"/>
      <c r="B9115" s="40"/>
    </row>
    <row r="9116" spans="1:2" x14ac:dyDescent="0.2">
      <c r="A9116" s="40"/>
      <c r="B9116" s="40"/>
    </row>
    <row r="9117" spans="1:2" x14ac:dyDescent="0.2">
      <c r="A9117" s="40"/>
      <c r="B9117" s="40"/>
    </row>
    <row r="9118" spans="1:2" x14ac:dyDescent="0.2">
      <c r="A9118" s="40"/>
      <c r="B9118" s="40"/>
    </row>
    <row r="9119" spans="1:2" x14ac:dyDescent="0.2">
      <c r="A9119" s="40"/>
      <c r="B9119" s="40"/>
    </row>
    <row r="9120" spans="1:2" x14ac:dyDescent="0.2">
      <c r="A9120" s="40"/>
      <c r="B9120" s="40"/>
    </row>
    <row r="9121" spans="1:2" x14ac:dyDescent="0.2">
      <c r="A9121" s="40"/>
      <c r="B9121" s="40"/>
    </row>
    <row r="9122" spans="1:2" x14ac:dyDescent="0.2">
      <c r="A9122" s="40"/>
      <c r="B9122" s="40"/>
    </row>
    <row r="9123" spans="1:2" x14ac:dyDescent="0.2">
      <c r="A9123" s="40"/>
      <c r="B9123" s="40"/>
    </row>
    <row r="9124" spans="1:2" x14ac:dyDescent="0.2">
      <c r="A9124" s="40"/>
      <c r="B9124" s="40"/>
    </row>
    <row r="9125" spans="1:2" x14ac:dyDescent="0.2">
      <c r="A9125" s="40"/>
      <c r="B9125" s="40"/>
    </row>
    <row r="9126" spans="1:2" x14ac:dyDescent="0.2">
      <c r="A9126" s="40"/>
      <c r="B9126" s="40"/>
    </row>
    <row r="9127" spans="1:2" x14ac:dyDescent="0.2">
      <c r="A9127" s="40"/>
      <c r="B9127" s="40"/>
    </row>
    <row r="9128" spans="1:2" x14ac:dyDescent="0.2">
      <c r="A9128" s="40"/>
      <c r="B9128" s="40"/>
    </row>
    <row r="9129" spans="1:2" x14ac:dyDescent="0.2">
      <c r="A9129" s="40"/>
      <c r="B9129" s="40"/>
    </row>
    <row r="9130" spans="1:2" x14ac:dyDescent="0.2">
      <c r="A9130" s="40"/>
      <c r="B9130" s="40"/>
    </row>
    <row r="9131" spans="1:2" x14ac:dyDescent="0.2">
      <c r="A9131" s="40"/>
      <c r="B9131" s="40"/>
    </row>
    <row r="9132" spans="1:2" x14ac:dyDescent="0.2">
      <c r="A9132" s="40"/>
      <c r="B9132" s="40"/>
    </row>
    <row r="9133" spans="1:2" x14ac:dyDescent="0.2">
      <c r="A9133" s="40"/>
      <c r="B9133" s="40"/>
    </row>
    <row r="9134" spans="1:2" x14ac:dyDescent="0.2">
      <c r="A9134" s="40"/>
      <c r="B9134" s="40"/>
    </row>
    <row r="9135" spans="1:2" x14ac:dyDescent="0.2">
      <c r="A9135" s="40"/>
      <c r="B9135" s="40"/>
    </row>
    <row r="9136" spans="1:2" x14ac:dyDescent="0.2">
      <c r="A9136" s="40"/>
      <c r="B9136" s="40"/>
    </row>
    <row r="9137" spans="1:2" x14ac:dyDescent="0.2">
      <c r="A9137" s="40"/>
      <c r="B9137" s="40"/>
    </row>
    <row r="9138" spans="1:2" x14ac:dyDescent="0.2">
      <c r="A9138" s="40"/>
      <c r="B9138" s="40"/>
    </row>
    <row r="9139" spans="1:2" x14ac:dyDescent="0.2">
      <c r="A9139" s="40"/>
      <c r="B9139" s="40"/>
    </row>
    <row r="9140" spans="1:2" x14ac:dyDescent="0.2">
      <c r="A9140" s="40"/>
      <c r="B9140" s="40"/>
    </row>
    <row r="9141" spans="1:2" x14ac:dyDescent="0.2">
      <c r="A9141" s="40"/>
      <c r="B9141" s="40"/>
    </row>
    <row r="9142" spans="1:2" x14ac:dyDescent="0.2">
      <c r="A9142" s="40"/>
      <c r="B9142" s="40"/>
    </row>
    <row r="9143" spans="1:2" x14ac:dyDescent="0.2">
      <c r="A9143" s="40"/>
      <c r="B9143" s="40"/>
    </row>
    <row r="9144" spans="1:2" x14ac:dyDescent="0.2">
      <c r="A9144" s="40"/>
      <c r="B9144" s="40"/>
    </row>
    <row r="9145" spans="1:2" x14ac:dyDescent="0.2">
      <c r="A9145" s="40"/>
      <c r="B9145" s="40"/>
    </row>
    <row r="9146" spans="1:2" x14ac:dyDescent="0.2">
      <c r="A9146" s="40"/>
      <c r="B9146" s="40"/>
    </row>
    <row r="9147" spans="1:2" x14ac:dyDescent="0.2">
      <c r="A9147" s="40"/>
      <c r="B9147" s="40"/>
    </row>
    <row r="9148" spans="1:2" x14ac:dyDescent="0.2">
      <c r="A9148" s="40"/>
      <c r="B9148" s="40"/>
    </row>
    <row r="9149" spans="1:2" x14ac:dyDescent="0.2">
      <c r="A9149" s="40"/>
      <c r="B9149" s="40"/>
    </row>
    <row r="9150" spans="1:2" x14ac:dyDescent="0.2">
      <c r="A9150" s="40"/>
      <c r="B9150" s="40"/>
    </row>
    <row r="9151" spans="1:2" x14ac:dyDescent="0.2">
      <c r="A9151" s="40"/>
      <c r="B9151" s="40"/>
    </row>
    <row r="9152" spans="1:2" x14ac:dyDescent="0.2">
      <c r="A9152" s="40"/>
      <c r="B9152" s="40"/>
    </row>
    <row r="9153" spans="1:2" x14ac:dyDescent="0.2">
      <c r="A9153" s="40"/>
      <c r="B9153" s="40"/>
    </row>
    <row r="9154" spans="1:2" x14ac:dyDescent="0.2">
      <c r="A9154" s="40"/>
      <c r="B9154" s="40"/>
    </row>
    <row r="9155" spans="1:2" x14ac:dyDescent="0.2">
      <c r="A9155" s="40"/>
      <c r="B9155" s="40"/>
    </row>
    <row r="9156" spans="1:2" x14ac:dyDescent="0.2">
      <c r="A9156" s="40"/>
      <c r="B9156" s="40"/>
    </row>
    <row r="9157" spans="1:2" x14ac:dyDescent="0.2">
      <c r="A9157" s="40"/>
      <c r="B9157" s="40"/>
    </row>
    <row r="9158" spans="1:2" x14ac:dyDescent="0.2">
      <c r="A9158" s="40"/>
      <c r="B9158" s="40"/>
    </row>
    <row r="9159" spans="1:2" x14ac:dyDescent="0.2">
      <c r="A9159" s="40"/>
      <c r="B9159" s="40"/>
    </row>
    <row r="9160" spans="1:2" x14ac:dyDescent="0.2">
      <c r="A9160" s="40"/>
      <c r="B9160" s="40"/>
    </row>
    <row r="9161" spans="1:2" x14ac:dyDescent="0.2">
      <c r="A9161" s="40"/>
      <c r="B9161" s="40"/>
    </row>
    <row r="9162" spans="1:2" x14ac:dyDescent="0.2">
      <c r="A9162" s="40"/>
      <c r="B9162" s="40"/>
    </row>
    <row r="9163" spans="1:2" x14ac:dyDescent="0.2">
      <c r="A9163" s="40"/>
      <c r="B9163" s="40"/>
    </row>
    <row r="9164" spans="1:2" x14ac:dyDescent="0.2">
      <c r="A9164" s="40"/>
      <c r="B9164" s="40"/>
    </row>
    <row r="9165" spans="1:2" x14ac:dyDescent="0.2">
      <c r="A9165" s="40"/>
      <c r="B9165" s="40"/>
    </row>
    <row r="9166" spans="1:2" x14ac:dyDescent="0.2">
      <c r="A9166" s="40"/>
      <c r="B9166" s="40"/>
    </row>
    <row r="9167" spans="1:2" x14ac:dyDescent="0.2">
      <c r="A9167" s="40"/>
      <c r="B9167" s="40"/>
    </row>
    <row r="9168" spans="1:2" x14ac:dyDescent="0.2">
      <c r="A9168" s="40"/>
      <c r="B9168" s="40"/>
    </row>
    <row r="9169" spans="1:2" x14ac:dyDescent="0.2">
      <c r="A9169" s="40"/>
      <c r="B9169" s="40"/>
    </row>
    <row r="9170" spans="1:2" x14ac:dyDescent="0.2">
      <c r="A9170" s="40"/>
      <c r="B9170" s="40"/>
    </row>
    <row r="9171" spans="1:2" x14ac:dyDescent="0.2">
      <c r="A9171" s="40"/>
      <c r="B9171" s="40"/>
    </row>
    <row r="9172" spans="1:2" x14ac:dyDescent="0.2">
      <c r="A9172" s="40"/>
      <c r="B9172" s="40"/>
    </row>
    <row r="9173" spans="1:2" x14ac:dyDescent="0.2">
      <c r="A9173" s="40"/>
      <c r="B9173" s="40"/>
    </row>
    <row r="9174" spans="1:2" x14ac:dyDescent="0.2">
      <c r="A9174" s="40"/>
      <c r="B9174" s="40"/>
    </row>
    <row r="9175" spans="1:2" x14ac:dyDescent="0.2">
      <c r="A9175" s="40"/>
      <c r="B9175" s="40"/>
    </row>
    <row r="9176" spans="1:2" x14ac:dyDescent="0.2">
      <c r="A9176" s="40"/>
      <c r="B9176" s="40"/>
    </row>
    <row r="9177" spans="1:2" x14ac:dyDescent="0.2">
      <c r="A9177" s="40"/>
      <c r="B9177" s="40"/>
    </row>
    <row r="9178" spans="1:2" x14ac:dyDescent="0.2">
      <c r="A9178" s="40"/>
      <c r="B9178" s="40"/>
    </row>
    <row r="9179" spans="1:2" x14ac:dyDescent="0.2">
      <c r="A9179" s="40"/>
      <c r="B9179" s="40"/>
    </row>
    <row r="9180" spans="1:2" x14ac:dyDescent="0.2">
      <c r="A9180" s="40"/>
      <c r="B9180" s="40"/>
    </row>
    <row r="9181" spans="1:2" x14ac:dyDescent="0.2">
      <c r="A9181" s="40"/>
      <c r="B9181" s="40"/>
    </row>
    <row r="9182" spans="1:2" x14ac:dyDescent="0.2">
      <c r="A9182" s="40"/>
      <c r="B9182" s="40"/>
    </row>
    <row r="9183" spans="1:2" x14ac:dyDescent="0.2">
      <c r="A9183" s="40"/>
      <c r="B9183" s="40"/>
    </row>
    <row r="9184" spans="1:2" x14ac:dyDescent="0.2">
      <c r="A9184" s="40"/>
      <c r="B9184" s="40"/>
    </row>
    <row r="9185" spans="1:2" x14ac:dyDescent="0.2">
      <c r="A9185" s="40"/>
      <c r="B9185" s="40"/>
    </row>
    <row r="9186" spans="1:2" x14ac:dyDescent="0.2">
      <c r="A9186" s="40"/>
      <c r="B9186" s="40"/>
    </row>
    <row r="9187" spans="1:2" x14ac:dyDescent="0.2">
      <c r="A9187" s="40"/>
      <c r="B9187" s="40"/>
    </row>
    <row r="9188" spans="1:2" x14ac:dyDescent="0.2">
      <c r="A9188" s="40"/>
      <c r="B9188" s="40"/>
    </row>
    <row r="9189" spans="1:2" x14ac:dyDescent="0.2">
      <c r="A9189" s="40"/>
      <c r="B9189" s="40"/>
    </row>
    <row r="9190" spans="1:2" x14ac:dyDescent="0.2">
      <c r="A9190" s="40"/>
      <c r="B9190" s="40"/>
    </row>
    <row r="9191" spans="1:2" x14ac:dyDescent="0.2">
      <c r="A9191" s="40"/>
      <c r="B9191" s="40"/>
    </row>
    <row r="9192" spans="1:2" x14ac:dyDescent="0.2">
      <c r="A9192" s="40"/>
      <c r="B9192" s="40"/>
    </row>
    <row r="9193" spans="1:2" x14ac:dyDescent="0.2">
      <c r="A9193" s="40"/>
      <c r="B9193" s="40"/>
    </row>
    <row r="9194" spans="1:2" x14ac:dyDescent="0.2">
      <c r="A9194" s="40"/>
      <c r="B9194" s="40"/>
    </row>
    <row r="9195" spans="1:2" x14ac:dyDescent="0.2">
      <c r="A9195" s="40"/>
      <c r="B9195" s="40"/>
    </row>
    <row r="9196" spans="1:2" x14ac:dyDescent="0.2">
      <c r="A9196" s="40"/>
      <c r="B9196" s="40"/>
    </row>
    <row r="9197" spans="1:2" x14ac:dyDescent="0.2">
      <c r="A9197" s="40"/>
      <c r="B9197" s="40"/>
    </row>
    <row r="9198" spans="1:2" x14ac:dyDescent="0.2">
      <c r="A9198" s="40"/>
      <c r="B9198" s="40"/>
    </row>
    <row r="9199" spans="1:2" x14ac:dyDescent="0.2">
      <c r="A9199" s="40"/>
      <c r="B9199" s="40"/>
    </row>
    <row r="9200" spans="1:2" x14ac:dyDescent="0.2">
      <c r="A9200" s="40"/>
      <c r="B9200" s="40"/>
    </row>
    <row r="9201" spans="1:2" x14ac:dyDescent="0.2">
      <c r="A9201" s="40"/>
      <c r="B9201" s="40"/>
    </row>
    <row r="9202" spans="1:2" x14ac:dyDescent="0.2">
      <c r="A9202" s="40"/>
      <c r="B9202" s="40"/>
    </row>
    <row r="9203" spans="1:2" x14ac:dyDescent="0.2">
      <c r="A9203" s="40"/>
      <c r="B9203" s="40"/>
    </row>
    <row r="9204" spans="1:2" x14ac:dyDescent="0.2">
      <c r="A9204" s="40"/>
      <c r="B9204" s="40"/>
    </row>
    <row r="9205" spans="1:2" x14ac:dyDescent="0.2">
      <c r="A9205" s="40"/>
      <c r="B9205" s="40"/>
    </row>
    <row r="9206" spans="1:2" x14ac:dyDescent="0.2">
      <c r="A9206" s="40"/>
      <c r="B9206" s="40"/>
    </row>
    <row r="9207" spans="1:2" x14ac:dyDescent="0.2">
      <c r="A9207" s="40"/>
      <c r="B9207" s="40"/>
    </row>
    <row r="9208" spans="1:2" x14ac:dyDescent="0.2">
      <c r="A9208" s="40"/>
      <c r="B9208" s="40"/>
    </row>
    <row r="9209" spans="1:2" x14ac:dyDescent="0.2">
      <c r="A9209" s="40"/>
      <c r="B9209" s="40"/>
    </row>
    <row r="9210" spans="1:2" x14ac:dyDescent="0.2">
      <c r="A9210" s="40"/>
      <c r="B9210" s="40"/>
    </row>
    <row r="9211" spans="1:2" x14ac:dyDescent="0.2">
      <c r="A9211" s="40"/>
      <c r="B9211" s="40"/>
    </row>
    <row r="9212" spans="1:2" x14ac:dyDescent="0.2">
      <c r="A9212" s="40"/>
      <c r="B9212" s="40"/>
    </row>
    <row r="9213" spans="1:2" x14ac:dyDescent="0.2">
      <c r="A9213" s="40"/>
      <c r="B9213" s="40"/>
    </row>
    <row r="9214" spans="1:2" x14ac:dyDescent="0.2">
      <c r="A9214" s="40"/>
      <c r="B9214" s="40"/>
    </row>
    <row r="9215" spans="1:2" x14ac:dyDescent="0.2">
      <c r="A9215" s="40"/>
      <c r="B9215" s="40"/>
    </row>
    <row r="9216" spans="1:2" x14ac:dyDescent="0.2">
      <c r="A9216" s="40"/>
      <c r="B9216" s="40"/>
    </row>
    <row r="9217" spans="1:2" x14ac:dyDescent="0.2">
      <c r="A9217" s="40"/>
      <c r="B9217" s="40"/>
    </row>
    <row r="9218" spans="1:2" x14ac:dyDescent="0.2">
      <c r="A9218" s="40"/>
      <c r="B9218" s="40"/>
    </row>
    <row r="9219" spans="1:2" x14ac:dyDescent="0.2">
      <c r="A9219" s="40"/>
      <c r="B9219" s="40"/>
    </row>
    <row r="9220" spans="1:2" x14ac:dyDescent="0.2">
      <c r="A9220" s="40"/>
      <c r="B9220" s="40"/>
    </row>
    <row r="9221" spans="1:2" x14ac:dyDescent="0.2">
      <c r="A9221" s="40"/>
      <c r="B9221" s="40"/>
    </row>
    <row r="9222" spans="1:2" x14ac:dyDescent="0.2">
      <c r="A9222" s="40"/>
      <c r="B9222" s="40"/>
    </row>
    <row r="9223" spans="1:2" x14ac:dyDescent="0.2">
      <c r="A9223" s="40"/>
      <c r="B9223" s="40"/>
    </row>
    <row r="9224" spans="1:2" x14ac:dyDescent="0.2">
      <c r="A9224" s="40"/>
      <c r="B9224" s="40"/>
    </row>
    <row r="9225" spans="1:2" x14ac:dyDescent="0.2">
      <c r="A9225" s="40"/>
      <c r="B9225" s="40"/>
    </row>
    <row r="9226" spans="1:2" x14ac:dyDescent="0.2">
      <c r="A9226" s="40"/>
      <c r="B9226" s="40"/>
    </row>
    <row r="9227" spans="1:2" x14ac:dyDescent="0.2">
      <c r="A9227" s="40"/>
      <c r="B9227" s="40"/>
    </row>
    <row r="9228" spans="1:2" x14ac:dyDescent="0.2">
      <c r="A9228" s="40"/>
      <c r="B9228" s="40"/>
    </row>
    <row r="9229" spans="1:2" x14ac:dyDescent="0.2">
      <c r="A9229" s="40"/>
      <c r="B9229" s="40"/>
    </row>
    <row r="9230" spans="1:2" x14ac:dyDescent="0.2">
      <c r="A9230" s="40"/>
      <c r="B9230" s="40"/>
    </row>
    <row r="9231" spans="1:2" x14ac:dyDescent="0.2">
      <c r="A9231" s="40"/>
      <c r="B9231" s="40"/>
    </row>
    <row r="9232" spans="1:2" x14ac:dyDescent="0.2">
      <c r="A9232" s="40"/>
      <c r="B9232" s="40"/>
    </row>
    <row r="9233" spans="1:2" x14ac:dyDescent="0.2">
      <c r="A9233" s="40"/>
      <c r="B9233" s="40"/>
    </row>
    <row r="9234" spans="1:2" x14ac:dyDescent="0.2">
      <c r="A9234" s="40"/>
      <c r="B9234" s="40"/>
    </row>
    <row r="9235" spans="1:2" x14ac:dyDescent="0.2">
      <c r="A9235" s="40"/>
      <c r="B9235" s="40"/>
    </row>
    <row r="9236" spans="1:2" x14ac:dyDescent="0.2">
      <c r="A9236" s="40"/>
      <c r="B9236" s="40"/>
    </row>
    <row r="9237" spans="1:2" x14ac:dyDescent="0.2">
      <c r="A9237" s="40"/>
      <c r="B9237" s="40"/>
    </row>
    <row r="9238" spans="1:2" x14ac:dyDescent="0.2">
      <c r="A9238" s="40"/>
      <c r="B9238" s="40"/>
    </row>
    <row r="9239" spans="1:2" x14ac:dyDescent="0.2">
      <c r="A9239" s="40"/>
      <c r="B9239" s="40"/>
    </row>
    <row r="9240" spans="1:2" x14ac:dyDescent="0.2">
      <c r="A9240" s="40"/>
      <c r="B9240" s="40"/>
    </row>
    <row r="9241" spans="1:2" x14ac:dyDescent="0.2">
      <c r="A9241" s="40"/>
      <c r="B9241" s="40"/>
    </row>
    <row r="9242" spans="1:2" x14ac:dyDescent="0.2">
      <c r="A9242" s="40"/>
      <c r="B9242" s="40"/>
    </row>
    <row r="9243" spans="1:2" x14ac:dyDescent="0.2">
      <c r="A9243" s="40"/>
      <c r="B9243" s="40"/>
    </row>
    <row r="9244" spans="1:2" x14ac:dyDescent="0.2">
      <c r="A9244" s="40"/>
      <c r="B9244" s="40"/>
    </row>
    <row r="9245" spans="1:2" x14ac:dyDescent="0.2">
      <c r="A9245" s="40"/>
      <c r="B9245" s="40"/>
    </row>
    <row r="9246" spans="1:2" x14ac:dyDescent="0.2">
      <c r="A9246" s="40"/>
      <c r="B9246" s="40"/>
    </row>
    <row r="9247" spans="1:2" x14ac:dyDescent="0.2">
      <c r="A9247" s="40"/>
      <c r="B9247" s="40"/>
    </row>
    <row r="9248" spans="1:2" x14ac:dyDescent="0.2">
      <c r="A9248" s="40"/>
      <c r="B9248" s="40"/>
    </row>
    <row r="9249" spans="1:2" x14ac:dyDescent="0.2">
      <c r="A9249" s="40"/>
      <c r="B9249" s="40"/>
    </row>
    <row r="9250" spans="1:2" x14ac:dyDescent="0.2">
      <c r="A9250" s="40"/>
      <c r="B9250" s="40"/>
    </row>
    <row r="9251" spans="1:2" x14ac:dyDescent="0.2">
      <c r="A9251" s="40"/>
      <c r="B9251" s="40"/>
    </row>
    <row r="9252" spans="1:2" x14ac:dyDescent="0.2">
      <c r="A9252" s="40"/>
      <c r="B9252" s="40"/>
    </row>
    <row r="9253" spans="1:2" x14ac:dyDescent="0.2">
      <c r="A9253" s="40"/>
      <c r="B9253" s="40"/>
    </row>
    <row r="9254" spans="1:2" x14ac:dyDescent="0.2">
      <c r="A9254" s="40"/>
      <c r="B9254" s="40"/>
    </row>
    <row r="9255" spans="1:2" x14ac:dyDescent="0.2">
      <c r="A9255" s="40"/>
      <c r="B9255" s="40"/>
    </row>
    <row r="9256" spans="1:2" x14ac:dyDescent="0.2">
      <c r="A9256" s="40"/>
      <c r="B9256" s="40"/>
    </row>
    <row r="9257" spans="1:2" x14ac:dyDescent="0.2">
      <c r="A9257" s="40"/>
      <c r="B9257" s="40"/>
    </row>
    <row r="9258" spans="1:2" x14ac:dyDescent="0.2">
      <c r="A9258" s="40"/>
      <c r="B9258" s="40"/>
    </row>
    <row r="9259" spans="1:2" x14ac:dyDescent="0.2">
      <c r="A9259" s="40"/>
      <c r="B9259" s="40"/>
    </row>
    <row r="9260" spans="1:2" x14ac:dyDescent="0.2">
      <c r="A9260" s="40"/>
      <c r="B9260" s="40"/>
    </row>
    <row r="9261" spans="1:2" x14ac:dyDescent="0.2">
      <c r="A9261" s="40"/>
      <c r="B9261" s="40"/>
    </row>
    <row r="9262" spans="1:2" x14ac:dyDescent="0.2">
      <c r="A9262" s="40"/>
      <c r="B9262" s="40"/>
    </row>
    <row r="9263" spans="1:2" x14ac:dyDescent="0.2">
      <c r="A9263" s="40"/>
      <c r="B9263" s="40"/>
    </row>
    <row r="9264" spans="1:2" x14ac:dyDescent="0.2">
      <c r="A9264" s="40"/>
      <c r="B9264" s="40"/>
    </row>
    <row r="9265" spans="1:2" x14ac:dyDescent="0.2">
      <c r="A9265" s="40"/>
      <c r="B9265" s="40"/>
    </row>
    <row r="9266" spans="1:2" x14ac:dyDescent="0.2">
      <c r="A9266" s="40"/>
      <c r="B9266" s="40"/>
    </row>
    <row r="9267" spans="1:2" x14ac:dyDescent="0.2">
      <c r="A9267" s="40"/>
      <c r="B9267" s="40"/>
    </row>
    <row r="9268" spans="1:2" x14ac:dyDescent="0.2">
      <c r="A9268" s="40"/>
      <c r="B9268" s="40"/>
    </row>
    <row r="9269" spans="1:2" x14ac:dyDescent="0.2">
      <c r="A9269" s="40"/>
      <c r="B9269" s="40"/>
    </row>
    <row r="9270" spans="1:2" x14ac:dyDescent="0.2">
      <c r="A9270" s="40"/>
      <c r="B9270" s="40"/>
    </row>
    <row r="9271" spans="1:2" x14ac:dyDescent="0.2">
      <c r="A9271" s="40"/>
      <c r="B9271" s="40"/>
    </row>
    <row r="9272" spans="1:2" x14ac:dyDescent="0.2">
      <c r="A9272" s="40"/>
      <c r="B9272" s="40"/>
    </row>
    <row r="9273" spans="1:2" x14ac:dyDescent="0.2">
      <c r="A9273" s="40"/>
      <c r="B9273" s="40"/>
    </row>
    <row r="9274" spans="1:2" x14ac:dyDescent="0.2">
      <c r="A9274" s="40"/>
      <c r="B9274" s="40"/>
    </row>
    <row r="9275" spans="1:2" x14ac:dyDescent="0.2">
      <c r="A9275" s="40"/>
      <c r="B9275" s="40"/>
    </row>
    <row r="9276" spans="1:2" x14ac:dyDescent="0.2">
      <c r="A9276" s="40"/>
      <c r="B9276" s="40"/>
    </row>
    <row r="9277" spans="1:2" x14ac:dyDescent="0.2">
      <c r="A9277" s="40"/>
      <c r="B9277" s="40"/>
    </row>
    <row r="9278" spans="1:2" x14ac:dyDescent="0.2">
      <c r="A9278" s="40"/>
      <c r="B9278" s="40"/>
    </row>
    <row r="9279" spans="1:2" x14ac:dyDescent="0.2">
      <c r="A9279" s="40"/>
      <c r="B9279" s="40"/>
    </row>
    <row r="9280" spans="1:2" x14ac:dyDescent="0.2">
      <c r="A9280" s="40"/>
      <c r="B9280" s="40"/>
    </row>
    <row r="9281" spans="1:2" x14ac:dyDescent="0.2">
      <c r="A9281" s="40"/>
      <c r="B9281" s="40"/>
    </row>
    <row r="9282" spans="1:2" x14ac:dyDescent="0.2">
      <c r="A9282" s="40"/>
      <c r="B9282" s="40"/>
    </row>
    <row r="9283" spans="1:2" x14ac:dyDescent="0.2">
      <c r="A9283" s="40"/>
      <c r="B9283" s="40"/>
    </row>
    <row r="9284" spans="1:2" x14ac:dyDescent="0.2">
      <c r="A9284" s="40"/>
      <c r="B9284" s="40"/>
    </row>
    <row r="9285" spans="1:2" x14ac:dyDescent="0.2">
      <c r="A9285" s="40"/>
      <c r="B9285" s="40"/>
    </row>
    <row r="9286" spans="1:2" x14ac:dyDescent="0.2">
      <c r="A9286" s="40"/>
      <c r="B9286" s="40"/>
    </row>
    <row r="9287" spans="1:2" x14ac:dyDescent="0.2">
      <c r="A9287" s="40"/>
      <c r="B9287" s="40"/>
    </row>
    <row r="9288" spans="1:2" x14ac:dyDescent="0.2">
      <c r="A9288" s="40"/>
      <c r="B9288" s="40"/>
    </row>
    <row r="9289" spans="1:2" x14ac:dyDescent="0.2">
      <c r="A9289" s="40"/>
      <c r="B9289" s="40"/>
    </row>
    <row r="9290" spans="1:2" x14ac:dyDescent="0.2">
      <c r="A9290" s="40"/>
      <c r="B9290" s="40"/>
    </row>
    <row r="9291" spans="1:2" x14ac:dyDescent="0.2">
      <c r="A9291" s="40"/>
      <c r="B9291" s="40"/>
    </row>
    <row r="9292" spans="1:2" x14ac:dyDescent="0.2">
      <c r="A9292" s="40"/>
      <c r="B9292" s="40"/>
    </row>
    <row r="9293" spans="1:2" x14ac:dyDescent="0.2">
      <c r="A9293" s="40"/>
      <c r="B9293" s="40"/>
    </row>
    <row r="9294" spans="1:2" x14ac:dyDescent="0.2">
      <c r="A9294" s="40"/>
      <c r="B9294" s="40"/>
    </row>
    <row r="9295" spans="1:2" x14ac:dyDescent="0.2">
      <c r="A9295" s="40"/>
      <c r="B9295" s="40"/>
    </row>
    <row r="9296" spans="1:2" x14ac:dyDescent="0.2">
      <c r="A9296" s="40"/>
      <c r="B9296" s="40"/>
    </row>
    <row r="9297" spans="1:2" x14ac:dyDescent="0.2">
      <c r="A9297" s="40"/>
      <c r="B9297" s="40"/>
    </row>
    <row r="9298" spans="1:2" x14ac:dyDescent="0.2">
      <c r="A9298" s="40"/>
      <c r="B9298" s="40"/>
    </row>
    <row r="9299" spans="1:2" x14ac:dyDescent="0.2">
      <c r="A9299" s="40"/>
      <c r="B9299" s="40"/>
    </row>
    <row r="9300" spans="1:2" x14ac:dyDescent="0.2">
      <c r="A9300" s="40"/>
      <c r="B9300" s="40"/>
    </row>
    <row r="9301" spans="1:2" x14ac:dyDescent="0.2">
      <c r="A9301" s="40"/>
      <c r="B9301" s="40"/>
    </row>
    <row r="9302" spans="1:2" x14ac:dyDescent="0.2">
      <c r="A9302" s="40"/>
      <c r="B9302" s="40"/>
    </row>
    <row r="9303" spans="1:2" x14ac:dyDescent="0.2">
      <c r="A9303" s="40"/>
      <c r="B9303" s="40"/>
    </row>
    <row r="9304" spans="1:2" x14ac:dyDescent="0.2">
      <c r="A9304" s="40"/>
      <c r="B9304" s="40"/>
    </row>
    <row r="9305" spans="1:2" x14ac:dyDescent="0.2">
      <c r="A9305" s="40"/>
      <c r="B9305" s="40"/>
    </row>
    <row r="9306" spans="1:2" x14ac:dyDescent="0.2">
      <c r="A9306" s="40"/>
      <c r="B9306" s="40"/>
    </row>
    <row r="9307" spans="1:2" x14ac:dyDescent="0.2">
      <c r="A9307" s="40"/>
      <c r="B9307" s="40"/>
    </row>
    <row r="9308" spans="1:2" x14ac:dyDescent="0.2">
      <c r="A9308" s="40"/>
      <c r="B9308" s="40"/>
    </row>
    <row r="9309" spans="1:2" x14ac:dyDescent="0.2">
      <c r="A9309" s="40"/>
      <c r="B9309" s="40"/>
    </row>
    <row r="9310" spans="1:2" x14ac:dyDescent="0.2">
      <c r="A9310" s="40"/>
      <c r="B9310" s="40"/>
    </row>
    <row r="9311" spans="1:2" x14ac:dyDescent="0.2">
      <c r="A9311" s="40"/>
      <c r="B9311" s="40"/>
    </row>
    <row r="9312" spans="1:2" x14ac:dyDescent="0.2">
      <c r="A9312" s="40"/>
      <c r="B9312" s="40"/>
    </row>
    <row r="9313" spans="1:2" x14ac:dyDescent="0.2">
      <c r="A9313" s="40"/>
      <c r="B9313" s="40"/>
    </row>
    <row r="9314" spans="1:2" x14ac:dyDescent="0.2">
      <c r="A9314" s="40"/>
      <c r="B9314" s="40"/>
    </row>
    <row r="9315" spans="1:2" x14ac:dyDescent="0.2">
      <c r="A9315" s="40"/>
      <c r="B9315" s="40"/>
    </row>
    <row r="9316" spans="1:2" x14ac:dyDescent="0.2">
      <c r="A9316" s="40"/>
      <c r="B9316" s="40"/>
    </row>
    <row r="9317" spans="1:2" x14ac:dyDescent="0.2">
      <c r="A9317" s="40"/>
      <c r="B9317" s="40"/>
    </row>
    <row r="9318" spans="1:2" x14ac:dyDescent="0.2">
      <c r="A9318" s="40"/>
      <c r="B9318" s="40"/>
    </row>
    <row r="9319" spans="1:2" x14ac:dyDescent="0.2">
      <c r="A9319" s="40"/>
      <c r="B9319" s="40"/>
    </row>
    <row r="9320" spans="1:2" x14ac:dyDescent="0.2">
      <c r="A9320" s="40"/>
      <c r="B9320" s="40"/>
    </row>
    <row r="9321" spans="1:2" x14ac:dyDescent="0.2">
      <c r="A9321" s="40"/>
      <c r="B9321" s="40"/>
    </row>
    <row r="9322" spans="1:2" x14ac:dyDescent="0.2">
      <c r="A9322" s="40"/>
      <c r="B9322" s="40"/>
    </row>
    <row r="9323" spans="1:2" x14ac:dyDescent="0.2">
      <c r="A9323" s="40"/>
      <c r="B9323" s="40"/>
    </row>
    <row r="9324" spans="1:2" x14ac:dyDescent="0.2">
      <c r="A9324" s="40"/>
      <c r="B9324" s="40"/>
    </row>
    <row r="9325" spans="1:2" x14ac:dyDescent="0.2">
      <c r="A9325" s="40"/>
      <c r="B9325" s="40"/>
    </row>
    <row r="9326" spans="1:2" x14ac:dyDescent="0.2">
      <c r="A9326" s="40"/>
      <c r="B9326" s="40"/>
    </row>
    <row r="9327" spans="1:2" x14ac:dyDescent="0.2">
      <c r="A9327" s="40"/>
      <c r="B9327" s="40"/>
    </row>
    <row r="9328" spans="1:2" x14ac:dyDescent="0.2">
      <c r="A9328" s="40"/>
      <c r="B9328" s="40"/>
    </row>
    <row r="9329" spans="1:2" x14ac:dyDescent="0.2">
      <c r="A9329" s="40"/>
      <c r="B9329" s="40"/>
    </row>
    <row r="9330" spans="1:2" x14ac:dyDescent="0.2">
      <c r="A9330" s="40"/>
      <c r="B9330" s="40"/>
    </row>
    <row r="9331" spans="1:2" x14ac:dyDescent="0.2">
      <c r="A9331" s="40"/>
      <c r="B9331" s="40"/>
    </row>
    <row r="9332" spans="1:2" x14ac:dyDescent="0.2">
      <c r="A9332" s="40"/>
      <c r="B9332" s="40"/>
    </row>
    <row r="9333" spans="1:2" x14ac:dyDescent="0.2">
      <c r="A9333" s="40"/>
      <c r="B9333" s="40"/>
    </row>
    <row r="9334" spans="1:2" x14ac:dyDescent="0.2">
      <c r="A9334" s="40"/>
      <c r="B9334" s="40"/>
    </row>
    <row r="9335" spans="1:2" x14ac:dyDescent="0.2">
      <c r="A9335" s="40"/>
      <c r="B9335" s="40"/>
    </row>
    <row r="9336" spans="1:2" x14ac:dyDescent="0.2">
      <c r="A9336" s="40"/>
      <c r="B9336" s="40"/>
    </row>
    <row r="9337" spans="1:2" x14ac:dyDescent="0.2">
      <c r="A9337" s="40"/>
      <c r="B9337" s="40"/>
    </row>
    <row r="9338" spans="1:2" x14ac:dyDescent="0.2">
      <c r="A9338" s="40"/>
      <c r="B9338" s="40"/>
    </row>
    <row r="9339" spans="1:2" x14ac:dyDescent="0.2">
      <c r="A9339" s="40"/>
      <c r="B9339" s="40"/>
    </row>
    <row r="9340" spans="1:2" x14ac:dyDescent="0.2">
      <c r="A9340" s="40"/>
      <c r="B9340" s="40"/>
    </row>
    <row r="9341" spans="1:2" x14ac:dyDescent="0.2">
      <c r="A9341" s="40"/>
      <c r="B9341" s="40"/>
    </row>
    <row r="9342" spans="1:2" x14ac:dyDescent="0.2">
      <c r="A9342" s="40"/>
      <c r="B9342" s="40"/>
    </row>
    <row r="9343" spans="1:2" x14ac:dyDescent="0.2">
      <c r="A9343" s="40"/>
      <c r="B9343" s="40"/>
    </row>
    <row r="9344" spans="1:2" x14ac:dyDescent="0.2">
      <c r="A9344" s="40"/>
      <c r="B9344" s="40"/>
    </row>
    <row r="9345" spans="1:2" x14ac:dyDescent="0.2">
      <c r="A9345" s="40"/>
      <c r="B9345" s="40"/>
    </row>
    <row r="9346" spans="1:2" x14ac:dyDescent="0.2">
      <c r="A9346" s="40"/>
      <c r="B9346" s="40"/>
    </row>
    <row r="9347" spans="1:2" x14ac:dyDescent="0.2">
      <c r="A9347" s="40"/>
      <c r="B9347" s="40"/>
    </row>
    <row r="9348" spans="1:2" x14ac:dyDescent="0.2">
      <c r="A9348" s="40"/>
      <c r="B9348" s="40"/>
    </row>
    <row r="9349" spans="1:2" x14ac:dyDescent="0.2">
      <c r="A9349" s="40"/>
      <c r="B9349" s="40"/>
    </row>
    <row r="9350" spans="1:2" x14ac:dyDescent="0.2">
      <c r="A9350" s="40"/>
      <c r="B9350" s="40"/>
    </row>
    <row r="9351" spans="1:2" x14ac:dyDescent="0.2">
      <c r="A9351" s="40"/>
      <c r="B9351" s="40"/>
    </row>
    <row r="9352" spans="1:2" x14ac:dyDescent="0.2">
      <c r="A9352" s="40"/>
      <c r="B9352" s="40"/>
    </row>
    <row r="9353" spans="1:2" x14ac:dyDescent="0.2">
      <c r="A9353" s="40"/>
      <c r="B9353" s="40"/>
    </row>
    <row r="9354" spans="1:2" x14ac:dyDescent="0.2">
      <c r="A9354" s="40"/>
      <c r="B9354" s="40"/>
    </row>
    <row r="9355" spans="1:2" x14ac:dyDescent="0.2">
      <c r="A9355" s="40"/>
      <c r="B9355" s="40"/>
    </row>
    <row r="9356" spans="1:2" x14ac:dyDescent="0.2">
      <c r="A9356" s="40"/>
      <c r="B9356" s="40"/>
    </row>
    <row r="9357" spans="1:2" x14ac:dyDescent="0.2">
      <c r="A9357" s="40"/>
      <c r="B9357" s="40"/>
    </row>
    <row r="9358" spans="1:2" x14ac:dyDescent="0.2">
      <c r="A9358" s="40"/>
      <c r="B9358" s="40"/>
    </row>
    <row r="9359" spans="1:2" x14ac:dyDescent="0.2">
      <c r="A9359" s="40"/>
      <c r="B9359" s="40"/>
    </row>
    <row r="9360" spans="1:2" x14ac:dyDescent="0.2">
      <c r="A9360" s="40"/>
      <c r="B9360" s="40"/>
    </row>
    <row r="9361" spans="1:2" x14ac:dyDescent="0.2">
      <c r="A9361" s="40"/>
      <c r="B9361" s="40"/>
    </row>
    <row r="9362" spans="1:2" x14ac:dyDescent="0.2">
      <c r="A9362" s="40"/>
      <c r="B9362" s="40"/>
    </row>
    <row r="9363" spans="1:2" x14ac:dyDescent="0.2">
      <c r="A9363" s="40"/>
      <c r="B9363" s="40"/>
    </row>
    <row r="9364" spans="1:2" x14ac:dyDescent="0.2">
      <c r="A9364" s="40"/>
      <c r="B9364" s="40"/>
    </row>
    <row r="9365" spans="1:2" x14ac:dyDescent="0.2">
      <c r="A9365" s="40"/>
      <c r="B9365" s="40"/>
    </row>
    <row r="9366" spans="1:2" x14ac:dyDescent="0.2">
      <c r="A9366" s="40"/>
      <c r="B9366" s="40"/>
    </row>
    <row r="9367" spans="1:2" x14ac:dyDescent="0.2">
      <c r="A9367" s="40"/>
      <c r="B9367" s="40"/>
    </row>
    <row r="9368" spans="1:2" x14ac:dyDescent="0.2">
      <c r="A9368" s="40"/>
      <c r="B9368" s="40"/>
    </row>
    <row r="9369" spans="1:2" x14ac:dyDescent="0.2">
      <c r="A9369" s="40"/>
      <c r="B9369" s="40"/>
    </row>
    <row r="9370" spans="1:2" x14ac:dyDescent="0.2">
      <c r="A9370" s="40"/>
      <c r="B9370" s="40"/>
    </row>
    <row r="9371" spans="1:2" x14ac:dyDescent="0.2">
      <c r="A9371" s="40"/>
      <c r="B9371" s="40"/>
    </row>
    <row r="9372" spans="1:2" x14ac:dyDescent="0.2">
      <c r="A9372" s="40"/>
      <c r="B9372" s="40"/>
    </row>
    <row r="9373" spans="1:2" x14ac:dyDescent="0.2">
      <c r="A9373" s="40"/>
      <c r="B9373" s="40"/>
    </row>
    <row r="9374" spans="1:2" x14ac:dyDescent="0.2">
      <c r="A9374" s="40"/>
      <c r="B9374" s="40"/>
    </row>
    <row r="9375" spans="1:2" x14ac:dyDescent="0.2">
      <c r="A9375" s="40"/>
      <c r="B9375" s="40"/>
    </row>
    <row r="9376" spans="1:2" x14ac:dyDescent="0.2">
      <c r="A9376" s="40"/>
      <c r="B9376" s="40"/>
    </row>
    <row r="9377" spans="1:2" x14ac:dyDescent="0.2">
      <c r="A9377" s="40"/>
      <c r="B9377" s="40"/>
    </row>
    <row r="9378" spans="1:2" x14ac:dyDescent="0.2">
      <c r="A9378" s="40"/>
      <c r="B9378" s="40"/>
    </row>
    <row r="9379" spans="1:2" x14ac:dyDescent="0.2">
      <c r="A9379" s="40"/>
      <c r="B9379" s="40"/>
    </row>
    <row r="9380" spans="1:2" x14ac:dyDescent="0.2">
      <c r="A9380" s="40"/>
      <c r="B9380" s="40"/>
    </row>
    <row r="9381" spans="1:2" x14ac:dyDescent="0.2">
      <c r="A9381" s="40"/>
      <c r="B9381" s="40"/>
    </row>
    <row r="9382" spans="1:2" x14ac:dyDescent="0.2">
      <c r="A9382" s="40"/>
      <c r="B9382" s="40"/>
    </row>
    <row r="9383" spans="1:2" x14ac:dyDescent="0.2">
      <c r="A9383" s="40"/>
      <c r="B9383" s="40"/>
    </row>
    <row r="9384" spans="1:2" x14ac:dyDescent="0.2">
      <c r="A9384" s="40"/>
      <c r="B9384" s="40"/>
    </row>
    <row r="9385" spans="1:2" x14ac:dyDescent="0.2">
      <c r="A9385" s="40"/>
      <c r="B9385" s="40"/>
    </row>
    <row r="9386" spans="1:2" x14ac:dyDescent="0.2">
      <c r="A9386" s="40"/>
      <c r="B9386" s="40"/>
    </row>
    <row r="9387" spans="1:2" x14ac:dyDescent="0.2">
      <c r="A9387" s="40"/>
      <c r="B9387" s="40"/>
    </row>
    <row r="9388" spans="1:2" x14ac:dyDescent="0.2">
      <c r="A9388" s="40"/>
      <c r="B9388" s="40"/>
    </row>
    <row r="9389" spans="1:2" x14ac:dyDescent="0.2">
      <c r="A9389" s="40"/>
      <c r="B9389" s="40"/>
    </row>
    <row r="9390" spans="1:2" x14ac:dyDescent="0.2">
      <c r="A9390" s="40"/>
      <c r="B9390" s="40"/>
    </row>
    <row r="9391" spans="1:2" x14ac:dyDescent="0.2">
      <c r="A9391" s="40"/>
      <c r="B9391" s="40"/>
    </row>
    <row r="9392" spans="1:2" x14ac:dyDescent="0.2">
      <c r="A9392" s="40"/>
      <c r="B9392" s="40"/>
    </row>
    <row r="9393" spans="1:2" x14ac:dyDescent="0.2">
      <c r="A9393" s="40"/>
      <c r="B9393" s="40"/>
    </row>
    <row r="9394" spans="1:2" x14ac:dyDescent="0.2">
      <c r="A9394" s="40"/>
      <c r="B9394" s="40"/>
    </row>
    <row r="9395" spans="1:2" x14ac:dyDescent="0.2">
      <c r="A9395" s="40"/>
      <c r="B9395" s="40"/>
    </row>
    <row r="9396" spans="1:2" x14ac:dyDescent="0.2">
      <c r="A9396" s="40"/>
      <c r="B9396" s="40"/>
    </row>
    <row r="9397" spans="1:2" x14ac:dyDescent="0.2">
      <c r="A9397" s="40"/>
      <c r="B9397" s="40"/>
    </row>
    <row r="9398" spans="1:2" x14ac:dyDescent="0.2">
      <c r="A9398" s="40"/>
      <c r="B9398" s="40"/>
    </row>
    <row r="9399" spans="1:2" x14ac:dyDescent="0.2">
      <c r="A9399" s="40"/>
      <c r="B9399" s="40"/>
    </row>
    <row r="9400" spans="1:2" x14ac:dyDescent="0.2">
      <c r="A9400" s="40"/>
      <c r="B9400" s="40"/>
    </row>
    <row r="9401" spans="1:2" x14ac:dyDescent="0.2">
      <c r="A9401" s="40"/>
      <c r="B9401" s="40"/>
    </row>
    <row r="9402" spans="1:2" x14ac:dyDescent="0.2">
      <c r="A9402" s="40"/>
      <c r="B9402" s="40"/>
    </row>
    <row r="9403" spans="1:2" x14ac:dyDescent="0.2">
      <c r="A9403" s="40"/>
      <c r="B9403" s="40"/>
    </row>
    <row r="9404" spans="1:2" x14ac:dyDescent="0.2">
      <c r="A9404" s="40"/>
      <c r="B9404" s="40"/>
    </row>
    <row r="9405" spans="1:2" x14ac:dyDescent="0.2">
      <c r="A9405" s="40"/>
      <c r="B9405" s="40"/>
    </row>
    <row r="9406" spans="1:2" x14ac:dyDescent="0.2">
      <c r="A9406" s="40"/>
      <c r="B9406" s="40"/>
    </row>
    <row r="9407" spans="1:2" x14ac:dyDescent="0.2">
      <c r="A9407" s="40"/>
      <c r="B9407" s="40"/>
    </row>
    <row r="9408" spans="1:2" x14ac:dyDescent="0.2">
      <c r="A9408" s="40"/>
      <c r="B9408" s="40"/>
    </row>
    <row r="9409" spans="1:2" x14ac:dyDescent="0.2">
      <c r="A9409" s="40"/>
      <c r="B9409" s="40"/>
    </row>
    <row r="9410" spans="1:2" x14ac:dyDescent="0.2">
      <c r="A9410" s="40"/>
      <c r="B9410" s="40"/>
    </row>
    <row r="9411" spans="1:2" x14ac:dyDescent="0.2">
      <c r="A9411" s="40"/>
      <c r="B9411" s="40"/>
    </row>
    <row r="9412" spans="1:2" x14ac:dyDescent="0.2">
      <c r="A9412" s="40"/>
      <c r="B9412" s="40"/>
    </row>
    <row r="9413" spans="1:2" x14ac:dyDescent="0.2">
      <c r="A9413" s="40"/>
      <c r="B9413" s="40"/>
    </row>
    <row r="9414" spans="1:2" x14ac:dyDescent="0.2">
      <c r="A9414" s="40"/>
      <c r="B9414" s="40"/>
    </row>
    <row r="9415" spans="1:2" x14ac:dyDescent="0.2">
      <c r="A9415" s="40"/>
      <c r="B9415" s="40"/>
    </row>
    <row r="9416" spans="1:2" x14ac:dyDescent="0.2">
      <c r="A9416" s="40"/>
      <c r="B9416" s="40"/>
    </row>
    <row r="9417" spans="1:2" x14ac:dyDescent="0.2">
      <c r="A9417" s="40"/>
      <c r="B9417" s="40"/>
    </row>
    <row r="9418" spans="1:2" x14ac:dyDescent="0.2">
      <c r="A9418" s="40"/>
      <c r="B9418" s="40"/>
    </row>
    <row r="9419" spans="1:2" x14ac:dyDescent="0.2">
      <c r="A9419" s="40"/>
      <c r="B9419" s="40"/>
    </row>
    <row r="9420" spans="1:2" x14ac:dyDescent="0.2">
      <c r="A9420" s="40"/>
      <c r="B9420" s="40"/>
    </row>
    <row r="9421" spans="1:2" x14ac:dyDescent="0.2">
      <c r="A9421" s="40"/>
      <c r="B9421" s="40"/>
    </row>
    <row r="9422" spans="1:2" x14ac:dyDescent="0.2">
      <c r="A9422" s="40"/>
      <c r="B9422" s="40"/>
    </row>
    <row r="9423" spans="1:2" x14ac:dyDescent="0.2">
      <c r="A9423" s="40"/>
      <c r="B9423" s="40"/>
    </row>
    <row r="9424" spans="1:2" x14ac:dyDescent="0.2">
      <c r="A9424" s="40"/>
      <c r="B9424" s="40"/>
    </row>
    <row r="9425" spans="1:2" x14ac:dyDescent="0.2">
      <c r="A9425" s="40"/>
      <c r="B9425" s="40"/>
    </row>
    <row r="9426" spans="1:2" x14ac:dyDescent="0.2">
      <c r="A9426" s="40"/>
      <c r="B9426" s="40"/>
    </row>
    <row r="9427" spans="1:2" x14ac:dyDescent="0.2">
      <c r="A9427" s="40"/>
      <c r="B9427" s="40"/>
    </row>
    <row r="9428" spans="1:2" x14ac:dyDescent="0.2">
      <c r="A9428" s="40"/>
      <c r="B9428" s="40"/>
    </row>
    <row r="9429" spans="1:2" x14ac:dyDescent="0.2">
      <c r="A9429" s="40"/>
      <c r="B9429" s="40"/>
    </row>
    <row r="9430" spans="1:2" x14ac:dyDescent="0.2">
      <c r="A9430" s="40"/>
      <c r="B9430" s="40"/>
    </row>
    <row r="9431" spans="1:2" x14ac:dyDescent="0.2">
      <c r="A9431" s="40"/>
      <c r="B9431" s="40"/>
    </row>
    <row r="9432" spans="1:2" x14ac:dyDescent="0.2">
      <c r="A9432" s="40"/>
      <c r="B9432" s="40"/>
    </row>
    <row r="9433" spans="1:2" x14ac:dyDescent="0.2">
      <c r="A9433" s="40"/>
      <c r="B9433" s="40"/>
    </row>
    <row r="9434" spans="1:2" x14ac:dyDescent="0.2">
      <c r="A9434" s="40"/>
      <c r="B9434" s="40"/>
    </row>
    <row r="9435" spans="1:2" x14ac:dyDescent="0.2">
      <c r="A9435" s="40"/>
      <c r="B9435" s="40"/>
    </row>
    <row r="9436" spans="1:2" x14ac:dyDescent="0.2">
      <c r="A9436" s="40"/>
      <c r="B9436" s="40"/>
    </row>
    <row r="9437" spans="1:2" x14ac:dyDescent="0.2">
      <c r="A9437" s="40"/>
      <c r="B9437" s="40"/>
    </row>
    <row r="9438" spans="1:2" x14ac:dyDescent="0.2">
      <c r="A9438" s="40"/>
      <c r="B9438" s="40"/>
    </row>
    <row r="9439" spans="1:2" x14ac:dyDescent="0.2">
      <c r="A9439" s="40"/>
      <c r="B9439" s="40"/>
    </row>
    <row r="9440" spans="1:2" x14ac:dyDescent="0.2">
      <c r="A9440" s="40"/>
      <c r="B9440" s="40"/>
    </row>
    <row r="9441" spans="1:2" x14ac:dyDescent="0.2">
      <c r="A9441" s="40"/>
      <c r="B9441" s="40"/>
    </row>
    <row r="9442" spans="1:2" x14ac:dyDescent="0.2">
      <c r="A9442" s="40"/>
      <c r="B9442" s="40"/>
    </row>
    <row r="9443" spans="1:2" x14ac:dyDescent="0.2">
      <c r="A9443" s="40"/>
      <c r="B9443" s="40"/>
    </row>
    <row r="9444" spans="1:2" x14ac:dyDescent="0.2">
      <c r="A9444" s="40"/>
      <c r="B9444" s="40"/>
    </row>
    <row r="9445" spans="1:2" x14ac:dyDescent="0.2">
      <c r="A9445" s="40"/>
      <c r="B9445" s="40"/>
    </row>
    <row r="9446" spans="1:2" x14ac:dyDescent="0.2">
      <c r="A9446" s="40"/>
      <c r="B9446" s="40"/>
    </row>
    <row r="9447" spans="1:2" x14ac:dyDescent="0.2">
      <c r="A9447" s="40"/>
      <c r="B9447" s="40"/>
    </row>
    <row r="9448" spans="1:2" x14ac:dyDescent="0.2">
      <c r="A9448" s="40"/>
      <c r="B9448" s="40"/>
    </row>
    <row r="9449" spans="1:2" x14ac:dyDescent="0.2">
      <c r="A9449" s="40"/>
      <c r="B9449" s="40"/>
    </row>
    <row r="9450" spans="1:2" x14ac:dyDescent="0.2">
      <c r="A9450" s="40"/>
      <c r="B9450" s="40"/>
    </row>
    <row r="9451" spans="1:2" x14ac:dyDescent="0.2">
      <c r="A9451" s="40"/>
      <c r="B9451" s="40"/>
    </row>
    <row r="9452" spans="1:2" x14ac:dyDescent="0.2">
      <c r="A9452" s="40"/>
      <c r="B9452" s="40"/>
    </row>
    <row r="9453" spans="1:2" x14ac:dyDescent="0.2">
      <c r="A9453" s="40"/>
      <c r="B9453" s="40"/>
    </row>
    <row r="9454" spans="1:2" x14ac:dyDescent="0.2">
      <c r="A9454" s="40"/>
      <c r="B9454" s="40"/>
    </row>
    <row r="9455" spans="1:2" x14ac:dyDescent="0.2">
      <c r="A9455" s="40"/>
      <c r="B9455" s="40"/>
    </row>
    <row r="9456" spans="1:2" x14ac:dyDescent="0.2">
      <c r="A9456" s="40"/>
      <c r="B9456" s="40"/>
    </row>
    <row r="9457" spans="1:2" x14ac:dyDescent="0.2">
      <c r="A9457" s="40"/>
      <c r="B9457" s="40"/>
    </row>
    <row r="9458" spans="1:2" x14ac:dyDescent="0.2">
      <c r="A9458" s="40"/>
      <c r="B9458" s="40"/>
    </row>
    <row r="9459" spans="1:2" x14ac:dyDescent="0.2">
      <c r="A9459" s="40"/>
      <c r="B9459" s="40"/>
    </row>
    <row r="9460" spans="1:2" x14ac:dyDescent="0.2">
      <c r="A9460" s="40"/>
      <c r="B9460" s="40"/>
    </row>
    <row r="9461" spans="1:2" x14ac:dyDescent="0.2">
      <c r="A9461" s="40"/>
      <c r="B9461" s="40"/>
    </row>
    <row r="9462" spans="1:2" x14ac:dyDescent="0.2">
      <c r="A9462" s="40"/>
      <c r="B9462" s="40"/>
    </row>
    <row r="9463" spans="1:2" x14ac:dyDescent="0.2">
      <c r="A9463" s="40"/>
      <c r="B9463" s="40"/>
    </row>
    <row r="9464" spans="1:2" x14ac:dyDescent="0.2">
      <c r="A9464" s="40"/>
      <c r="B9464" s="40"/>
    </row>
    <row r="9465" spans="1:2" x14ac:dyDescent="0.2">
      <c r="A9465" s="40"/>
      <c r="B9465" s="40"/>
    </row>
    <row r="9466" spans="1:2" x14ac:dyDescent="0.2">
      <c r="A9466" s="40"/>
      <c r="B9466" s="40"/>
    </row>
    <row r="9467" spans="1:2" x14ac:dyDescent="0.2">
      <c r="A9467" s="40"/>
      <c r="B9467" s="40"/>
    </row>
    <row r="9468" spans="1:2" x14ac:dyDescent="0.2">
      <c r="A9468" s="40"/>
      <c r="B9468" s="40"/>
    </row>
    <row r="9469" spans="1:2" x14ac:dyDescent="0.2">
      <c r="A9469" s="40"/>
      <c r="B9469" s="40"/>
    </row>
    <row r="9470" spans="1:2" x14ac:dyDescent="0.2">
      <c r="A9470" s="40"/>
      <c r="B9470" s="40"/>
    </row>
    <row r="9471" spans="1:2" x14ac:dyDescent="0.2">
      <c r="A9471" s="40"/>
      <c r="B9471" s="40"/>
    </row>
    <row r="9472" spans="1:2" x14ac:dyDescent="0.2">
      <c r="A9472" s="40"/>
      <c r="B9472" s="40"/>
    </row>
    <row r="9473" spans="1:2" x14ac:dyDescent="0.2">
      <c r="A9473" s="40"/>
      <c r="B9473" s="40"/>
    </row>
    <row r="9474" spans="1:2" x14ac:dyDescent="0.2">
      <c r="A9474" s="40"/>
      <c r="B9474" s="40"/>
    </row>
    <row r="9475" spans="1:2" x14ac:dyDescent="0.2">
      <c r="A9475" s="40"/>
      <c r="B9475" s="40"/>
    </row>
    <row r="9476" spans="1:2" x14ac:dyDescent="0.2">
      <c r="A9476" s="40"/>
      <c r="B9476" s="40"/>
    </row>
    <row r="9477" spans="1:2" x14ac:dyDescent="0.2">
      <c r="A9477" s="40"/>
      <c r="B9477" s="40"/>
    </row>
    <row r="9478" spans="1:2" x14ac:dyDescent="0.2">
      <c r="A9478" s="40"/>
      <c r="B9478" s="40"/>
    </row>
    <row r="9479" spans="1:2" x14ac:dyDescent="0.2">
      <c r="A9479" s="40"/>
      <c r="B9479" s="40"/>
    </row>
    <row r="9480" spans="1:2" x14ac:dyDescent="0.2">
      <c r="A9480" s="40"/>
      <c r="B9480" s="40"/>
    </row>
    <row r="9481" spans="1:2" x14ac:dyDescent="0.2">
      <c r="A9481" s="40"/>
      <c r="B9481" s="40"/>
    </row>
    <row r="9482" spans="1:2" x14ac:dyDescent="0.2">
      <c r="A9482" s="40"/>
      <c r="B9482" s="40"/>
    </row>
    <row r="9483" spans="1:2" x14ac:dyDescent="0.2">
      <c r="A9483" s="40"/>
      <c r="B9483" s="40"/>
    </row>
    <row r="9484" spans="1:2" x14ac:dyDescent="0.2">
      <c r="A9484" s="40"/>
      <c r="B9484" s="40"/>
    </row>
    <row r="9485" spans="1:2" x14ac:dyDescent="0.2">
      <c r="A9485" s="40"/>
      <c r="B9485" s="40"/>
    </row>
    <row r="9486" spans="1:2" x14ac:dyDescent="0.2">
      <c r="A9486" s="40"/>
      <c r="B9486" s="40"/>
    </row>
    <row r="9487" spans="1:2" x14ac:dyDescent="0.2">
      <c r="A9487" s="40"/>
      <c r="B9487" s="40"/>
    </row>
    <row r="9488" spans="1:2" x14ac:dyDescent="0.2">
      <c r="A9488" s="40"/>
      <c r="B9488" s="40"/>
    </row>
    <row r="9489" spans="1:2" x14ac:dyDescent="0.2">
      <c r="A9489" s="40"/>
      <c r="B9489" s="40"/>
    </row>
    <row r="9490" spans="1:2" x14ac:dyDescent="0.2">
      <c r="A9490" s="40"/>
      <c r="B9490" s="40"/>
    </row>
    <row r="9491" spans="1:2" x14ac:dyDescent="0.2">
      <c r="A9491" s="40"/>
      <c r="B9491" s="40"/>
    </row>
    <row r="9492" spans="1:2" x14ac:dyDescent="0.2">
      <c r="A9492" s="40"/>
      <c r="B9492" s="40"/>
    </row>
    <row r="9493" spans="1:2" x14ac:dyDescent="0.2">
      <c r="A9493" s="40"/>
      <c r="B9493" s="40"/>
    </row>
    <row r="9494" spans="1:2" x14ac:dyDescent="0.2">
      <c r="A9494" s="40"/>
      <c r="B9494" s="40"/>
    </row>
    <row r="9495" spans="1:2" x14ac:dyDescent="0.2">
      <c r="A9495" s="40"/>
      <c r="B9495" s="40"/>
    </row>
    <row r="9496" spans="1:2" x14ac:dyDescent="0.2">
      <c r="A9496" s="40"/>
      <c r="B9496" s="40"/>
    </row>
    <row r="9497" spans="1:2" x14ac:dyDescent="0.2">
      <c r="A9497" s="40"/>
      <c r="B9497" s="40"/>
    </row>
    <row r="9498" spans="1:2" x14ac:dyDescent="0.2">
      <c r="A9498" s="40"/>
      <c r="B9498" s="40"/>
    </row>
    <row r="9499" spans="1:2" x14ac:dyDescent="0.2">
      <c r="A9499" s="40"/>
      <c r="B9499" s="40"/>
    </row>
    <row r="9500" spans="1:2" x14ac:dyDescent="0.2">
      <c r="A9500" s="40"/>
      <c r="B9500" s="40"/>
    </row>
    <row r="9501" spans="1:2" x14ac:dyDescent="0.2">
      <c r="A9501" s="40"/>
      <c r="B9501" s="40"/>
    </row>
    <row r="9502" spans="1:2" x14ac:dyDescent="0.2">
      <c r="A9502" s="40"/>
      <c r="B9502" s="40"/>
    </row>
    <row r="9503" spans="1:2" x14ac:dyDescent="0.2">
      <c r="A9503" s="40"/>
      <c r="B9503" s="40"/>
    </row>
    <row r="9504" spans="1:2" x14ac:dyDescent="0.2">
      <c r="A9504" s="40"/>
      <c r="B9504" s="40"/>
    </row>
    <row r="9505" spans="1:2" x14ac:dyDescent="0.2">
      <c r="A9505" s="40"/>
      <c r="B9505" s="40"/>
    </row>
    <row r="9506" spans="1:2" x14ac:dyDescent="0.2">
      <c r="A9506" s="40"/>
      <c r="B9506" s="40"/>
    </row>
    <row r="9507" spans="1:2" x14ac:dyDescent="0.2">
      <c r="A9507" s="40"/>
      <c r="B9507" s="40"/>
    </row>
    <row r="9508" spans="1:2" x14ac:dyDescent="0.2">
      <c r="A9508" s="40"/>
      <c r="B9508" s="40"/>
    </row>
    <row r="9509" spans="1:2" x14ac:dyDescent="0.2">
      <c r="A9509" s="40"/>
      <c r="B9509" s="40"/>
    </row>
    <row r="9510" spans="1:2" x14ac:dyDescent="0.2">
      <c r="A9510" s="40"/>
      <c r="B9510" s="40"/>
    </row>
    <row r="9511" spans="1:2" x14ac:dyDescent="0.2">
      <c r="A9511" s="40"/>
      <c r="B9511" s="40"/>
    </row>
    <row r="9512" spans="1:2" x14ac:dyDescent="0.2">
      <c r="A9512" s="40"/>
      <c r="B9512" s="40"/>
    </row>
    <row r="9513" spans="1:2" x14ac:dyDescent="0.2">
      <c r="A9513" s="40"/>
      <c r="B9513" s="40"/>
    </row>
    <row r="9514" spans="1:2" x14ac:dyDescent="0.2">
      <c r="A9514" s="40"/>
      <c r="B9514" s="40"/>
    </row>
    <row r="9515" spans="1:2" x14ac:dyDescent="0.2">
      <c r="A9515" s="40"/>
      <c r="B9515" s="40"/>
    </row>
    <row r="9516" spans="1:2" x14ac:dyDescent="0.2">
      <c r="A9516" s="40"/>
      <c r="B9516" s="40"/>
    </row>
    <row r="9517" spans="1:2" x14ac:dyDescent="0.2">
      <c r="A9517" s="40"/>
      <c r="B9517" s="40"/>
    </row>
    <row r="9518" spans="1:2" x14ac:dyDescent="0.2">
      <c r="A9518" s="40"/>
      <c r="B9518" s="40"/>
    </row>
    <row r="9519" spans="1:2" x14ac:dyDescent="0.2">
      <c r="A9519" s="40"/>
      <c r="B9519" s="40"/>
    </row>
    <row r="9520" spans="1:2" x14ac:dyDescent="0.2">
      <c r="A9520" s="40"/>
      <c r="B9520" s="40"/>
    </row>
    <row r="9521" spans="1:2" x14ac:dyDescent="0.2">
      <c r="A9521" s="40"/>
      <c r="B9521" s="40"/>
    </row>
    <row r="9522" spans="1:2" x14ac:dyDescent="0.2">
      <c r="A9522" s="40"/>
      <c r="B9522" s="40"/>
    </row>
    <row r="9523" spans="1:2" x14ac:dyDescent="0.2">
      <c r="A9523" s="40"/>
      <c r="B9523" s="40"/>
    </row>
    <row r="9524" spans="1:2" x14ac:dyDescent="0.2">
      <c r="A9524" s="40"/>
      <c r="B9524" s="40"/>
    </row>
    <row r="9525" spans="1:2" x14ac:dyDescent="0.2">
      <c r="A9525" s="40"/>
      <c r="B9525" s="40"/>
    </row>
    <row r="9526" spans="1:2" x14ac:dyDescent="0.2">
      <c r="A9526" s="40"/>
      <c r="B9526" s="40"/>
    </row>
    <row r="9527" spans="1:2" x14ac:dyDescent="0.2">
      <c r="A9527" s="40"/>
      <c r="B9527" s="40"/>
    </row>
    <row r="9528" spans="1:2" x14ac:dyDescent="0.2">
      <c r="A9528" s="40"/>
      <c r="B9528" s="40"/>
    </row>
    <row r="9529" spans="1:2" x14ac:dyDescent="0.2">
      <c r="A9529" s="40"/>
      <c r="B9529" s="40"/>
    </row>
    <row r="9530" spans="1:2" x14ac:dyDescent="0.2">
      <c r="A9530" s="40"/>
      <c r="B9530" s="40"/>
    </row>
    <row r="9531" spans="1:2" x14ac:dyDescent="0.2">
      <c r="A9531" s="40"/>
      <c r="B9531" s="40"/>
    </row>
    <row r="9532" spans="1:2" x14ac:dyDescent="0.2">
      <c r="A9532" s="40"/>
      <c r="B9532" s="40"/>
    </row>
    <row r="9533" spans="1:2" x14ac:dyDescent="0.2">
      <c r="A9533" s="40"/>
      <c r="B9533" s="40"/>
    </row>
    <row r="9534" spans="1:2" x14ac:dyDescent="0.2">
      <c r="A9534" s="40"/>
      <c r="B9534" s="40"/>
    </row>
    <row r="9535" spans="1:2" x14ac:dyDescent="0.2">
      <c r="A9535" s="40"/>
      <c r="B9535" s="40"/>
    </row>
    <row r="9536" spans="1:2" x14ac:dyDescent="0.2">
      <c r="A9536" s="40"/>
      <c r="B9536" s="40"/>
    </row>
    <row r="9537" spans="1:2" x14ac:dyDescent="0.2">
      <c r="A9537" s="40"/>
      <c r="B9537" s="40"/>
    </row>
    <row r="9538" spans="1:2" x14ac:dyDescent="0.2">
      <c r="A9538" s="40"/>
      <c r="B9538" s="40"/>
    </row>
    <row r="9539" spans="1:2" x14ac:dyDescent="0.2">
      <c r="A9539" s="40"/>
      <c r="B9539" s="40"/>
    </row>
    <row r="9540" spans="1:2" x14ac:dyDescent="0.2">
      <c r="A9540" s="40"/>
      <c r="B9540" s="40"/>
    </row>
    <row r="9541" spans="1:2" x14ac:dyDescent="0.2">
      <c r="A9541" s="40"/>
      <c r="B9541" s="40"/>
    </row>
    <row r="9542" spans="1:2" x14ac:dyDescent="0.2">
      <c r="A9542" s="40"/>
      <c r="B9542" s="40"/>
    </row>
    <row r="9543" spans="1:2" x14ac:dyDescent="0.2">
      <c r="A9543" s="40"/>
      <c r="B9543" s="40"/>
    </row>
    <row r="9544" spans="1:2" x14ac:dyDescent="0.2">
      <c r="A9544" s="40"/>
      <c r="B9544" s="40"/>
    </row>
    <row r="9545" spans="1:2" x14ac:dyDescent="0.2">
      <c r="A9545" s="40"/>
      <c r="B9545" s="40"/>
    </row>
    <row r="9546" spans="1:2" x14ac:dyDescent="0.2">
      <c r="A9546" s="40"/>
      <c r="B9546" s="40"/>
    </row>
    <row r="9547" spans="1:2" x14ac:dyDescent="0.2">
      <c r="A9547" s="40"/>
      <c r="B9547" s="40"/>
    </row>
    <row r="9548" spans="1:2" x14ac:dyDescent="0.2">
      <c r="A9548" s="40"/>
      <c r="B9548" s="40"/>
    </row>
    <row r="9549" spans="1:2" x14ac:dyDescent="0.2">
      <c r="A9549" s="40"/>
      <c r="B9549" s="40"/>
    </row>
    <row r="9550" spans="1:2" x14ac:dyDescent="0.2">
      <c r="A9550" s="40"/>
      <c r="B9550" s="40"/>
    </row>
    <row r="9551" spans="1:2" x14ac:dyDescent="0.2">
      <c r="A9551" s="40"/>
      <c r="B9551" s="40"/>
    </row>
    <row r="9552" spans="1:2" x14ac:dyDescent="0.2">
      <c r="A9552" s="40"/>
      <c r="B9552" s="40"/>
    </row>
    <row r="9553" spans="1:2" x14ac:dyDescent="0.2">
      <c r="A9553" s="40"/>
      <c r="B9553" s="40"/>
    </row>
    <row r="9554" spans="1:2" x14ac:dyDescent="0.2">
      <c r="A9554" s="40"/>
      <c r="B9554" s="40"/>
    </row>
    <row r="9555" spans="1:2" x14ac:dyDescent="0.2">
      <c r="A9555" s="40"/>
      <c r="B9555" s="40"/>
    </row>
    <row r="9556" spans="1:2" x14ac:dyDescent="0.2">
      <c r="A9556" s="40"/>
      <c r="B9556" s="40"/>
    </row>
    <row r="9557" spans="1:2" x14ac:dyDescent="0.2">
      <c r="A9557" s="40"/>
      <c r="B9557" s="40"/>
    </row>
    <row r="9558" spans="1:2" x14ac:dyDescent="0.2">
      <c r="A9558" s="40"/>
      <c r="B9558" s="40"/>
    </row>
    <row r="9559" spans="1:2" x14ac:dyDescent="0.2">
      <c r="A9559" s="40"/>
      <c r="B9559" s="40"/>
    </row>
    <row r="9560" spans="1:2" x14ac:dyDescent="0.2">
      <c r="A9560" s="40"/>
      <c r="B9560" s="40"/>
    </row>
    <row r="9561" spans="1:2" x14ac:dyDescent="0.2">
      <c r="A9561" s="40"/>
      <c r="B9561" s="40"/>
    </row>
    <row r="9562" spans="1:2" x14ac:dyDescent="0.2">
      <c r="A9562" s="40"/>
      <c r="B9562" s="40"/>
    </row>
    <row r="9563" spans="1:2" x14ac:dyDescent="0.2">
      <c r="A9563" s="40"/>
      <c r="B9563" s="40"/>
    </row>
    <row r="9564" spans="1:2" x14ac:dyDescent="0.2">
      <c r="A9564" s="40"/>
      <c r="B9564" s="40"/>
    </row>
    <row r="9565" spans="1:2" x14ac:dyDescent="0.2">
      <c r="A9565" s="40"/>
      <c r="B9565" s="40"/>
    </row>
    <row r="9566" spans="1:2" x14ac:dyDescent="0.2">
      <c r="A9566" s="40"/>
      <c r="B9566" s="40"/>
    </row>
    <row r="9567" spans="1:2" x14ac:dyDescent="0.2">
      <c r="A9567" s="40"/>
      <c r="B9567" s="40"/>
    </row>
    <row r="9568" spans="1:2" x14ac:dyDescent="0.2">
      <c r="A9568" s="40"/>
      <c r="B9568" s="40"/>
    </row>
    <row r="9569" spans="1:2" x14ac:dyDescent="0.2">
      <c r="A9569" s="40"/>
      <c r="B9569" s="40"/>
    </row>
    <row r="9570" spans="1:2" x14ac:dyDescent="0.2">
      <c r="A9570" s="40"/>
      <c r="B9570" s="40"/>
    </row>
    <row r="9571" spans="1:2" x14ac:dyDescent="0.2">
      <c r="A9571" s="40"/>
      <c r="B9571" s="40"/>
    </row>
    <row r="9572" spans="1:2" x14ac:dyDescent="0.2">
      <c r="A9572" s="40"/>
      <c r="B9572" s="40"/>
    </row>
    <row r="9573" spans="1:2" x14ac:dyDescent="0.2">
      <c r="A9573" s="40"/>
      <c r="B9573" s="40"/>
    </row>
    <row r="9574" spans="1:2" x14ac:dyDescent="0.2">
      <c r="A9574" s="40"/>
      <c r="B9574" s="40"/>
    </row>
    <row r="9575" spans="1:2" x14ac:dyDescent="0.2">
      <c r="A9575" s="40"/>
      <c r="B9575" s="40"/>
    </row>
    <row r="9576" spans="1:2" x14ac:dyDescent="0.2">
      <c r="A9576" s="40"/>
      <c r="B9576" s="40"/>
    </row>
    <row r="9577" spans="1:2" x14ac:dyDescent="0.2">
      <c r="A9577" s="40"/>
      <c r="B9577" s="40"/>
    </row>
    <row r="9578" spans="1:2" x14ac:dyDescent="0.2">
      <c r="A9578" s="40"/>
      <c r="B9578" s="40"/>
    </row>
    <row r="9579" spans="1:2" x14ac:dyDescent="0.2">
      <c r="A9579" s="40"/>
      <c r="B9579" s="40"/>
    </row>
    <row r="9580" spans="1:2" x14ac:dyDescent="0.2">
      <c r="A9580" s="40"/>
      <c r="B9580" s="40"/>
    </row>
    <row r="9581" spans="1:2" x14ac:dyDescent="0.2">
      <c r="A9581" s="40"/>
      <c r="B9581" s="40"/>
    </row>
    <row r="9582" spans="1:2" x14ac:dyDescent="0.2">
      <c r="A9582" s="40"/>
      <c r="B9582" s="40"/>
    </row>
    <row r="9583" spans="1:2" x14ac:dyDescent="0.2">
      <c r="A9583" s="40"/>
      <c r="B9583" s="40"/>
    </row>
    <row r="9584" spans="1:2" x14ac:dyDescent="0.2">
      <c r="A9584" s="40"/>
      <c r="B9584" s="40"/>
    </row>
    <row r="9585" spans="1:2" x14ac:dyDescent="0.2">
      <c r="A9585" s="40"/>
      <c r="B9585" s="40"/>
    </row>
    <row r="9586" spans="1:2" x14ac:dyDescent="0.2">
      <c r="A9586" s="40"/>
      <c r="B9586" s="40"/>
    </row>
    <row r="9587" spans="1:2" x14ac:dyDescent="0.2">
      <c r="A9587" s="40"/>
      <c r="B9587" s="40"/>
    </row>
    <row r="9588" spans="1:2" x14ac:dyDescent="0.2">
      <c r="A9588" s="40"/>
      <c r="B9588" s="40"/>
    </row>
    <row r="9589" spans="1:2" x14ac:dyDescent="0.2">
      <c r="A9589" s="40"/>
      <c r="B9589" s="40"/>
    </row>
    <row r="9590" spans="1:2" x14ac:dyDescent="0.2">
      <c r="A9590" s="40"/>
      <c r="B9590" s="40"/>
    </row>
    <row r="9591" spans="1:2" x14ac:dyDescent="0.2">
      <c r="A9591" s="40"/>
      <c r="B9591" s="40"/>
    </row>
    <row r="9592" spans="1:2" x14ac:dyDescent="0.2">
      <c r="A9592" s="40"/>
      <c r="B9592" s="40"/>
    </row>
    <row r="9593" spans="1:2" x14ac:dyDescent="0.2">
      <c r="A9593" s="40"/>
      <c r="B9593" s="40"/>
    </row>
    <row r="9594" spans="1:2" x14ac:dyDescent="0.2">
      <c r="A9594" s="40"/>
      <c r="B9594" s="40"/>
    </row>
    <row r="9595" spans="1:2" x14ac:dyDescent="0.2">
      <c r="A9595" s="40"/>
      <c r="B9595" s="40"/>
    </row>
    <row r="9596" spans="1:2" x14ac:dyDescent="0.2">
      <c r="A9596" s="40"/>
      <c r="B9596" s="40"/>
    </row>
    <row r="9597" spans="1:2" x14ac:dyDescent="0.2">
      <c r="A9597" s="40"/>
      <c r="B9597" s="40"/>
    </row>
    <row r="9598" spans="1:2" x14ac:dyDescent="0.2">
      <c r="A9598" s="40"/>
      <c r="B9598" s="40"/>
    </row>
    <row r="9599" spans="1:2" x14ac:dyDescent="0.2">
      <c r="A9599" s="40"/>
      <c r="B9599" s="40"/>
    </row>
    <row r="9600" spans="1:2" x14ac:dyDescent="0.2">
      <c r="A9600" s="40"/>
      <c r="B9600" s="40"/>
    </row>
    <row r="9601" spans="1:2" x14ac:dyDescent="0.2">
      <c r="A9601" s="40"/>
      <c r="B9601" s="40"/>
    </row>
    <row r="9602" spans="1:2" x14ac:dyDescent="0.2">
      <c r="A9602" s="40"/>
      <c r="B9602" s="40"/>
    </row>
    <row r="9603" spans="1:2" x14ac:dyDescent="0.2">
      <c r="A9603" s="40"/>
      <c r="B9603" s="40"/>
    </row>
    <row r="9604" spans="1:2" x14ac:dyDescent="0.2">
      <c r="A9604" s="40"/>
      <c r="B9604" s="40"/>
    </row>
    <row r="9605" spans="1:2" x14ac:dyDescent="0.2">
      <c r="A9605" s="40"/>
      <c r="B9605" s="40"/>
    </row>
    <row r="9606" spans="1:2" x14ac:dyDescent="0.2">
      <c r="A9606" s="40"/>
      <c r="B9606" s="40"/>
    </row>
    <row r="9607" spans="1:2" x14ac:dyDescent="0.2">
      <c r="A9607" s="40"/>
      <c r="B9607" s="40"/>
    </row>
    <row r="9608" spans="1:2" x14ac:dyDescent="0.2">
      <c r="A9608" s="40"/>
      <c r="B9608" s="40"/>
    </row>
    <row r="9609" spans="1:2" x14ac:dyDescent="0.2">
      <c r="A9609" s="40"/>
      <c r="B9609" s="40"/>
    </row>
    <row r="9610" spans="1:2" x14ac:dyDescent="0.2">
      <c r="A9610" s="40"/>
      <c r="B9610" s="40"/>
    </row>
    <row r="9611" spans="1:2" x14ac:dyDescent="0.2">
      <c r="A9611" s="40"/>
      <c r="B9611" s="40"/>
    </row>
    <row r="9612" spans="1:2" x14ac:dyDescent="0.2">
      <c r="A9612" s="40"/>
      <c r="B9612" s="40"/>
    </row>
    <row r="9613" spans="1:2" x14ac:dyDescent="0.2">
      <c r="A9613" s="40"/>
      <c r="B9613" s="40"/>
    </row>
    <row r="9614" spans="1:2" x14ac:dyDescent="0.2">
      <c r="A9614" s="40"/>
      <c r="B9614" s="40"/>
    </row>
    <row r="9615" spans="1:2" x14ac:dyDescent="0.2">
      <c r="A9615" s="40"/>
      <c r="B9615" s="40"/>
    </row>
    <row r="9616" spans="1:2" x14ac:dyDescent="0.2">
      <c r="A9616" s="40"/>
      <c r="B9616" s="40"/>
    </row>
    <row r="9617" spans="1:2" x14ac:dyDescent="0.2">
      <c r="A9617" s="40"/>
      <c r="B9617" s="40"/>
    </row>
    <row r="9618" spans="1:2" x14ac:dyDescent="0.2">
      <c r="A9618" s="40"/>
      <c r="B9618" s="40"/>
    </row>
    <row r="9619" spans="1:2" x14ac:dyDescent="0.2">
      <c r="A9619" s="40"/>
      <c r="B9619" s="40"/>
    </row>
    <row r="9620" spans="1:2" x14ac:dyDescent="0.2">
      <c r="A9620" s="40"/>
      <c r="B9620" s="40"/>
    </row>
    <row r="9621" spans="1:2" x14ac:dyDescent="0.2">
      <c r="A9621" s="40"/>
      <c r="B9621" s="40"/>
    </row>
    <row r="9622" spans="1:2" x14ac:dyDescent="0.2">
      <c r="A9622" s="40"/>
      <c r="B9622" s="40"/>
    </row>
    <row r="9623" spans="1:2" x14ac:dyDescent="0.2">
      <c r="A9623" s="40"/>
      <c r="B9623" s="40"/>
    </row>
    <row r="9624" spans="1:2" x14ac:dyDescent="0.2">
      <c r="A9624" s="40"/>
      <c r="B9624" s="40"/>
    </row>
    <row r="9625" spans="1:2" x14ac:dyDescent="0.2">
      <c r="A9625" s="40"/>
      <c r="B9625" s="40"/>
    </row>
    <row r="9626" spans="1:2" x14ac:dyDescent="0.2">
      <c r="A9626" s="40"/>
      <c r="B9626" s="40"/>
    </row>
    <row r="9627" spans="1:2" x14ac:dyDescent="0.2">
      <c r="A9627" s="40"/>
      <c r="B9627" s="40"/>
    </row>
    <row r="9628" spans="1:2" x14ac:dyDescent="0.2">
      <c r="A9628" s="40"/>
      <c r="B9628" s="40"/>
    </row>
    <row r="9629" spans="1:2" x14ac:dyDescent="0.2">
      <c r="A9629" s="40"/>
      <c r="B9629" s="40"/>
    </row>
    <row r="9630" spans="1:2" x14ac:dyDescent="0.2">
      <c r="A9630" s="40"/>
      <c r="B9630" s="40"/>
    </row>
    <row r="9631" spans="1:2" x14ac:dyDescent="0.2">
      <c r="A9631" s="40"/>
      <c r="B9631" s="40"/>
    </row>
    <row r="9632" spans="1:2" x14ac:dyDescent="0.2">
      <c r="A9632" s="40"/>
      <c r="B9632" s="40"/>
    </row>
    <row r="9633" spans="1:2" x14ac:dyDescent="0.2">
      <c r="A9633" s="40"/>
      <c r="B9633" s="40"/>
    </row>
    <row r="9634" spans="1:2" x14ac:dyDescent="0.2">
      <c r="A9634" s="40"/>
      <c r="B9634" s="40"/>
    </row>
    <row r="9635" spans="1:2" x14ac:dyDescent="0.2">
      <c r="A9635" s="40"/>
      <c r="B9635" s="40"/>
    </row>
    <row r="9636" spans="1:2" x14ac:dyDescent="0.2">
      <c r="A9636" s="40"/>
      <c r="B9636" s="40"/>
    </row>
    <row r="9637" spans="1:2" x14ac:dyDescent="0.2">
      <c r="A9637" s="40"/>
      <c r="B9637" s="40"/>
    </row>
    <row r="9638" spans="1:2" x14ac:dyDescent="0.2">
      <c r="A9638" s="40"/>
      <c r="B9638" s="40"/>
    </row>
    <row r="9639" spans="1:2" x14ac:dyDescent="0.2">
      <c r="A9639" s="40"/>
      <c r="B9639" s="40"/>
    </row>
    <row r="9640" spans="1:2" x14ac:dyDescent="0.2">
      <c r="A9640" s="40"/>
      <c r="B9640" s="40"/>
    </row>
    <row r="9641" spans="1:2" x14ac:dyDescent="0.2">
      <c r="A9641" s="40"/>
      <c r="B9641" s="40"/>
    </row>
    <row r="9642" spans="1:2" x14ac:dyDescent="0.2">
      <c r="A9642" s="40"/>
      <c r="B9642" s="40"/>
    </row>
    <row r="9643" spans="1:2" x14ac:dyDescent="0.2">
      <c r="A9643" s="40"/>
      <c r="B9643" s="40"/>
    </row>
    <row r="9644" spans="1:2" x14ac:dyDescent="0.2">
      <c r="A9644" s="40"/>
      <c r="B9644" s="40"/>
    </row>
    <row r="9645" spans="1:2" x14ac:dyDescent="0.2">
      <c r="A9645" s="40"/>
      <c r="B9645" s="40"/>
    </row>
    <row r="9646" spans="1:2" x14ac:dyDescent="0.2">
      <c r="A9646" s="40"/>
      <c r="B9646" s="40"/>
    </row>
    <row r="9647" spans="1:2" x14ac:dyDescent="0.2">
      <c r="A9647" s="40"/>
      <c r="B9647" s="40"/>
    </row>
    <row r="9648" spans="1:2" x14ac:dyDescent="0.2">
      <c r="A9648" s="40"/>
      <c r="B9648" s="40"/>
    </row>
    <row r="9649" spans="1:2" x14ac:dyDescent="0.2">
      <c r="A9649" s="40"/>
      <c r="B9649" s="40"/>
    </row>
    <row r="9650" spans="1:2" x14ac:dyDescent="0.2">
      <c r="A9650" s="40"/>
      <c r="B9650" s="40"/>
    </row>
    <row r="9651" spans="1:2" x14ac:dyDescent="0.2">
      <c r="A9651" s="40"/>
      <c r="B9651" s="40"/>
    </row>
    <row r="9652" spans="1:2" x14ac:dyDescent="0.2">
      <c r="A9652" s="40"/>
      <c r="B9652" s="40"/>
    </row>
    <row r="9653" spans="1:2" x14ac:dyDescent="0.2">
      <c r="A9653" s="40"/>
      <c r="B9653" s="40"/>
    </row>
    <row r="9654" spans="1:2" x14ac:dyDescent="0.2">
      <c r="A9654" s="40"/>
      <c r="B9654" s="40"/>
    </row>
    <row r="9655" spans="1:2" x14ac:dyDescent="0.2">
      <c r="A9655" s="40"/>
      <c r="B9655" s="40"/>
    </row>
    <row r="9656" spans="1:2" x14ac:dyDescent="0.2">
      <c r="A9656" s="40"/>
      <c r="B9656" s="40"/>
    </row>
    <row r="9657" spans="1:2" x14ac:dyDescent="0.2">
      <c r="A9657" s="40"/>
      <c r="B9657" s="40"/>
    </row>
    <row r="9658" spans="1:2" x14ac:dyDescent="0.2">
      <c r="A9658" s="40"/>
      <c r="B9658" s="40"/>
    </row>
    <row r="9659" spans="1:2" x14ac:dyDescent="0.2">
      <c r="A9659" s="40"/>
      <c r="B9659" s="40"/>
    </row>
    <row r="9660" spans="1:2" x14ac:dyDescent="0.2">
      <c r="A9660" s="40"/>
      <c r="B9660" s="40"/>
    </row>
    <row r="9661" spans="1:2" x14ac:dyDescent="0.2">
      <c r="A9661" s="40"/>
      <c r="B9661" s="40"/>
    </row>
    <row r="9662" spans="1:2" x14ac:dyDescent="0.2">
      <c r="A9662" s="40"/>
      <c r="B9662" s="40"/>
    </row>
    <row r="9663" spans="1:2" x14ac:dyDescent="0.2">
      <c r="A9663" s="40"/>
      <c r="B9663" s="40"/>
    </row>
    <row r="9664" spans="1:2" x14ac:dyDescent="0.2">
      <c r="A9664" s="40"/>
      <c r="B9664" s="40"/>
    </row>
    <row r="9665" spans="1:2" x14ac:dyDescent="0.2">
      <c r="A9665" s="40"/>
      <c r="B9665" s="40"/>
    </row>
    <row r="9666" spans="1:2" x14ac:dyDescent="0.2">
      <c r="A9666" s="40"/>
      <c r="B9666" s="40"/>
    </row>
    <row r="9667" spans="1:2" x14ac:dyDescent="0.2">
      <c r="A9667" s="40"/>
      <c r="B9667" s="40"/>
    </row>
    <row r="9668" spans="1:2" x14ac:dyDescent="0.2">
      <c r="A9668" s="40"/>
      <c r="B9668" s="40"/>
    </row>
    <row r="9669" spans="1:2" x14ac:dyDescent="0.2">
      <c r="A9669" s="40"/>
      <c r="B9669" s="40"/>
    </row>
    <row r="9670" spans="1:2" x14ac:dyDescent="0.2">
      <c r="A9670" s="40"/>
      <c r="B9670" s="40"/>
    </row>
    <row r="9671" spans="1:2" x14ac:dyDescent="0.2">
      <c r="A9671" s="40"/>
      <c r="B9671" s="40"/>
    </row>
    <row r="9672" spans="1:2" x14ac:dyDescent="0.2">
      <c r="A9672" s="40"/>
      <c r="B9672" s="40"/>
    </row>
    <row r="9673" spans="1:2" x14ac:dyDescent="0.2">
      <c r="A9673" s="40"/>
      <c r="B9673" s="40"/>
    </row>
    <row r="9674" spans="1:2" x14ac:dyDescent="0.2">
      <c r="A9674" s="40"/>
      <c r="B9674" s="40"/>
    </row>
    <row r="9675" spans="1:2" x14ac:dyDescent="0.2">
      <c r="A9675" s="40"/>
      <c r="B9675" s="40"/>
    </row>
    <row r="9676" spans="1:2" x14ac:dyDescent="0.2">
      <c r="A9676" s="40"/>
      <c r="B9676" s="40"/>
    </row>
    <row r="9677" spans="1:2" x14ac:dyDescent="0.2">
      <c r="A9677" s="40"/>
      <c r="B9677" s="40"/>
    </row>
    <row r="9678" spans="1:2" x14ac:dyDescent="0.2">
      <c r="A9678" s="40"/>
      <c r="B9678" s="40"/>
    </row>
    <row r="9679" spans="1:2" x14ac:dyDescent="0.2">
      <c r="A9679" s="40"/>
      <c r="B9679" s="40"/>
    </row>
    <row r="9680" spans="1:2" x14ac:dyDescent="0.2">
      <c r="A9680" s="40"/>
      <c r="B9680" s="40"/>
    </row>
    <row r="9681" spans="1:2" x14ac:dyDescent="0.2">
      <c r="A9681" s="40"/>
      <c r="B9681" s="40"/>
    </row>
    <row r="9682" spans="1:2" x14ac:dyDescent="0.2">
      <c r="A9682" s="40"/>
      <c r="B9682" s="40"/>
    </row>
    <row r="9683" spans="1:2" x14ac:dyDescent="0.2">
      <c r="A9683" s="40"/>
      <c r="B9683" s="40"/>
    </row>
    <row r="9684" spans="1:2" x14ac:dyDescent="0.2">
      <c r="A9684" s="40"/>
      <c r="B9684" s="40"/>
    </row>
    <row r="9685" spans="1:2" x14ac:dyDescent="0.2">
      <c r="A9685" s="40"/>
      <c r="B9685" s="40"/>
    </row>
    <row r="9686" spans="1:2" x14ac:dyDescent="0.2">
      <c r="A9686" s="40"/>
      <c r="B9686" s="40"/>
    </row>
    <row r="9687" spans="1:2" x14ac:dyDescent="0.2">
      <c r="A9687" s="40"/>
      <c r="B9687" s="40"/>
    </row>
    <row r="9688" spans="1:2" x14ac:dyDescent="0.2">
      <c r="A9688" s="40"/>
      <c r="B9688" s="40"/>
    </row>
    <row r="9689" spans="1:2" x14ac:dyDescent="0.2">
      <c r="A9689" s="40"/>
      <c r="B9689" s="40"/>
    </row>
    <row r="9690" spans="1:2" x14ac:dyDescent="0.2">
      <c r="A9690" s="40"/>
      <c r="B9690" s="40"/>
    </row>
    <row r="9691" spans="1:2" x14ac:dyDescent="0.2">
      <c r="A9691" s="40"/>
      <c r="B9691" s="40"/>
    </row>
    <row r="9692" spans="1:2" x14ac:dyDescent="0.2">
      <c r="A9692" s="40"/>
      <c r="B9692" s="40"/>
    </row>
    <row r="9693" spans="1:2" x14ac:dyDescent="0.2">
      <c r="A9693" s="40"/>
      <c r="B9693" s="40"/>
    </row>
    <row r="9694" spans="1:2" x14ac:dyDescent="0.2">
      <c r="A9694" s="40"/>
      <c r="B9694" s="40"/>
    </row>
    <row r="9695" spans="1:2" x14ac:dyDescent="0.2">
      <c r="A9695" s="40"/>
      <c r="B9695" s="40"/>
    </row>
    <row r="9696" spans="1:2" x14ac:dyDescent="0.2">
      <c r="A9696" s="40"/>
      <c r="B9696" s="40"/>
    </row>
    <row r="9697" spans="1:2" x14ac:dyDescent="0.2">
      <c r="A9697" s="40"/>
      <c r="B9697" s="40"/>
    </row>
    <row r="9698" spans="1:2" x14ac:dyDescent="0.2">
      <c r="A9698" s="40"/>
      <c r="B9698" s="40"/>
    </row>
    <row r="9699" spans="1:2" x14ac:dyDescent="0.2">
      <c r="A9699" s="40"/>
      <c r="B9699" s="40"/>
    </row>
    <row r="9700" spans="1:2" x14ac:dyDescent="0.2">
      <c r="A9700" s="40"/>
      <c r="B9700" s="40"/>
    </row>
    <row r="9701" spans="1:2" x14ac:dyDescent="0.2">
      <c r="A9701" s="40"/>
      <c r="B9701" s="40"/>
    </row>
    <row r="9702" spans="1:2" x14ac:dyDescent="0.2">
      <c r="A9702" s="40"/>
      <c r="B9702" s="40"/>
    </row>
    <row r="9703" spans="1:2" x14ac:dyDescent="0.2">
      <c r="A9703" s="40"/>
      <c r="B9703" s="40"/>
    </row>
    <row r="9704" spans="1:2" x14ac:dyDescent="0.2">
      <c r="A9704" s="40"/>
      <c r="B9704" s="40"/>
    </row>
    <row r="9705" spans="1:2" x14ac:dyDescent="0.2">
      <c r="A9705" s="40"/>
      <c r="B9705" s="40"/>
    </row>
    <row r="9706" spans="1:2" x14ac:dyDescent="0.2">
      <c r="A9706" s="40"/>
      <c r="B9706" s="40"/>
    </row>
    <row r="9707" spans="1:2" x14ac:dyDescent="0.2">
      <c r="A9707" s="40"/>
      <c r="B9707" s="40"/>
    </row>
    <row r="9708" spans="1:2" x14ac:dyDescent="0.2">
      <c r="A9708" s="40"/>
      <c r="B9708" s="40"/>
    </row>
    <row r="9709" spans="1:2" x14ac:dyDescent="0.2">
      <c r="A9709" s="40"/>
      <c r="B9709" s="40"/>
    </row>
    <row r="9710" spans="1:2" x14ac:dyDescent="0.2">
      <c r="A9710" s="40"/>
      <c r="B9710" s="40"/>
    </row>
    <row r="9711" spans="1:2" x14ac:dyDescent="0.2">
      <c r="A9711" s="40"/>
      <c r="B9711" s="40"/>
    </row>
    <row r="9712" spans="1:2" x14ac:dyDescent="0.2">
      <c r="A9712" s="40"/>
      <c r="B9712" s="40"/>
    </row>
    <row r="9713" spans="1:2" x14ac:dyDescent="0.2">
      <c r="A9713" s="40"/>
      <c r="B9713" s="40"/>
    </row>
    <row r="9714" spans="1:2" x14ac:dyDescent="0.2">
      <c r="A9714" s="40"/>
      <c r="B9714" s="40"/>
    </row>
    <row r="9715" spans="1:2" x14ac:dyDescent="0.2">
      <c r="A9715" s="40"/>
      <c r="B9715" s="40"/>
    </row>
    <row r="9716" spans="1:2" x14ac:dyDescent="0.2">
      <c r="A9716" s="40"/>
      <c r="B9716" s="40"/>
    </row>
    <row r="9717" spans="1:2" x14ac:dyDescent="0.2">
      <c r="A9717" s="40"/>
      <c r="B9717" s="40"/>
    </row>
    <row r="9718" spans="1:2" x14ac:dyDescent="0.2">
      <c r="A9718" s="40"/>
      <c r="B9718" s="40"/>
    </row>
    <row r="9719" spans="1:2" x14ac:dyDescent="0.2">
      <c r="A9719" s="40"/>
      <c r="B9719" s="40"/>
    </row>
    <row r="9720" spans="1:2" x14ac:dyDescent="0.2">
      <c r="A9720" s="40"/>
      <c r="B9720" s="40"/>
    </row>
    <row r="9721" spans="1:2" x14ac:dyDescent="0.2">
      <c r="A9721" s="40"/>
      <c r="B9721" s="40"/>
    </row>
    <row r="9722" spans="1:2" x14ac:dyDescent="0.2">
      <c r="A9722" s="40"/>
      <c r="B9722" s="40"/>
    </row>
    <row r="9723" spans="1:2" x14ac:dyDescent="0.2">
      <c r="A9723" s="40"/>
      <c r="B9723" s="40"/>
    </row>
    <row r="9724" spans="1:2" x14ac:dyDescent="0.2">
      <c r="A9724" s="40"/>
      <c r="B9724" s="40"/>
    </row>
    <row r="9725" spans="1:2" x14ac:dyDescent="0.2">
      <c r="A9725" s="40"/>
      <c r="B9725" s="40"/>
    </row>
    <row r="9726" spans="1:2" x14ac:dyDescent="0.2">
      <c r="A9726" s="40"/>
      <c r="B9726" s="40"/>
    </row>
    <row r="9727" spans="1:2" x14ac:dyDescent="0.2">
      <c r="A9727" s="40"/>
      <c r="B9727" s="40"/>
    </row>
    <row r="9728" spans="1:2" x14ac:dyDescent="0.2">
      <c r="A9728" s="40"/>
      <c r="B9728" s="40"/>
    </row>
    <row r="9729" spans="1:2" x14ac:dyDescent="0.2">
      <c r="A9729" s="40"/>
      <c r="B9729" s="40"/>
    </row>
    <row r="9730" spans="1:2" x14ac:dyDescent="0.2">
      <c r="A9730" s="40"/>
      <c r="B9730" s="40"/>
    </row>
    <row r="9731" spans="1:2" x14ac:dyDescent="0.2">
      <c r="A9731" s="40"/>
      <c r="B9731" s="40"/>
    </row>
    <row r="9732" spans="1:2" x14ac:dyDescent="0.2">
      <c r="A9732" s="40"/>
      <c r="B9732" s="40"/>
    </row>
    <row r="9733" spans="1:2" x14ac:dyDescent="0.2">
      <c r="A9733" s="40"/>
      <c r="B9733" s="40"/>
    </row>
    <row r="9734" spans="1:2" x14ac:dyDescent="0.2">
      <c r="A9734" s="40"/>
      <c r="B9734" s="40"/>
    </row>
    <row r="9735" spans="1:2" x14ac:dyDescent="0.2">
      <c r="A9735" s="40"/>
      <c r="B9735" s="40"/>
    </row>
    <row r="9736" spans="1:2" x14ac:dyDescent="0.2">
      <c r="A9736" s="40"/>
      <c r="B9736" s="40"/>
    </row>
    <row r="9737" spans="1:2" x14ac:dyDescent="0.2">
      <c r="A9737" s="40"/>
      <c r="B9737" s="40"/>
    </row>
    <row r="9738" spans="1:2" x14ac:dyDescent="0.2">
      <c r="A9738" s="40"/>
      <c r="B9738" s="40"/>
    </row>
    <row r="9739" spans="1:2" x14ac:dyDescent="0.2">
      <c r="A9739" s="40"/>
      <c r="B9739" s="40"/>
    </row>
    <row r="9740" spans="1:2" x14ac:dyDescent="0.2">
      <c r="A9740" s="40"/>
      <c r="B9740" s="40"/>
    </row>
    <row r="9741" spans="1:2" x14ac:dyDescent="0.2">
      <c r="A9741" s="40"/>
      <c r="B9741" s="40"/>
    </row>
    <row r="9742" spans="1:2" x14ac:dyDescent="0.2">
      <c r="A9742" s="40"/>
      <c r="B9742" s="40"/>
    </row>
    <row r="9743" spans="1:2" x14ac:dyDescent="0.2">
      <c r="A9743" s="40"/>
      <c r="B9743" s="40"/>
    </row>
    <row r="9744" spans="1:2" x14ac:dyDescent="0.2">
      <c r="A9744" s="40"/>
      <c r="B9744" s="40"/>
    </row>
    <row r="9745" spans="1:2" x14ac:dyDescent="0.2">
      <c r="A9745" s="40"/>
      <c r="B9745" s="40"/>
    </row>
    <row r="9746" spans="1:2" x14ac:dyDescent="0.2">
      <c r="A9746" s="40"/>
      <c r="B9746" s="40"/>
    </row>
    <row r="9747" spans="1:2" x14ac:dyDescent="0.2">
      <c r="A9747" s="40"/>
      <c r="B9747" s="40"/>
    </row>
    <row r="9748" spans="1:2" x14ac:dyDescent="0.2">
      <c r="A9748" s="40"/>
      <c r="B9748" s="40"/>
    </row>
    <row r="9749" spans="1:2" x14ac:dyDescent="0.2">
      <c r="A9749" s="40"/>
      <c r="B9749" s="40"/>
    </row>
    <row r="9750" spans="1:2" x14ac:dyDescent="0.2">
      <c r="A9750" s="40"/>
      <c r="B9750" s="40"/>
    </row>
    <row r="9751" spans="1:2" x14ac:dyDescent="0.2">
      <c r="A9751" s="40"/>
      <c r="B9751" s="40"/>
    </row>
    <row r="9752" spans="1:2" x14ac:dyDescent="0.2">
      <c r="A9752" s="40"/>
      <c r="B9752" s="40"/>
    </row>
    <row r="9753" spans="1:2" x14ac:dyDescent="0.2">
      <c r="A9753" s="40"/>
      <c r="B9753" s="40"/>
    </row>
    <row r="9754" spans="1:2" x14ac:dyDescent="0.2">
      <c r="A9754" s="40"/>
      <c r="B9754" s="40"/>
    </row>
    <row r="9755" spans="1:2" x14ac:dyDescent="0.2">
      <c r="A9755" s="40"/>
      <c r="B9755" s="40"/>
    </row>
    <row r="9756" spans="1:2" x14ac:dyDescent="0.2">
      <c r="A9756" s="40"/>
      <c r="B9756" s="40"/>
    </row>
    <row r="9757" spans="1:2" x14ac:dyDescent="0.2">
      <c r="A9757" s="40"/>
      <c r="B9757" s="40"/>
    </row>
    <row r="9758" spans="1:2" x14ac:dyDescent="0.2">
      <c r="A9758" s="40"/>
      <c r="B9758" s="40"/>
    </row>
    <row r="9759" spans="1:2" x14ac:dyDescent="0.2">
      <c r="A9759" s="40"/>
      <c r="B9759" s="40"/>
    </row>
    <row r="9760" spans="1:2" x14ac:dyDescent="0.2">
      <c r="A9760" s="40"/>
      <c r="B9760" s="40"/>
    </row>
    <row r="9761" spans="1:2" x14ac:dyDescent="0.2">
      <c r="A9761" s="40"/>
      <c r="B9761" s="40"/>
    </row>
    <row r="9762" spans="1:2" x14ac:dyDescent="0.2">
      <c r="A9762" s="40"/>
      <c r="B9762" s="40"/>
    </row>
    <row r="9763" spans="1:2" x14ac:dyDescent="0.2">
      <c r="A9763" s="40"/>
      <c r="B9763" s="40"/>
    </row>
    <row r="9764" spans="1:2" x14ac:dyDescent="0.2">
      <c r="A9764" s="40"/>
      <c r="B9764" s="40"/>
    </row>
    <row r="9765" spans="1:2" x14ac:dyDescent="0.2">
      <c r="A9765" s="40"/>
      <c r="B9765" s="40"/>
    </row>
    <row r="9766" spans="1:2" x14ac:dyDescent="0.2">
      <c r="A9766" s="40"/>
      <c r="B9766" s="40"/>
    </row>
    <row r="9767" spans="1:2" x14ac:dyDescent="0.2">
      <c r="A9767" s="40"/>
      <c r="B9767" s="40"/>
    </row>
    <row r="9768" spans="1:2" x14ac:dyDescent="0.2">
      <c r="A9768" s="40"/>
      <c r="B9768" s="40"/>
    </row>
    <row r="9769" spans="1:2" x14ac:dyDescent="0.2">
      <c r="A9769" s="40"/>
      <c r="B9769" s="40"/>
    </row>
    <row r="9770" spans="1:2" x14ac:dyDescent="0.2">
      <c r="A9770" s="40"/>
      <c r="B9770" s="40"/>
    </row>
    <row r="9771" spans="1:2" x14ac:dyDescent="0.2">
      <c r="A9771" s="40"/>
      <c r="B9771" s="40"/>
    </row>
    <row r="9772" spans="1:2" x14ac:dyDescent="0.2">
      <c r="A9772" s="40"/>
      <c r="B9772" s="40"/>
    </row>
    <row r="9773" spans="1:2" x14ac:dyDescent="0.2">
      <c r="A9773" s="40"/>
      <c r="B9773" s="40"/>
    </row>
    <row r="9774" spans="1:2" x14ac:dyDescent="0.2">
      <c r="A9774" s="40"/>
      <c r="B9774" s="40"/>
    </row>
    <row r="9775" spans="1:2" x14ac:dyDescent="0.2">
      <c r="A9775" s="40"/>
      <c r="B9775" s="40"/>
    </row>
    <row r="9776" spans="1:2" x14ac:dyDescent="0.2">
      <c r="A9776" s="40"/>
      <c r="B9776" s="40"/>
    </row>
    <row r="9777" spans="1:2" x14ac:dyDescent="0.2">
      <c r="A9777" s="40"/>
      <c r="B9777" s="40"/>
    </row>
    <row r="9778" spans="1:2" x14ac:dyDescent="0.2">
      <c r="A9778" s="40"/>
      <c r="B9778" s="40"/>
    </row>
    <row r="9779" spans="1:2" x14ac:dyDescent="0.2">
      <c r="A9779" s="40"/>
      <c r="B9779" s="40"/>
    </row>
    <row r="9780" spans="1:2" x14ac:dyDescent="0.2">
      <c r="A9780" s="40"/>
      <c r="B9780" s="40"/>
    </row>
    <row r="9781" spans="1:2" x14ac:dyDescent="0.2">
      <c r="A9781" s="40"/>
      <c r="B9781" s="40"/>
    </row>
    <row r="9782" spans="1:2" x14ac:dyDescent="0.2">
      <c r="A9782" s="40"/>
      <c r="B9782" s="40"/>
    </row>
    <row r="9783" spans="1:2" x14ac:dyDescent="0.2">
      <c r="A9783" s="40"/>
      <c r="B9783" s="40"/>
    </row>
    <row r="9784" spans="1:2" x14ac:dyDescent="0.2">
      <c r="A9784" s="40"/>
      <c r="B9784" s="40"/>
    </row>
    <row r="9785" spans="1:2" x14ac:dyDescent="0.2">
      <c r="A9785" s="40"/>
      <c r="B9785" s="40"/>
    </row>
    <row r="9786" spans="1:2" x14ac:dyDescent="0.2">
      <c r="A9786" s="40"/>
      <c r="B9786" s="40"/>
    </row>
    <row r="9787" spans="1:2" x14ac:dyDescent="0.2">
      <c r="A9787" s="40"/>
      <c r="B9787" s="40"/>
    </row>
    <row r="9788" spans="1:2" x14ac:dyDescent="0.2">
      <c r="A9788" s="40"/>
      <c r="B9788" s="40"/>
    </row>
    <row r="9789" spans="1:2" x14ac:dyDescent="0.2">
      <c r="A9789" s="40"/>
      <c r="B9789" s="40"/>
    </row>
    <row r="9790" spans="1:2" x14ac:dyDescent="0.2">
      <c r="A9790" s="40"/>
      <c r="B9790" s="40"/>
    </row>
    <row r="9791" spans="1:2" x14ac:dyDescent="0.2">
      <c r="A9791" s="40"/>
      <c r="B9791" s="40"/>
    </row>
    <row r="9792" spans="1:2" x14ac:dyDescent="0.2">
      <c r="A9792" s="40"/>
      <c r="B9792" s="40"/>
    </row>
    <row r="9793" spans="1:2" x14ac:dyDescent="0.2">
      <c r="A9793" s="40"/>
      <c r="B9793" s="40"/>
    </row>
    <row r="9794" spans="1:2" x14ac:dyDescent="0.2">
      <c r="A9794" s="40"/>
      <c r="B9794" s="40"/>
    </row>
    <row r="9795" spans="1:2" x14ac:dyDescent="0.2">
      <c r="A9795" s="40"/>
      <c r="B9795" s="40"/>
    </row>
    <row r="9796" spans="1:2" x14ac:dyDescent="0.2">
      <c r="A9796" s="40"/>
      <c r="B9796" s="40"/>
    </row>
    <row r="9797" spans="1:2" x14ac:dyDescent="0.2">
      <c r="A9797" s="40"/>
      <c r="B9797" s="40"/>
    </row>
    <row r="9798" spans="1:2" x14ac:dyDescent="0.2">
      <c r="A9798" s="40"/>
      <c r="B9798" s="40"/>
    </row>
    <row r="9799" spans="1:2" x14ac:dyDescent="0.2">
      <c r="A9799" s="40"/>
      <c r="B9799" s="40"/>
    </row>
    <row r="9800" spans="1:2" x14ac:dyDescent="0.2">
      <c r="A9800" s="40"/>
      <c r="B9800" s="40"/>
    </row>
    <row r="9801" spans="1:2" x14ac:dyDescent="0.2">
      <c r="A9801" s="40"/>
      <c r="B9801" s="40"/>
    </row>
    <row r="9802" spans="1:2" x14ac:dyDescent="0.2">
      <c r="A9802" s="40"/>
      <c r="B9802" s="40"/>
    </row>
    <row r="9803" spans="1:2" x14ac:dyDescent="0.2">
      <c r="A9803" s="40"/>
      <c r="B9803" s="40"/>
    </row>
    <row r="9804" spans="1:2" x14ac:dyDescent="0.2">
      <c r="A9804" s="40"/>
      <c r="B9804" s="40"/>
    </row>
    <row r="9805" spans="1:2" x14ac:dyDescent="0.2">
      <c r="A9805" s="40"/>
      <c r="B9805" s="40"/>
    </row>
    <row r="9806" spans="1:2" x14ac:dyDescent="0.2">
      <c r="A9806" s="40"/>
      <c r="B9806" s="40"/>
    </row>
    <row r="9807" spans="1:2" x14ac:dyDescent="0.2">
      <c r="A9807" s="40"/>
      <c r="B9807" s="40"/>
    </row>
    <row r="9808" spans="1:2" x14ac:dyDescent="0.2">
      <c r="A9808" s="40"/>
      <c r="B9808" s="40"/>
    </row>
    <row r="9809" spans="1:2" x14ac:dyDescent="0.2">
      <c r="A9809" s="40"/>
      <c r="B9809" s="40"/>
    </row>
    <row r="9810" spans="1:2" x14ac:dyDescent="0.2">
      <c r="A9810" s="40"/>
      <c r="B9810" s="40"/>
    </row>
    <row r="9811" spans="1:2" x14ac:dyDescent="0.2">
      <c r="A9811" s="40"/>
      <c r="B9811" s="40"/>
    </row>
    <row r="9812" spans="1:2" x14ac:dyDescent="0.2">
      <c r="A9812" s="40"/>
      <c r="B9812" s="40"/>
    </row>
    <row r="9813" spans="1:2" x14ac:dyDescent="0.2">
      <c r="A9813" s="40"/>
      <c r="B9813" s="40"/>
    </row>
    <row r="9814" spans="1:2" x14ac:dyDescent="0.2">
      <c r="A9814" s="40"/>
      <c r="B9814" s="40"/>
    </row>
    <row r="9815" spans="1:2" x14ac:dyDescent="0.2">
      <c r="A9815" s="40"/>
      <c r="B9815" s="40"/>
    </row>
    <row r="9816" spans="1:2" x14ac:dyDescent="0.2">
      <c r="A9816" s="40"/>
      <c r="B9816" s="40"/>
    </row>
    <row r="9817" spans="1:2" x14ac:dyDescent="0.2">
      <c r="A9817" s="40"/>
      <c r="B9817" s="40"/>
    </row>
    <row r="9818" spans="1:2" x14ac:dyDescent="0.2">
      <c r="A9818" s="40"/>
      <c r="B9818" s="40"/>
    </row>
    <row r="9819" spans="1:2" x14ac:dyDescent="0.2">
      <c r="A9819" s="40"/>
      <c r="B9819" s="40"/>
    </row>
    <row r="9820" spans="1:2" x14ac:dyDescent="0.2">
      <c r="A9820" s="40"/>
      <c r="B9820" s="40"/>
    </row>
    <row r="9821" spans="1:2" x14ac:dyDescent="0.2">
      <c r="A9821" s="40"/>
      <c r="B9821" s="40"/>
    </row>
    <row r="9822" spans="1:2" x14ac:dyDescent="0.2">
      <c r="A9822" s="40"/>
      <c r="B9822" s="40"/>
    </row>
    <row r="9823" spans="1:2" x14ac:dyDescent="0.2">
      <c r="A9823" s="40"/>
      <c r="B9823" s="40"/>
    </row>
    <row r="9824" spans="1:2" x14ac:dyDescent="0.2">
      <c r="A9824" s="40"/>
      <c r="B9824" s="40"/>
    </row>
    <row r="9825" spans="1:2" x14ac:dyDescent="0.2">
      <c r="A9825" s="40"/>
      <c r="B9825" s="40"/>
    </row>
    <row r="9826" spans="1:2" x14ac:dyDescent="0.2">
      <c r="A9826" s="40"/>
      <c r="B9826" s="40"/>
    </row>
    <row r="9827" spans="1:2" x14ac:dyDescent="0.2">
      <c r="A9827" s="40"/>
      <c r="B9827" s="40"/>
    </row>
    <row r="9828" spans="1:2" x14ac:dyDescent="0.2">
      <c r="A9828" s="40"/>
      <c r="B9828" s="40"/>
    </row>
    <row r="9829" spans="1:2" x14ac:dyDescent="0.2">
      <c r="A9829" s="40"/>
      <c r="B9829" s="40"/>
    </row>
    <row r="9830" spans="1:2" x14ac:dyDescent="0.2">
      <c r="A9830" s="40"/>
      <c r="B9830" s="40"/>
    </row>
    <row r="9831" spans="1:2" x14ac:dyDescent="0.2">
      <c r="A9831" s="40"/>
      <c r="B9831" s="40"/>
    </row>
    <row r="9832" spans="1:2" x14ac:dyDescent="0.2">
      <c r="A9832" s="40"/>
      <c r="B9832" s="40"/>
    </row>
    <row r="9833" spans="1:2" x14ac:dyDescent="0.2">
      <c r="A9833" s="40"/>
      <c r="B9833" s="40"/>
    </row>
    <row r="9834" spans="1:2" x14ac:dyDescent="0.2">
      <c r="A9834" s="40"/>
      <c r="B9834" s="40"/>
    </row>
    <row r="9835" spans="1:2" x14ac:dyDescent="0.2">
      <c r="A9835" s="40"/>
      <c r="B9835" s="40"/>
    </row>
    <row r="9836" spans="1:2" x14ac:dyDescent="0.2">
      <c r="A9836" s="40"/>
      <c r="B9836" s="40"/>
    </row>
    <row r="9837" spans="1:2" x14ac:dyDescent="0.2">
      <c r="A9837" s="40"/>
      <c r="B9837" s="40"/>
    </row>
    <row r="9838" spans="1:2" x14ac:dyDescent="0.2">
      <c r="A9838" s="40"/>
      <c r="B9838" s="40"/>
    </row>
    <row r="9839" spans="1:2" x14ac:dyDescent="0.2">
      <c r="A9839" s="40"/>
      <c r="B9839" s="40"/>
    </row>
    <row r="9840" spans="1:2" x14ac:dyDescent="0.2">
      <c r="A9840" s="40"/>
      <c r="B9840" s="40"/>
    </row>
    <row r="9841" spans="1:2" x14ac:dyDescent="0.2">
      <c r="A9841" s="40"/>
      <c r="B9841" s="40"/>
    </row>
    <row r="9842" spans="1:2" x14ac:dyDescent="0.2">
      <c r="A9842" s="40"/>
      <c r="B9842" s="40"/>
    </row>
    <row r="9843" spans="1:2" x14ac:dyDescent="0.2">
      <c r="A9843" s="40"/>
      <c r="B9843" s="40"/>
    </row>
    <row r="9844" spans="1:2" x14ac:dyDescent="0.2">
      <c r="A9844" s="40"/>
      <c r="B9844" s="40"/>
    </row>
    <row r="9845" spans="1:2" x14ac:dyDescent="0.2">
      <c r="A9845" s="40"/>
      <c r="B9845" s="40"/>
    </row>
    <row r="9846" spans="1:2" x14ac:dyDescent="0.2">
      <c r="A9846" s="40"/>
      <c r="B9846" s="40"/>
    </row>
    <row r="9847" spans="1:2" x14ac:dyDescent="0.2">
      <c r="A9847" s="40"/>
      <c r="B9847" s="40"/>
    </row>
    <row r="9848" spans="1:2" x14ac:dyDescent="0.2">
      <c r="A9848" s="40"/>
      <c r="B9848" s="40"/>
    </row>
    <row r="9849" spans="1:2" x14ac:dyDescent="0.2">
      <c r="A9849" s="40"/>
      <c r="B9849" s="40"/>
    </row>
    <row r="9850" spans="1:2" x14ac:dyDescent="0.2">
      <c r="A9850" s="40"/>
      <c r="B9850" s="40"/>
    </row>
    <row r="9851" spans="1:2" x14ac:dyDescent="0.2">
      <c r="A9851" s="40"/>
      <c r="B9851" s="40"/>
    </row>
    <row r="9852" spans="1:2" x14ac:dyDescent="0.2">
      <c r="A9852" s="40"/>
      <c r="B9852" s="40"/>
    </row>
    <row r="9853" spans="1:2" x14ac:dyDescent="0.2">
      <c r="A9853" s="40"/>
      <c r="B9853" s="40"/>
    </row>
    <row r="9854" spans="1:2" x14ac:dyDescent="0.2">
      <c r="A9854" s="40"/>
      <c r="B9854" s="40"/>
    </row>
    <row r="9855" spans="1:2" x14ac:dyDescent="0.2">
      <c r="A9855" s="40"/>
      <c r="B9855" s="40"/>
    </row>
    <row r="9856" spans="1:2" x14ac:dyDescent="0.2">
      <c r="A9856" s="40"/>
      <c r="B9856" s="40"/>
    </row>
    <row r="9857" spans="1:2" x14ac:dyDescent="0.2">
      <c r="A9857" s="40"/>
      <c r="B9857" s="40"/>
    </row>
    <row r="9858" spans="1:2" x14ac:dyDescent="0.2">
      <c r="A9858" s="40"/>
      <c r="B9858" s="40"/>
    </row>
    <row r="9859" spans="1:2" x14ac:dyDescent="0.2">
      <c r="A9859" s="40"/>
      <c r="B9859" s="40"/>
    </row>
    <row r="9860" spans="1:2" x14ac:dyDescent="0.2">
      <c r="A9860" s="40"/>
      <c r="B9860" s="40"/>
    </row>
    <row r="9861" spans="1:2" x14ac:dyDescent="0.2">
      <c r="A9861" s="40"/>
      <c r="B9861" s="40"/>
    </row>
    <row r="9862" spans="1:2" x14ac:dyDescent="0.2">
      <c r="A9862" s="40"/>
      <c r="B9862" s="40"/>
    </row>
    <row r="9863" spans="1:2" x14ac:dyDescent="0.2">
      <c r="A9863" s="40"/>
      <c r="B9863" s="40"/>
    </row>
    <row r="9864" spans="1:2" x14ac:dyDescent="0.2">
      <c r="A9864" s="40"/>
      <c r="B9864" s="40"/>
    </row>
    <row r="9865" spans="1:2" x14ac:dyDescent="0.2">
      <c r="A9865" s="40"/>
      <c r="B9865" s="40"/>
    </row>
    <row r="9866" spans="1:2" x14ac:dyDescent="0.2">
      <c r="A9866" s="40"/>
      <c r="B9866" s="40"/>
    </row>
    <row r="9867" spans="1:2" x14ac:dyDescent="0.2">
      <c r="A9867" s="40"/>
      <c r="B9867" s="40"/>
    </row>
    <row r="9868" spans="1:2" x14ac:dyDescent="0.2">
      <c r="A9868" s="40"/>
      <c r="B9868" s="40"/>
    </row>
    <row r="9869" spans="1:2" x14ac:dyDescent="0.2">
      <c r="A9869" s="40"/>
      <c r="B9869" s="40"/>
    </row>
    <row r="9870" spans="1:2" x14ac:dyDescent="0.2">
      <c r="A9870" s="40"/>
      <c r="B9870" s="40"/>
    </row>
    <row r="9871" spans="1:2" x14ac:dyDescent="0.2">
      <c r="A9871" s="40"/>
      <c r="B9871" s="40"/>
    </row>
    <row r="9872" spans="1:2" x14ac:dyDescent="0.2">
      <c r="A9872" s="40"/>
      <c r="B9872" s="40"/>
    </row>
    <row r="9873" spans="1:2" x14ac:dyDescent="0.2">
      <c r="A9873" s="40"/>
      <c r="B9873" s="40"/>
    </row>
    <row r="9874" spans="1:2" x14ac:dyDescent="0.2">
      <c r="A9874" s="40"/>
      <c r="B9874" s="40"/>
    </row>
    <row r="9875" spans="1:2" x14ac:dyDescent="0.2">
      <c r="A9875" s="40"/>
      <c r="B9875" s="40"/>
    </row>
    <row r="9876" spans="1:2" x14ac:dyDescent="0.2">
      <c r="A9876" s="40"/>
      <c r="B9876" s="40"/>
    </row>
    <row r="9877" spans="1:2" x14ac:dyDescent="0.2">
      <c r="A9877" s="40"/>
      <c r="B9877" s="40"/>
    </row>
    <row r="9878" spans="1:2" x14ac:dyDescent="0.2">
      <c r="A9878" s="40"/>
      <c r="B9878" s="40"/>
    </row>
    <row r="9879" spans="1:2" x14ac:dyDescent="0.2">
      <c r="A9879" s="40"/>
      <c r="B9879" s="40"/>
    </row>
    <row r="9880" spans="1:2" x14ac:dyDescent="0.2">
      <c r="A9880" s="40"/>
      <c r="B9880" s="40"/>
    </row>
    <row r="9881" spans="1:2" x14ac:dyDescent="0.2">
      <c r="A9881" s="40"/>
      <c r="B9881" s="40"/>
    </row>
    <row r="9882" spans="1:2" x14ac:dyDescent="0.2">
      <c r="A9882" s="40"/>
      <c r="B9882" s="40"/>
    </row>
    <row r="9883" spans="1:2" x14ac:dyDescent="0.2">
      <c r="A9883" s="40"/>
      <c r="B9883" s="40"/>
    </row>
    <row r="9884" spans="1:2" x14ac:dyDescent="0.2">
      <c r="A9884" s="40"/>
      <c r="B9884" s="40"/>
    </row>
    <row r="9885" spans="1:2" x14ac:dyDescent="0.2">
      <c r="A9885" s="40"/>
      <c r="B9885" s="40"/>
    </row>
    <row r="9886" spans="1:2" x14ac:dyDescent="0.2">
      <c r="A9886" s="40"/>
      <c r="B9886" s="40"/>
    </row>
    <row r="9887" spans="1:2" x14ac:dyDescent="0.2">
      <c r="A9887" s="40"/>
      <c r="B9887" s="40"/>
    </row>
    <row r="9888" spans="1:2" x14ac:dyDescent="0.2">
      <c r="A9888" s="40"/>
      <c r="B9888" s="40"/>
    </row>
    <row r="9889" spans="1:2" x14ac:dyDescent="0.2">
      <c r="A9889" s="40"/>
      <c r="B9889" s="40"/>
    </row>
    <row r="9890" spans="1:2" x14ac:dyDescent="0.2">
      <c r="A9890" s="40"/>
      <c r="B9890" s="40"/>
    </row>
    <row r="9891" spans="1:2" x14ac:dyDescent="0.2">
      <c r="A9891" s="40"/>
      <c r="B9891" s="40"/>
    </row>
    <row r="9892" spans="1:2" x14ac:dyDescent="0.2">
      <c r="A9892" s="40"/>
      <c r="B9892" s="40"/>
    </row>
    <row r="9893" spans="1:2" x14ac:dyDescent="0.2">
      <c r="A9893" s="40"/>
      <c r="B9893" s="40"/>
    </row>
    <row r="9894" spans="1:2" x14ac:dyDescent="0.2">
      <c r="A9894" s="40"/>
      <c r="B9894" s="40"/>
    </row>
    <row r="9895" spans="1:2" x14ac:dyDescent="0.2">
      <c r="A9895" s="40"/>
      <c r="B9895" s="40"/>
    </row>
    <row r="9896" spans="1:2" x14ac:dyDescent="0.2">
      <c r="A9896" s="40"/>
      <c r="B9896" s="40"/>
    </row>
    <row r="9897" spans="1:2" x14ac:dyDescent="0.2">
      <c r="A9897" s="40"/>
      <c r="B9897" s="40"/>
    </row>
    <row r="9898" spans="1:2" x14ac:dyDescent="0.2">
      <c r="A9898" s="40"/>
      <c r="B9898" s="40"/>
    </row>
    <row r="9899" spans="1:2" x14ac:dyDescent="0.2">
      <c r="A9899" s="40"/>
      <c r="B9899" s="40"/>
    </row>
    <row r="9900" spans="1:2" x14ac:dyDescent="0.2">
      <c r="A9900" s="40"/>
      <c r="B9900" s="40"/>
    </row>
    <row r="9901" spans="1:2" x14ac:dyDescent="0.2">
      <c r="A9901" s="40"/>
      <c r="B9901" s="40"/>
    </row>
    <row r="9902" spans="1:2" x14ac:dyDescent="0.2">
      <c r="A9902" s="40"/>
      <c r="B9902" s="40"/>
    </row>
    <row r="9903" spans="1:2" x14ac:dyDescent="0.2">
      <c r="A9903" s="40"/>
      <c r="B9903" s="40"/>
    </row>
    <row r="9904" spans="1:2" x14ac:dyDescent="0.2">
      <c r="A9904" s="40"/>
      <c r="B9904" s="40"/>
    </row>
    <row r="9905" spans="1:2" x14ac:dyDescent="0.2">
      <c r="A9905" s="40"/>
      <c r="B9905" s="40"/>
    </row>
    <row r="9906" spans="1:2" x14ac:dyDescent="0.2">
      <c r="A9906" s="40"/>
      <c r="B9906" s="40"/>
    </row>
    <row r="9907" spans="1:2" x14ac:dyDescent="0.2">
      <c r="A9907" s="40"/>
      <c r="B9907" s="40"/>
    </row>
    <row r="9908" spans="1:2" x14ac:dyDescent="0.2">
      <c r="A9908" s="40"/>
      <c r="B9908" s="40"/>
    </row>
    <row r="9909" spans="1:2" x14ac:dyDescent="0.2">
      <c r="A9909" s="40"/>
      <c r="B9909" s="40"/>
    </row>
    <row r="9910" spans="1:2" x14ac:dyDescent="0.2">
      <c r="A9910" s="40"/>
      <c r="B9910" s="40"/>
    </row>
    <row r="9911" spans="1:2" x14ac:dyDescent="0.2">
      <c r="A9911" s="40"/>
      <c r="B9911" s="40"/>
    </row>
    <row r="9912" spans="1:2" x14ac:dyDescent="0.2">
      <c r="A9912" s="40"/>
      <c r="B9912" s="40"/>
    </row>
    <row r="9913" spans="1:2" x14ac:dyDescent="0.2">
      <c r="A9913" s="40"/>
      <c r="B9913" s="40"/>
    </row>
    <row r="9914" spans="1:2" x14ac:dyDescent="0.2">
      <c r="A9914" s="40"/>
      <c r="B9914" s="40"/>
    </row>
    <row r="9915" spans="1:2" x14ac:dyDescent="0.2">
      <c r="A9915" s="40"/>
      <c r="B9915" s="40"/>
    </row>
    <row r="9916" spans="1:2" x14ac:dyDescent="0.2">
      <c r="A9916" s="40"/>
      <c r="B9916" s="40"/>
    </row>
    <row r="9917" spans="1:2" x14ac:dyDescent="0.2">
      <c r="A9917" s="40"/>
      <c r="B9917" s="40"/>
    </row>
    <row r="9918" spans="1:2" x14ac:dyDescent="0.2">
      <c r="A9918" s="40"/>
      <c r="B9918" s="40"/>
    </row>
    <row r="9919" spans="1:2" x14ac:dyDescent="0.2">
      <c r="A9919" s="40"/>
      <c r="B9919" s="40"/>
    </row>
    <row r="9920" spans="1:2" x14ac:dyDescent="0.2">
      <c r="A9920" s="40"/>
      <c r="B9920" s="40"/>
    </row>
    <row r="9921" spans="1:2" x14ac:dyDescent="0.2">
      <c r="A9921" s="40"/>
      <c r="B9921" s="40"/>
    </row>
    <row r="9922" spans="1:2" x14ac:dyDescent="0.2">
      <c r="A9922" s="40"/>
      <c r="B9922" s="40"/>
    </row>
    <row r="9923" spans="1:2" x14ac:dyDescent="0.2">
      <c r="A9923" s="40"/>
      <c r="B9923" s="40"/>
    </row>
    <row r="9924" spans="1:2" x14ac:dyDescent="0.2">
      <c r="A9924" s="40"/>
      <c r="B9924" s="40"/>
    </row>
    <row r="9925" spans="1:2" x14ac:dyDescent="0.2">
      <c r="A9925" s="40"/>
      <c r="B9925" s="40"/>
    </row>
    <row r="9926" spans="1:2" x14ac:dyDescent="0.2">
      <c r="A9926" s="40"/>
      <c r="B9926" s="40"/>
    </row>
    <row r="9927" spans="1:2" x14ac:dyDescent="0.2">
      <c r="A9927" s="40"/>
      <c r="B9927" s="40"/>
    </row>
    <row r="9928" spans="1:2" x14ac:dyDescent="0.2">
      <c r="A9928" s="40"/>
      <c r="B9928" s="40"/>
    </row>
    <row r="9929" spans="1:2" x14ac:dyDescent="0.2">
      <c r="A9929" s="40"/>
      <c r="B9929" s="40"/>
    </row>
    <row r="9930" spans="1:2" x14ac:dyDescent="0.2">
      <c r="A9930" s="40"/>
      <c r="B9930" s="40"/>
    </row>
    <row r="9931" spans="1:2" x14ac:dyDescent="0.2">
      <c r="A9931" s="40"/>
      <c r="B9931" s="40"/>
    </row>
    <row r="9932" spans="1:2" x14ac:dyDescent="0.2">
      <c r="A9932" s="40"/>
      <c r="B9932" s="40"/>
    </row>
    <row r="9933" spans="1:2" x14ac:dyDescent="0.2">
      <c r="A9933" s="40"/>
      <c r="B9933" s="40"/>
    </row>
    <row r="9934" spans="1:2" x14ac:dyDescent="0.2">
      <c r="A9934" s="40"/>
      <c r="B9934" s="40"/>
    </row>
    <row r="9935" spans="1:2" x14ac:dyDescent="0.2">
      <c r="A9935" s="40"/>
      <c r="B9935" s="40"/>
    </row>
    <row r="9936" spans="1:2" x14ac:dyDescent="0.2">
      <c r="A9936" s="40"/>
      <c r="B9936" s="40"/>
    </row>
    <row r="9937" spans="1:2" x14ac:dyDescent="0.2">
      <c r="A9937" s="40"/>
      <c r="B9937" s="40"/>
    </row>
    <row r="9938" spans="1:2" x14ac:dyDescent="0.2">
      <c r="A9938" s="40"/>
      <c r="B9938" s="40"/>
    </row>
    <row r="9939" spans="1:2" x14ac:dyDescent="0.2">
      <c r="A9939" s="40"/>
      <c r="B9939" s="40"/>
    </row>
    <row r="9940" spans="1:2" x14ac:dyDescent="0.2">
      <c r="A9940" s="40"/>
      <c r="B9940" s="40"/>
    </row>
    <row r="9941" spans="1:2" x14ac:dyDescent="0.2">
      <c r="A9941" s="40"/>
      <c r="B9941" s="40"/>
    </row>
    <row r="9942" spans="1:2" x14ac:dyDescent="0.2">
      <c r="A9942" s="40"/>
      <c r="B9942" s="40"/>
    </row>
    <row r="9943" spans="1:2" x14ac:dyDescent="0.2">
      <c r="A9943" s="40"/>
      <c r="B9943" s="40"/>
    </row>
    <row r="9944" spans="1:2" x14ac:dyDescent="0.2">
      <c r="A9944" s="40"/>
      <c r="B9944" s="40"/>
    </row>
    <row r="9945" spans="1:2" x14ac:dyDescent="0.2">
      <c r="A9945" s="40"/>
      <c r="B9945" s="40"/>
    </row>
    <row r="9946" spans="1:2" x14ac:dyDescent="0.2">
      <c r="A9946" s="40"/>
      <c r="B9946" s="40"/>
    </row>
    <row r="9947" spans="1:2" x14ac:dyDescent="0.2">
      <c r="A9947" s="40"/>
      <c r="B9947" s="40"/>
    </row>
    <row r="9948" spans="1:2" x14ac:dyDescent="0.2">
      <c r="A9948" s="40"/>
      <c r="B9948" s="40"/>
    </row>
    <row r="9949" spans="1:2" x14ac:dyDescent="0.2">
      <c r="A9949" s="40"/>
      <c r="B9949" s="40"/>
    </row>
    <row r="9950" spans="1:2" x14ac:dyDescent="0.2">
      <c r="A9950" s="40"/>
      <c r="B9950" s="40"/>
    </row>
    <row r="9951" spans="1:2" x14ac:dyDescent="0.2">
      <c r="A9951" s="40"/>
      <c r="B9951" s="40"/>
    </row>
    <row r="9952" spans="1:2" x14ac:dyDescent="0.2">
      <c r="A9952" s="40"/>
      <c r="B9952" s="40"/>
    </row>
    <row r="9953" spans="1:2" x14ac:dyDescent="0.2">
      <c r="A9953" s="40"/>
      <c r="B9953" s="40"/>
    </row>
    <row r="9954" spans="1:2" x14ac:dyDescent="0.2">
      <c r="A9954" s="40"/>
      <c r="B9954" s="40"/>
    </row>
    <row r="9955" spans="1:2" x14ac:dyDescent="0.2">
      <c r="A9955" s="40"/>
      <c r="B9955" s="40"/>
    </row>
    <row r="9956" spans="1:2" x14ac:dyDescent="0.2">
      <c r="A9956" s="40"/>
      <c r="B9956" s="40"/>
    </row>
    <row r="9957" spans="1:2" x14ac:dyDescent="0.2">
      <c r="A9957" s="40"/>
      <c r="B9957" s="40"/>
    </row>
    <row r="9958" spans="1:2" x14ac:dyDescent="0.2">
      <c r="A9958" s="40"/>
      <c r="B9958" s="40"/>
    </row>
    <row r="9959" spans="1:2" x14ac:dyDescent="0.2">
      <c r="A9959" s="40"/>
      <c r="B9959" s="40"/>
    </row>
    <row r="9960" spans="1:2" x14ac:dyDescent="0.2">
      <c r="A9960" s="40"/>
      <c r="B9960" s="40"/>
    </row>
    <row r="9961" spans="1:2" x14ac:dyDescent="0.2">
      <c r="A9961" s="40"/>
      <c r="B9961" s="40"/>
    </row>
    <row r="9962" spans="1:2" x14ac:dyDescent="0.2">
      <c r="A9962" s="40"/>
      <c r="B9962" s="40"/>
    </row>
    <row r="9963" spans="1:2" x14ac:dyDescent="0.2">
      <c r="A9963" s="40"/>
      <c r="B9963" s="40"/>
    </row>
    <row r="9964" spans="1:2" x14ac:dyDescent="0.2">
      <c r="A9964" s="40"/>
      <c r="B9964" s="40"/>
    </row>
    <row r="9965" spans="1:2" x14ac:dyDescent="0.2">
      <c r="A9965" s="40"/>
      <c r="B9965" s="40"/>
    </row>
    <row r="9966" spans="1:2" x14ac:dyDescent="0.2">
      <c r="A9966" s="40"/>
      <c r="B9966" s="40"/>
    </row>
    <row r="9967" spans="1:2" x14ac:dyDescent="0.2">
      <c r="A9967" s="40"/>
      <c r="B9967" s="40"/>
    </row>
    <row r="9968" spans="1:2" x14ac:dyDescent="0.2">
      <c r="A9968" s="40"/>
      <c r="B9968" s="40"/>
    </row>
    <row r="9969" spans="1:2" x14ac:dyDescent="0.2">
      <c r="A9969" s="40"/>
      <c r="B9969" s="40"/>
    </row>
    <row r="9970" spans="1:2" x14ac:dyDescent="0.2">
      <c r="A9970" s="40"/>
      <c r="B9970" s="40"/>
    </row>
    <row r="9971" spans="1:2" x14ac:dyDescent="0.2">
      <c r="A9971" s="40"/>
      <c r="B9971" s="40"/>
    </row>
    <row r="9972" spans="1:2" x14ac:dyDescent="0.2">
      <c r="A9972" s="40"/>
      <c r="B9972" s="40"/>
    </row>
    <row r="9973" spans="1:2" x14ac:dyDescent="0.2">
      <c r="A9973" s="40"/>
      <c r="B9973" s="40"/>
    </row>
    <row r="9974" spans="1:2" x14ac:dyDescent="0.2">
      <c r="A9974" s="40"/>
      <c r="B9974" s="40"/>
    </row>
    <row r="9975" spans="1:2" x14ac:dyDescent="0.2">
      <c r="A9975" s="40"/>
      <c r="B9975" s="40"/>
    </row>
    <row r="9976" spans="1:2" x14ac:dyDescent="0.2">
      <c r="A9976" s="40"/>
      <c r="B9976" s="40"/>
    </row>
    <row r="9977" spans="1:2" x14ac:dyDescent="0.2">
      <c r="A9977" s="40"/>
      <c r="B9977" s="40"/>
    </row>
    <row r="9978" spans="1:2" x14ac:dyDescent="0.2">
      <c r="A9978" s="40"/>
      <c r="B9978" s="40"/>
    </row>
    <row r="9979" spans="1:2" x14ac:dyDescent="0.2">
      <c r="A9979" s="40"/>
      <c r="B9979" s="40"/>
    </row>
    <row r="9980" spans="1:2" x14ac:dyDescent="0.2">
      <c r="A9980" s="40"/>
      <c r="B9980" s="40"/>
    </row>
    <row r="9981" spans="1:2" x14ac:dyDescent="0.2">
      <c r="A9981" s="40"/>
      <c r="B9981" s="40"/>
    </row>
    <row r="9982" spans="1:2" x14ac:dyDescent="0.2">
      <c r="A9982" s="40"/>
      <c r="B9982" s="40"/>
    </row>
    <row r="9983" spans="1:2" x14ac:dyDescent="0.2">
      <c r="A9983" s="40"/>
      <c r="B9983" s="40"/>
    </row>
    <row r="9984" spans="1:2" x14ac:dyDescent="0.2">
      <c r="A9984" s="40"/>
      <c r="B9984" s="40"/>
    </row>
    <row r="9985" spans="1:2" x14ac:dyDescent="0.2">
      <c r="A9985" s="40"/>
      <c r="B9985" s="40"/>
    </row>
    <row r="9986" spans="1:2" x14ac:dyDescent="0.2">
      <c r="A9986" s="40"/>
      <c r="B9986" s="40"/>
    </row>
    <row r="9987" spans="1:2" x14ac:dyDescent="0.2">
      <c r="A9987" s="40"/>
      <c r="B9987" s="40"/>
    </row>
    <row r="9988" spans="1:2" x14ac:dyDescent="0.2">
      <c r="A9988" s="40"/>
      <c r="B9988" s="40"/>
    </row>
    <row r="9989" spans="1:2" x14ac:dyDescent="0.2">
      <c r="A9989" s="40"/>
      <c r="B9989" s="40"/>
    </row>
    <row r="9990" spans="1:2" x14ac:dyDescent="0.2">
      <c r="A9990" s="40"/>
      <c r="B9990" s="40"/>
    </row>
    <row r="9991" spans="1:2" x14ac:dyDescent="0.2">
      <c r="A9991" s="40"/>
      <c r="B9991" s="40"/>
    </row>
    <row r="9992" spans="1:2" x14ac:dyDescent="0.2">
      <c r="A9992" s="40"/>
      <c r="B9992" s="40"/>
    </row>
    <row r="9993" spans="1:2" x14ac:dyDescent="0.2">
      <c r="A9993" s="40"/>
      <c r="B9993" s="40"/>
    </row>
    <row r="9994" spans="1:2" x14ac:dyDescent="0.2">
      <c r="A9994" s="40"/>
      <c r="B9994" s="40"/>
    </row>
    <row r="9995" spans="1:2" x14ac:dyDescent="0.2">
      <c r="A9995" s="40"/>
      <c r="B9995" s="40"/>
    </row>
    <row r="9996" spans="1:2" x14ac:dyDescent="0.2">
      <c r="A9996" s="40"/>
      <c r="B9996" s="40"/>
    </row>
    <row r="9997" spans="1:2" x14ac:dyDescent="0.2">
      <c r="A9997" s="40"/>
      <c r="B9997" s="40"/>
    </row>
    <row r="9998" spans="1:2" x14ac:dyDescent="0.2">
      <c r="A9998" s="40"/>
      <c r="B9998" s="40"/>
    </row>
    <row r="9999" spans="1:2" x14ac:dyDescent="0.2">
      <c r="A9999" s="40"/>
      <c r="B9999" s="40"/>
    </row>
    <row r="10000" spans="1:2" x14ac:dyDescent="0.2">
      <c r="A10000" s="40"/>
      <c r="B10000" s="40"/>
    </row>
    <row r="10001" spans="1:2" x14ac:dyDescent="0.2">
      <c r="A10001" s="40"/>
      <c r="B10001" s="40"/>
    </row>
    <row r="10002" spans="1:2" x14ac:dyDescent="0.2">
      <c r="A10002" s="40"/>
      <c r="B10002" s="40"/>
    </row>
    <row r="10003" spans="1:2" x14ac:dyDescent="0.2">
      <c r="A10003" s="40"/>
      <c r="B10003" s="40"/>
    </row>
    <row r="10004" spans="1:2" x14ac:dyDescent="0.2">
      <c r="A10004" s="40"/>
      <c r="B10004" s="40"/>
    </row>
    <row r="10005" spans="1:2" x14ac:dyDescent="0.2">
      <c r="A10005" s="40"/>
      <c r="B10005" s="40"/>
    </row>
    <row r="10006" spans="1:2" x14ac:dyDescent="0.2">
      <c r="A10006" s="40"/>
      <c r="B10006" s="40"/>
    </row>
    <row r="10007" spans="1:2" x14ac:dyDescent="0.2">
      <c r="A10007" s="40"/>
      <c r="B10007" s="40"/>
    </row>
    <row r="10008" spans="1:2" x14ac:dyDescent="0.2">
      <c r="A10008" s="40"/>
      <c r="B10008" s="40"/>
    </row>
    <row r="10009" spans="1:2" x14ac:dyDescent="0.2">
      <c r="A10009" s="40"/>
      <c r="B10009" s="40"/>
    </row>
    <row r="10010" spans="1:2" x14ac:dyDescent="0.2">
      <c r="A10010" s="40"/>
      <c r="B10010" s="40"/>
    </row>
    <row r="10011" spans="1:2" x14ac:dyDescent="0.2">
      <c r="A10011" s="40"/>
      <c r="B10011" s="40"/>
    </row>
    <row r="10012" spans="1:2" x14ac:dyDescent="0.2">
      <c r="A10012" s="40"/>
      <c r="B10012" s="40"/>
    </row>
    <row r="10013" spans="1:2" x14ac:dyDescent="0.2">
      <c r="A10013" s="40"/>
      <c r="B10013" s="40"/>
    </row>
    <row r="10014" spans="1:2" x14ac:dyDescent="0.2">
      <c r="A10014" s="40"/>
      <c r="B10014" s="40"/>
    </row>
    <row r="10015" spans="1:2" x14ac:dyDescent="0.2">
      <c r="A10015" s="40"/>
      <c r="B10015" s="40"/>
    </row>
    <row r="10016" spans="1:2" x14ac:dyDescent="0.2">
      <c r="A10016" s="40"/>
      <c r="B10016" s="40"/>
    </row>
    <row r="10017" spans="1:2" x14ac:dyDescent="0.2">
      <c r="A10017" s="40"/>
      <c r="B10017" s="40"/>
    </row>
    <row r="10018" spans="1:2" x14ac:dyDescent="0.2">
      <c r="A10018" s="40"/>
      <c r="B10018" s="40"/>
    </row>
    <row r="10019" spans="1:2" x14ac:dyDescent="0.2">
      <c r="A10019" s="40"/>
      <c r="B10019" s="40"/>
    </row>
    <row r="10020" spans="1:2" x14ac:dyDescent="0.2">
      <c r="A10020" s="40"/>
      <c r="B10020" s="40"/>
    </row>
    <row r="10021" spans="1:2" x14ac:dyDescent="0.2">
      <c r="A10021" s="40"/>
      <c r="B10021" s="40"/>
    </row>
    <row r="10022" spans="1:2" x14ac:dyDescent="0.2">
      <c r="A10022" s="40"/>
      <c r="B10022" s="40"/>
    </row>
    <row r="10023" spans="1:2" x14ac:dyDescent="0.2">
      <c r="A10023" s="40"/>
      <c r="B10023" s="40"/>
    </row>
    <row r="10024" spans="1:2" x14ac:dyDescent="0.2">
      <c r="A10024" s="40"/>
      <c r="B10024" s="40"/>
    </row>
    <row r="10025" spans="1:2" x14ac:dyDescent="0.2">
      <c r="A10025" s="40"/>
      <c r="B10025" s="40"/>
    </row>
    <row r="10026" spans="1:2" x14ac:dyDescent="0.2">
      <c r="A10026" s="40"/>
      <c r="B10026" s="40"/>
    </row>
    <row r="10027" spans="1:2" x14ac:dyDescent="0.2">
      <c r="A10027" s="40"/>
      <c r="B10027" s="40"/>
    </row>
    <row r="10028" spans="1:2" x14ac:dyDescent="0.2">
      <c r="A10028" s="40"/>
      <c r="B10028" s="40"/>
    </row>
    <row r="10029" spans="1:2" x14ac:dyDescent="0.2">
      <c r="A10029" s="40"/>
      <c r="B10029" s="40"/>
    </row>
    <row r="10030" spans="1:2" x14ac:dyDescent="0.2">
      <c r="A10030" s="40"/>
      <c r="B10030" s="40"/>
    </row>
    <row r="10031" spans="1:2" x14ac:dyDescent="0.2">
      <c r="A10031" s="40"/>
      <c r="B10031" s="40"/>
    </row>
    <row r="10032" spans="1:2" x14ac:dyDescent="0.2">
      <c r="A10032" s="40"/>
      <c r="B10032" s="40"/>
    </row>
    <row r="10033" spans="1:2" x14ac:dyDescent="0.2">
      <c r="A10033" s="40"/>
      <c r="B10033" s="40"/>
    </row>
    <row r="10034" spans="1:2" x14ac:dyDescent="0.2">
      <c r="A10034" s="40"/>
      <c r="B10034" s="40"/>
    </row>
    <row r="10035" spans="1:2" x14ac:dyDescent="0.2">
      <c r="A10035" s="40"/>
      <c r="B10035" s="40"/>
    </row>
    <row r="10036" spans="1:2" x14ac:dyDescent="0.2">
      <c r="A10036" s="40"/>
      <c r="B10036" s="40"/>
    </row>
    <row r="10037" spans="1:2" x14ac:dyDescent="0.2">
      <c r="A10037" s="40"/>
      <c r="B10037" s="40"/>
    </row>
    <row r="10038" spans="1:2" x14ac:dyDescent="0.2">
      <c r="A10038" s="40"/>
      <c r="B10038" s="40"/>
    </row>
    <row r="10039" spans="1:2" x14ac:dyDescent="0.2">
      <c r="A10039" s="40"/>
      <c r="B10039" s="40"/>
    </row>
    <row r="10040" spans="1:2" x14ac:dyDescent="0.2">
      <c r="A10040" s="40"/>
      <c r="B10040" s="40"/>
    </row>
    <row r="10041" spans="1:2" x14ac:dyDescent="0.2">
      <c r="A10041" s="40"/>
      <c r="B10041" s="40"/>
    </row>
    <row r="10042" spans="1:2" x14ac:dyDescent="0.2">
      <c r="A10042" s="40"/>
      <c r="B10042" s="40"/>
    </row>
    <row r="10043" spans="1:2" x14ac:dyDescent="0.2">
      <c r="A10043" s="40"/>
      <c r="B10043" s="40"/>
    </row>
    <row r="10044" spans="1:2" x14ac:dyDescent="0.2">
      <c r="A10044" s="40"/>
      <c r="B10044" s="40"/>
    </row>
    <row r="10045" spans="1:2" x14ac:dyDescent="0.2">
      <c r="A10045" s="40"/>
      <c r="B10045" s="40"/>
    </row>
    <row r="10046" spans="1:2" x14ac:dyDescent="0.2">
      <c r="A10046" s="40"/>
      <c r="B10046" s="40"/>
    </row>
    <row r="10047" spans="1:2" x14ac:dyDescent="0.2">
      <c r="A10047" s="40"/>
      <c r="B10047" s="40"/>
    </row>
    <row r="10048" spans="1:2" x14ac:dyDescent="0.2">
      <c r="A10048" s="40"/>
      <c r="B10048" s="40"/>
    </row>
    <row r="10049" spans="1:2" x14ac:dyDescent="0.2">
      <c r="A10049" s="40"/>
      <c r="B10049" s="40"/>
    </row>
    <row r="10050" spans="1:2" x14ac:dyDescent="0.2">
      <c r="A10050" s="40"/>
      <c r="B10050" s="40"/>
    </row>
    <row r="10051" spans="1:2" x14ac:dyDescent="0.2">
      <c r="A10051" s="40"/>
      <c r="B10051" s="40"/>
    </row>
    <row r="10052" spans="1:2" x14ac:dyDescent="0.2">
      <c r="A10052" s="40"/>
      <c r="B10052" s="40"/>
    </row>
    <row r="10053" spans="1:2" x14ac:dyDescent="0.2">
      <c r="A10053" s="40"/>
      <c r="B10053" s="40"/>
    </row>
    <row r="10054" spans="1:2" x14ac:dyDescent="0.2">
      <c r="A10054" s="40"/>
      <c r="B10054" s="40"/>
    </row>
    <row r="10055" spans="1:2" x14ac:dyDescent="0.2">
      <c r="A10055" s="40"/>
      <c r="B10055" s="40"/>
    </row>
    <row r="10056" spans="1:2" x14ac:dyDescent="0.2">
      <c r="A10056" s="40"/>
      <c r="B10056" s="40"/>
    </row>
    <row r="10057" spans="1:2" x14ac:dyDescent="0.2">
      <c r="A10057" s="40"/>
      <c r="B10057" s="40"/>
    </row>
    <row r="10058" spans="1:2" x14ac:dyDescent="0.2">
      <c r="A10058" s="40"/>
      <c r="B10058" s="40"/>
    </row>
    <row r="10059" spans="1:2" x14ac:dyDescent="0.2">
      <c r="A10059" s="40"/>
      <c r="B10059" s="40"/>
    </row>
    <row r="10060" spans="1:2" x14ac:dyDescent="0.2">
      <c r="A10060" s="40"/>
      <c r="B10060" s="40"/>
    </row>
    <row r="10061" spans="1:2" x14ac:dyDescent="0.2">
      <c r="A10061" s="40"/>
      <c r="B10061" s="40"/>
    </row>
    <row r="10062" spans="1:2" x14ac:dyDescent="0.2">
      <c r="A10062" s="40"/>
      <c r="B10062" s="40"/>
    </row>
    <row r="10063" spans="1:2" x14ac:dyDescent="0.2">
      <c r="A10063" s="40"/>
      <c r="B10063" s="40"/>
    </row>
    <row r="10064" spans="1:2" x14ac:dyDescent="0.2">
      <c r="A10064" s="40"/>
      <c r="B10064" s="40"/>
    </row>
    <row r="10065" spans="1:2" x14ac:dyDescent="0.2">
      <c r="A10065" s="40"/>
      <c r="B10065" s="40"/>
    </row>
    <row r="10066" spans="1:2" x14ac:dyDescent="0.2">
      <c r="A10066" s="40"/>
      <c r="B10066" s="40"/>
    </row>
    <row r="10067" spans="1:2" x14ac:dyDescent="0.2">
      <c r="A10067" s="40"/>
      <c r="B10067" s="40"/>
    </row>
    <row r="10068" spans="1:2" x14ac:dyDescent="0.2">
      <c r="A10068" s="40"/>
      <c r="B10068" s="40"/>
    </row>
    <row r="10069" spans="1:2" x14ac:dyDescent="0.2">
      <c r="A10069" s="40"/>
      <c r="B10069" s="40"/>
    </row>
    <row r="10070" spans="1:2" x14ac:dyDescent="0.2">
      <c r="A10070" s="40"/>
      <c r="B10070" s="40"/>
    </row>
    <row r="10071" spans="1:2" x14ac:dyDescent="0.2">
      <c r="A10071" s="40"/>
      <c r="B10071" s="40"/>
    </row>
    <row r="10072" spans="1:2" x14ac:dyDescent="0.2">
      <c r="A10072" s="40"/>
      <c r="B10072" s="40"/>
    </row>
    <row r="10073" spans="1:2" x14ac:dyDescent="0.2">
      <c r="A10073" s="40"/>
      <c r="B10073" s="40"/>
    </row>
    <row r="10074" spans="1:2" x14ac:dyDescent="0.2">
      <c r="A10074" s="40"/>
      <c r="B10074" s="40"/>
    </row>
    <row r="10075" spans="1:2" x14ac:dyDescent="0.2">
      <c r="A10075" s="40"/>
      <c r="B10075" s="40"/>
    </row>
    <row r="10076" spans="1:2" x14ac:dyDescent="0.2">
      <c r="A10076" s="40"/>
      <c r="B10076" s="40"/>
    </row>
    <row r="10077" spans="1:2" x14ac:dyDescent="0.2">
      <c r="A10077" s="40"/>
      <c r="B10077" s="40"/>
    </row>
    <row r="10078" spans="1:2" x14ac:dyDescent="0.2">
      <c r="A10078" s="40"/>
      <c r="B10078" s="40"/>
    </row>
    <row r="10079" spans="1:2" x14ac:dyDescent="0.2">
      <c r="A10079" s="40"/>
      <c r="B10079" s="40"/>
    </row>
    <row r="10080" spans="1:2" x14ac:dyDescent="0.2">
      <c r="A10080" s="40"/>
      <c r="B10080" s="40"/>
    </row>
    <row r="10081" spans="1:2" x14ac:dyDescent="0.2">
      <c r="A10081" s="40"/>
      <c r="B10081" s="40"/>
    </row>
    <row r="10082" spans="1:2" x14ac:dyDescent="0.2">
      <c r="A10082" s="40"/>
      <c r="B10082" s="40"/>
    </row>
    <row r="10083" spans="1:2" x14ac:dyDescent="0.2">
      <c r="A10083" s="40"/>
      <c r="B10083" s="40"/>
    </row>
    <row r="10084" spans="1:2" x14ac:dyDescent="0.2">
      <c r="A10084" s="40"/>
      <c r="B10084" s="40"/>
    </row>
    <row r="10085" spans="1:2" x14ac:dyDescent="0.2">
      <c r="A10085" s="40"/>
      <c r="B10085" s="40"/>
    </row>
    <row r="10086" spans="1:2" x14ac:dyDescent="0.2">
      <c r="A10086" s="40"/>
      <c r="B10086" s="40"/>
    </row>
    <row r="10087" spans="1:2" x14ac:dyDescent="0.2">
      <c r="A10087" s="40"/>
      <c r="B10087" s="40"/>
    </row>
    <row r="10088" spans="1:2" x14ac:dyDescent="0.2">
      <c r="A10088" s="40"/>
      <c r="B10088" s="40"/>
    </row>
    <row r="10089" spans="1:2" x14ac:dyDescent="0.2">
      <c r="A10089" s="40"/>
      <c r="B10089" s="40"/>
    </row>
    <row r="10090" spans="1:2" x14ac:dyDescent="0.2">
      <c r="A10090" s="40"/>
      <c r="B10090" s="40"/>
    </row>
    <row r="10091" spans="1:2" x14ac:dyDescent="0.2">
      <c r="A10091" s="40"/>
      <c r="B10091" s="40"/>
    </row>
    <row r="10092" spans="1:2" x14ac:dyDescent="0.2">
      <c r="A10092" s="40"/>
      <c r="B10092" s="40"/>
    </row>
    <row r="10093" spans="1:2" x14ac:dyDescent="0.2">
      <c r="A10093" s="40"/>
      <c r="B10093" s="40"/>
    </row>
    <row r="10094" spans="1:2" x14ac:dyDescent="0.2">
      <c r="A10094" s="40"/>
      <c r="B10094" s="40"/>
    </row>
    <row r="10095" spans="1:2" x14ac:dyDescent="0.2">
      <c r="A10095" s="40"/>
      <c r="B10095" s="40"/>
    </row>
    <row r="10096" spans="1:2" x14ac:dyDescent="0.2">
      <c r="A10096" s="40"/>
      <c r="B10096" s="40"/>
    </row>
    <row r="10097" spans="1:2" x14ac:dyDescent="0.2">
      <c r="A10097" s="40"/>
      <c r="B10097" s="40"/>
    </row>
    <row r="10098" spans="1:2" x14ac:dyDescent="0.2">
      <c r="A10098" s="40"/>
      <c r="B10098" s="40"/>
    </row>
    <row r="10099" spans="1:2" x14ac:dyDescent="0.2">
      <c r="A10099" s="40"/>
      <c r="B10099" s="40"/>
    </row>
    <row r="10100" spans="1:2" x14ac:dyDescent="0.2">
      <c r="A10100" s="40"/>
      <c r="B10100" s="40"/>
    </row>
    <row r="10101" spans="1:2" x14ac:dyDescent="0.2">
      <c r="A10101" s="40"/>
      <c r="B10101" s="40"/>
    </row>
    <row r="10102" spans="1:2" x14ac:dyDescent="0.2">
      <c r="A10102" s="40"/>
      <c r="B10102" s="40"/>
    </row>
    <row r="10103" spans="1:2" x14ac:dyDescent="0.2">
      <c r="A10103" s="40"/>
      <c r="B10103" s="40"/>
    </row>
    <row r="10104" spans="1:2" x14ac:dyDescent="0.2">
      <c r="A10104" s="40"/>
      <c r="B10104" s="40"/>
    </row>
    <row r="10105" spans="1:2" x14ac:dyDescent="0.2">
      <c r="A10105" s="40"/>
      <c r="B10105" s="40"/>
    </row>
    <row r="10106" spans="1:2" x14ac:dyDescent="0.2">
      <c r="A10106" s="40"/>
      <c r="B10106" s="40"/>
    </row>
    <row r="10107" spans="1:2" x14ac:dyDescent="0.2">
      <c r="A10107" s="40"/>
      <c r="B10107" s="40"/>
    </row>
    <row r="10108" spans="1:2" x14ac:dyDescent="0.2">
      <c r="A10108" s="40"/>
      <c r="B10108" s="40"/>
    </row>
    <row r="10109" spans="1:2" x14ac:dyDescent="0.2">
      <c r="A10109" s="40"/>
      <c r="B10109" s="40"/>
    </row>
    <row r="10110" spans="1:2" x14ac:dyDescent="0.2">
      <c r="A10110" s="40"/>
      <c r="B10110" s="40"/>
    </row>
    <row r="10111" spans="1:2" x14ac:dyDescent="0.2">
      <c r="A10111" s="40"/>
      <c r="B10111" s="40"/>
    </row>
    <row r="10112" spans="1:2" x14ac:dyDescent="0.2">
      <c r="A10112" s="40"/>
      <c r="B10112" s="40"/>
    </row>
    <row r="10113" spans="1:2" x14ac:dyDescent="0.2">
      <c r="A10113" s="40"/>
      <c r="B10113" s="40"/>
    </row>
    <row r="10114" spans="1:2" x14ac:dyDescent="0.2">
      <c r="A10114" s="40"/>
      <c r="B10114" s="40"/>
    </row>
    <row r="10115" spans="1:2" x14ac:dyDescent="0.2">
      <c r="A10115" s="40"/>
      <c r="B10115" s="40"/>
    </row>
    <row r="10116" spans="1:2" x14ac:dyDescent="0.2">
      <c r="A10116" s="40"/>
      <c r="B10116" s="40"/>
    </row>
    <row r="10117" spans="1:2" x14ac:dyDescent="0.2">
      <c r="A10117" s="40"/>
      <c r="B10117" s="40"/>
    </row>
    <row r="10118" spans="1:2" x14ac:dyDescent="0.2">
      <c r="A10118" s="40"/>
      <c r="B10118" s="40"/>
    </row>
    <row r="10119" spans="1:2" x14ac:dyDescent="0.2">
      <c r="A10119" s="40"/>
      <c r="B10119" s="40"/>
    </row>
    <row r="10120" spans="1:2" x14ac:dyDescent="0.2">
      <c r="A10120" s="40"/>
      <c r="B10120" s="40"/>
    </row>
    <row r="10121" spans="1:2" x14ac:dyDescent="0.2">
      <c r="A10121" s="40"/>
      <c r="B10121" s="40"/>
    </row>
    <row r="10122" spans="1:2" x14ac:dyDescent="0.2">
      <c r="A10122" s="40"/>
      <c r="B10122" s="40"/>
    </row>
    <row r="10123" spans="1:2" x14ac:dyDescent="0.2">
      <c r="A10123" s="40"/>
      <c r="B10123" s="40"/>
    </row>
    <row r="10124" spans="1:2" x14ac:dyDescent="0.2">
      <c r="A10124" s="40"/>
      <c r="B10124" s="40"/>
    </row>
    <row r="10125" spans="1:2" x14ac:dyDescent="0.2">
      <c r="A10125" s="40"/>
      <c r="B10125" s="40"/>
    </row>
    <row r="10126" spans="1:2" x14ac:dyDescent="0.2">
      <c r="A10126" s="40"/>
      <c r="B10126" s="40"/>
    </row>
    <row r="10127" spans="1:2" x14ac:dyDescent="0.2">
      <c r="A10127" s="40"/>
      <c r="B10127" s="40"/>
    </row>
    <row r="10128" spans="1:2" x14ac:dyDescent="0.2">
      <c r="A10128" s="40"/>
      <c r="B10128" s="40"/>
    </row>
    <row r="10129" spans="1:2" x14ac:dyDescent="0.2">
      <c r="A10129" s="40"/>
      <c r="B10129" s="40"/>
    </row>
    <row r="10130" spans="1:2" x14ac:dyDescent="0.2">
      <c r="A10130" s="40"/>
      <c r="B10130" s="40"/>
    </row>
    <row r="10131" spans="1:2" x14ac:dyDescent="0.2">
      <c r="A10131" s="40"/>
      <c r="B10131" s="40"/>
    </row>
    <row r="10132" spans="1:2" x14ac:dyDescent="0.2">
      <c r="A10132" s="40"/>
      <c r="B10132" s="40"/>
    </row>
    <row r="10133" spans="1:2" x14ac:dyDescent="0.2">
      <c r="A10133" s="40"/>
      <c r="B10133" s="40"/>
    </row>
    <row r="10134" spans="1:2" x14ac:dyDescent="0.2">
      <c r="A10134" s="40"/>
      <c r="B10134" s="40"/>
    </row>
    <row r="10135" spans="1:2" x14ac:dyDescent="0.2">
      <c r="A10135" s="40"/>
      <c r="B10135" s="40"/>
    </row>
    <row r="10136" spans="1:2" x14ac:dyDescent="0.2">
      <c r="A10136" s="40"/>
      <c r="B10136" s="40"/>
    </row>
    <row r="10137" spans="1:2" x14ac:dyDescent="0.2">
      <c r="A10137" s="40"/>
      <c r="B10137" s="40"/>
    </row>
    <row r="10138" spans="1:2" x14ac:dyDescent="0.2">
      <c r="A10138" s="40"/>
      <c r="B10138" s="40"/>
    </row>
    <row r="10139" spans="1:2" x14ac:dyDescent="0.2">
      <c r="A10139" s="40"/>
      <c r="B10139" s="40"/>
    </row>
    <row r="10140" spans="1:2" x14ac:dyDescent="0.2">
      <c r="A10140" s="40"/>
      <c r="B10140" s="40"/>
    </row>
    <row r="10141" spans="1:2" x14ac:dyDescent="0.2">
      <c r="A10141" s="40"/>
      <c r="B10141" s="40"/>
    </row>
    <row r="10142" spans="1:2" x14ac:dyDescent="0.2">
      <c r="A10142" s="40"/>
      <c r="B10142" s="40"/>
    </row>
    <row r="10143" spans="1:2" x14ac:dyDescent="0.2">
      <c r="A10143" s="40"/>
      <c r="B10143" s="40"/>
    </row>
    <row r="10144" spans="1:2" x14ac:dyDescent="0.2">
      <c r="A10144" s="40"/>
      <c r="B10144" s="40"/>
    </row>
    <row r="10145" spans="1:2" x14ac:dyDescent="0.2">
      <c r="A10145" s="40"/>
      <c r="B10145" s="40"/>
    </row>
    <row r="10146" spans="1:2" x14ac:dyDescent="0.2">
      <c r="A10146" s="40"/>
      <c r="B10146" s="40"/>
    </row>
    <row r="10147" spans="1:2" x14ac:dyDescent="0.2">
      <c r="A10147" s="40"/>
      <c r="B10147" s="40"/>
    </row>
    <row r="10148" spans="1:2" x14ac:dyDescent="0.2">
      <c r="A10148" s="40"/>
      <c r="B10148" s="40"/>
    </row>
    <row r="10149" spans="1:2" x14ac:dyDescent="0.2">
      <c r="A10149" s="40"/>
      <c r="B10149" s="40"/>
    </row>
    <row r="10150" spans="1:2" x14ac:dyDescent="0.2">
      <c r="A10150" s="40"/>
      <c r="B10150" s="40"/>
    </row>
    <row r="10151" spans="1:2" x14ac:dyDescent="0.2">
      <c r="A10151" s="40"/>
      <c r="B10151" s="40"/>
    </row>
    <row r="10152" spans="1:2" x14ac:dyDescent="0.2">
      <c r="A10152" s="40"/>
      <c r="B10152" s="40"/>
    </row>
    <row r="10153" spans="1:2" x14ac:dyDescent="0.2">
      <c r="A10153" s="40"/>
      <c r="B10153" s="40"/>
    </row>
    <row r="10154" spans="1:2" x14ac:dyDescent="0.2">
      <c r="A10154" s="40"/>
      <c r="B10154" s="40"/>
    </row>
    <row r="10155" spans="1:2" x14ac:dyDescent="0.2">
      <c r="A10155" s="40"/>
      <c r="B10155" s="40"/>
    </row>
    <row r="10156" spans="1:2" x14ac:dyDescent="0.2">
      <c r="A10156" s="40"/>
      <c r="B10156" s="40"/>
    </row>
    <row r="10157" spans="1:2" x14ac:dyDescent="0.2">
      <c r="A10157" s="40"/>
      <c r="B10157" s="40"/>
    </row>
    <row r="10158" spans="1:2" x14ac:dyDescent="0.2">
      <c r="A10158" s="40"/>
      <c r="B10158" s="40"/>
    </row>
    <row r="10159" spans="1:2" x14ac:dyDescent="0.2">
      <c r="A10159" s="40"/>
      <c r="B10159" s="40"/>
    </row>
    <row r="10160" spans="1:2" x14ac:dyDescent="0.2">
      <c r="A10160" s="40"/>
      <c r="B10160" s="40"/>
    </row>
    <row r="10161" spans="1:2" x14ac:dyDescent="0.2">
      <c r="A10161" s="40"/>
      <c r="B10161" s="40"/>
    </row>
    <row r="10162" spans="1:2" x14ac:dyDescent="0.2">
      <c r="A10162" s="40"/>
      <c r="B10162" s="40"/>
    </row>
    <row r="10163" spans="1:2" x14ac:dyDescent="0.2">
      <c r="A10163" s="40"/>
      <c r="B10163" s="40"/>
    </row>
    <row r="10164" spans="1:2" x14ac:dyDescent="0.2">
      <c r="A10164" s="40"/>
      <c r="B10164" s="40"/>
    </row>
    <row r="10165" spans="1:2" x14ac:dyDescent="0.2">
      <c r="A10165" s="40"/>
      <c r="B10165" s="40"/>
    </row>
    <row r="10166" spans="1:2" x14ac:dyDescent="0.2">
      <c r="A10166" s="40"/>
      <c r="B10166" s="40"/>
    </row>
    <row r="10167" spans="1:2" x14ac:dyDescent="0.2">
      <c r="A10167" s="40"/>
      <c r="B10167" s="40"/>
    </row>
    <row r="10168" spans="1:2" x14ac:dyDescent="0.2">
      <c r="A10168" s="40"/>
      <c r="B10168" s="40"/>
    </row>
    <row r="10169" spans="1:2" x14ac:dyDescent="0.2">
      <c r="A10169" s="40"/>
      <c r="B10169" s="40"/>
    </row>
    <row r="10170" spans="1:2" x14ac:dyDescent="0.2">
      <c r="A10170" s="40"/>
      <c r="B10170" s="40"/>
    </row>
    <row r="10171" spans="1:2" x14ac:dyDescent="0.2">
      <c r="A10171" s="40"/>
      <c r="B10171" s="40"/>
    </row>
    <row r="10172" spans="1:2" x14ac:dyDescent="0.2">
      <c r="A10172" s="40"/>
      <c r="B10172" s="40"/>
    </row>
    <row r="10173" spans="1:2" x14ac:dyDescent="0.2">
      <c r="A10173" s="40"/>
      <c r="B10173" s="40"/>
    </row>
    <row r="10174" spans="1:2" x14ac:dyDescent="0.2">
      <c r="A10174" s="40"/>
      <c r="B10174" s="40"/>
    </row>
    <row r="10175" spans="1:2" x14ac:dyDescent="0.2">
      <c r="A10175" s="40"/>
      <c r="B10175" s="40"/>
    </row>
    <row r="10176" spans="1:2" x14ac:dyDescent="0.2">
      <c r="A10176" s="40"/>
      <c r="B10176" s="40"/>
    </row>
    <row r="10177" spans="1:2" x14ac:dyDescent="0.2">
      <c r="A10177" s="40"/>
      <c r="B10177" s="40"/>
    </row>
    <row r="10178" spans="1:2" x14ac:dyDescent="0.2">
      <c r="A10178" s="40"/>
      <c r="B10178" s="40"/>
    </row>
    <row r="10179" spans="1:2" x14ac:dyDescent="0.2">
      <c r="A10179" s="40"/>
      <c r="B10179" s="40"/>
    </row>
    <row r="10180" spans="1:2" x14ac:dyDescent="0.2">
      <c r="A10180" s="40"/>
      <c r="B10180" s="40"/>
    </row>
    <row r="10181" spans="1:2" x14ac:dyDescent="0.2">
      <c r="A10181" s="40"/>
      <c r="B10181" s="40"/>
    </row>
    <row r="10182" spans="1:2" x14ac:dyDescent="0.2">
      <c r="A10182" s="40"/>
      <c r="B10182" s="40"/>
    </row>
    <row r="10183" spans="1:2" x14ac:dyDescent="0.2">
      <c r="A10183" s="40"/>
      <c r="B10183" s="40"/>
    </row>
    <row r="10184" spans="1:2" x14ac:dyDescent="0.2">
      <c r="A10184" s="40"/>
      <c r="B10184" s="40"/>
    </row>
    <row r="10185" spans="1:2" x14ac:dyDescent="0.2">
      <c r="A10185" s="40"/>
      <c r="B10185" s="40"/>
    </row>
    <row r="10186" spans="1:2" x14ac:dyDescent="0.2">
      <c r="A10186" s="40"/>
      <c r="B10186" s="40"/>
    </row>
    <row r="10187" spans="1:2" x14ac:dyDescent="0.2">
      <c r="A10187" s="40"/>
      <c r="B10187" s="40"/>
    </row>
    <row r="10188" spans="1:2" x14ac:dyDescent="0.2">
      <c r="A10188" s="40"/>
      <c r="B10188" s="40"/>
    </row>
    <row r="10189" spans="1:2" x14ac:dyDescent="0.2">
      <c r="A10189" s="40"/>
      <c r="B10189" s="40"/>
    </row>
    <row r="10190" spans="1:2" x14ac:dyDescent="0.2">
      <c r="A10190" s="40"/>
      <c r="B10190" s="40"/>
    </row>
    <row r="10191" spans="1:2" x14ac:dyDescent="0.2">
      <c r="A10191" s="40"/>
      <c r="B10191" s="40"/>
    </row>
    <row r="10192" spans="1:2" x14ac:dyDescent="0.2">
      <c r="A10192" s="40"/>
      <c r="B10192" s="40"/>
    </row>
    <row r="10193" spans="1:2" x14ac:dyDescent="0.2">
      <c r="A10193" s="40"/>
      <c r="B10193" s="40"/>
    </row>
    <row r="10194" spans="1:2" x14ac:dyDescent="0.2">
      <c r="A10194" s="40"/>
      <c r="B10194" s="40"/>
    </row>
    <row r="10195" spans="1:2" x14ac:dyDescent="0.2">
      <c r="A10195" s="40"/>
      <c r="B10195" s="40"/>
    </row>
    <row r="10196" spans="1:2" x14ac:dyDescent="0.2">
      <c r="A10196" s="40"/>
      <c r="B10196" s="40"/>
    </row>
    <row r="10197" spans="1:2" x14ac:dyDescent="0.2">
      <c r="A10197" s="40"/>
      <c r="B10197" s="40"/>
    </row>
    <row r="10198" spans="1:2" x14ac:dyDescent="0.2">
      <c r="A10198" s="40"/>
      <c r="B10198" s="40"/>
    </row>
    <row r="10199" spans="1:2" x14ac:dyDescent="0.2">
      <c r="A10199" s="40"/>
      <c r="B10199" s="40"/>
    </row>
    <row r="10200" spans="1:2" x14ac:dyDescent="0.2">
      <c r="A10200" s="40"/>
      <c r="B10200" s="40"/>
    </row>
    <row r="10201" spans="1:2" x14ac:dyDescent="0.2">
      <c r="A10201" s="40"/>
      <c r="B10201" s="40"/>
    </row>
    <row r="10202" spans="1:2" x14ac:dyDescent="0.2">
      <c r="A10202" s="40"/>
      <c r="B10202" s="40"/>
    </row>
    <row r="10203" spans="1:2" x14ac:dyDescent="0.2">
      <c r="A10203" s="40"/>
      <c r="B10203" s="40"/>
    </row>
    <row r="10204" spans="1:2" x14ac:dyDescent="0.2">
      <c r="A10204" s="40"/>
      <c r="B10204" s="40"/>
    </row>
    <row r="10205" spans="1:2" x14ac:dyDescent="0.2">
      <c r="A10205" s="40"/>
      <c r="B10205" s="40"/>
    </row>
    <row r="10206" spans="1:2" x14ac:dyDescent="0.2">
      <c r="A10206" s="40"/>
      <c r="B10206" s="40"/>
    </row>
    <row r="10207" spans="1:2" x14ac:dyDescent="0.2">
      <c r="A10207" s="40"/>
      <c r="B10207" s="40"/>
    </row>
    <row r="10208" spans="1:2" x14ac:dyDescent="0.2">
      <c r="A10208" s="40"/>
      <c r="B10208" s="40"/>
    </row>
    <row r="10209" spans="1:2" x14ac:dyDescent="0.2">
      <c r="A10209" s="40"/>
      <c r="B10209" s="40"/>
    </row>
    <row r="10210" spans="1:2" x14ac:dyDescent="0.2">
      <c r="A10210" s="40"/>
      <c r="B10210" s="40"/>
    </row>
    <row r="10211" spans="1:2" x14ac:dyDescent="0.2">
      <c r="A10211" s="40"/>
      <c r="B10211" s="40"/>
    </row>
    <row r="10212" spans="1:2" x14ac:dyDescent="0.2">
      <c r="A10212" s="40"/>
      <c r="B10212" s="40"/>
    </row>
    <row r="10213" spans="1:2" x14ac:dyDescent="0.2">
      <c r="A10213" s="40"/>
      <c r="B10213" s="40"/>
    </row>
    <row r="10214" spans="1:2" x14ac:dyDescent="0.2">
      <c r="A10214" s="40"/>
      <c r="B10214" s="40"/>
    </row>
    <row r="10215" spans="1:2" x14ac:dyDescent="0.2">
      <c r="A10215" s="40"/>
      <c r="B10215" s="40"/>
    </row>
    <row r="10216" spans="1:2" x14ac:dyDescent="0.2">
      <c r="A10216" s="40"/>
      <c r="B10216" s="40"/>
    </row>
    <row r="10217" spans="1:2" x14ac:dyDescent="0.2">
      <c r="A10217" s="40"/>
      <c r="B10217" s="40"/>
    </row>
    <row r="10218" spans="1:2" x14ac:dyDescent="0.2">
      <c r="A10218" s="40"/>
      <c r="B10218" s="40"/>
    </row>
    <row r="10219" spans="1:2" x14ac:dyDescent="0.2">
      <c r="A10219" s="40"/>
      <c r="B10219" s="40"/>
    </row>
    <row r="10220" spans="1:2" x14ac:dyDescent="0.2">
      <c r="A10220" s="40"/>
      <c r="B10220" s="40"/>
    </row>
    <row r="10221" spans="1:2" x14ac:dyDescent="0.2">
      <c r="A10221" s="40"/>
      <c r="B10221" s="40"/>
    </row>
    <row r="10222" spans="1:2" x14ac:dyDescent="0.2">
      <c r="A10222" s="40"/>
      <c r="B10222" s="40"/>
    </row>
    <row r="10223" spans="1:2" x14ac:dyDescent="0.2">
      <c r="A10223" s="40"/>
      <c r="B10223" s="40"/>
    </row>
    <row r="10224" spans="1:2" x14ac:dyDescent="0.2">
      <c r="A10224" s="40"/>
      <c r="B10224" s="40"/>
    </row>
    <row r="10225" spans="1:2" x14ac:dyDescent="0.2">
      <c r="A10225" s="40"/>
      <c r="B10225" s="40"/>
    </row>
    <row r="10226" spans="1:2" x14ac:dyDescent="0.2">
      <c r="A10226" s="40"/>
      <c r="B10226" s="40"/>
    </row>
    <row r="10227" spans="1:2" x14ac:dyDescent="0.2">
      <c r="A10227" s="40"/>
      <c r="B10227" s="40"/>
    </row>
    <row r="10228" spans="1:2" x14ac:dyDescent="0.2">
      <c r="A10228" s="40"/>
      <c r="B10228" s="40"/>
    </row>
    <row r="10229" spans="1:2" x14ac:dyDescent="0.2">
      <c r="A10229" s="40"/>
      <c r="B10229" s="40"/>
    </row>
    <row r="10230" spans="1:2" x14ac:dyDescent="0.2">
      <c r="A10230" s="40"/>
      <c r="B10230" s="40"/>
    </row>
    <row r="10231" spans="1:2" x14ac:dyDescent="0.2">
      <c r="A10231" s="40"/>
      <c r="B10231" s="40"/>
    </row>
    <row r="10232" spans="1:2" x14ac:dyDescent="0.2">
      <c r="A10232" s="40"/>
      <c r="B10232" s="40"/>
    </row>
    <row r="10233" spans="1:2" x14ac:dyDescent="0.2">
      <c r="A10233" s="40"/>
      <c r="B10233" s="40"/>
    </row>
    <row r="10234" spans="1:2" x14ac:dyDescent="0.2">
      <c r="A10234" s="40"/>
      <c r="B10234" s="40"/>
    </row>
    <row r="10235" spans="1:2" x14ac:dyDescent="0.2">
      <c r="A10235" s="40"/>
      <c r="B10235" s="40"/>
    </row>
    <row r="10236" spans="1:2" x14ac:dyDescent="0.2">
      <c r="A10236" s="40"/>
      <c r="B10236" s="40"/>
    </row>
    <row r="10237" spans="1:2" x14ac:dyDescent="0.2">
      <c r="A10237" s="40"/>
      <c r="B10237" s="40"/>
    </row>
    <row r="10238" spans="1:2" x14ac:dyDescent="0.2">
      <c r="A10238" s="40"/>
      <c r="B10238" s="40"/>
    </row>
    <row r="10239" spans="1:2" x14ac:dyDescent="0.2">
      <c r="A10239" s="40"/>
      <c r="B10239" s="40"/>
    </row>
    <row r="10240" spans="1:2" x14ac:dyDescent="0.2">
      <c r="A10240" s="40"/>
      <c r="B10240" s="40"/>
    </row>
    <row r="10241" spans="1:2" x14ac:dyDescent="0.2">
      <c r="A10241" s="40"/>
      <c r="B10241" s="40"/>
    </row>
    <row r="10242" spans="1:2" x14ac:dyDescent="0.2">
      <c r="A10242" s="40"/>
      <c r="B10242" s="40"/>
    </row>
    <row r="10243" spans="1:2" x14ac:dyDescent="0.2">
      <c r="A10243" s="40"/>
      <c r="B10243" s="40"/>
    </row>
    <row r="10244" spans="1:2" x14ac:dyDescent="0.2">
      <c r="A10244" s="40"/>
      <c r="B10244" s="40"/>
    </row>
    <row r="10245" spans="1:2" x14ac:dyDescent="0.2">
      <c r="A10245" s="40"/>
      <c r="B10245" s="40"/>
    </row>
    <row r="10246" spans="1:2" x14ac:dyDescent="0.2">
      <c r="A10246" s="40"/>
      <c r="B10246" s="40"/>
    </row>
    <row r="10247" spans="1:2" x14ac:dyDescent="0.2">
      <c r="A10247" s="40"/>
      <c r="B10247" s="40"/>
    </row>
    <row r="10248" spans="1:2" x14ac:dyDescent="0.2">
      <c r="A10248" s="40"/>
      <c r="B10248" s="40"/>
    </row>
    <row r="10249" spans="1:2" x14ac:dyDescent="0.2">
      <c r="A10249" s="40"/>
      <c r="B10249" s="40"/>
    </row>
    <row r="10250" spans="1:2" x14ac:dyDescent="0.2">
      <c r="A10250" s="40"/>
      <c r="B10250" s="40"/>
    </row>
    <row r="10251" spans="1:2" x14ac:dyDescent="0.2">
      <c r="A10251" s="40"/>
      <c r="B10251" s="40"/>
    </row>
    <row r="10252" spans="1:2" x14ac:dyDescent="0.2">
      <c r="A10252" s="40"/>
      <c r="B10252" s="40"/>
    </row>
    <row r="10253" spans="1:2" x14ac:dyDescent="0.2">
      <c r="A10253" s="40"/>
      <c r="B10253" s="40"/>
    </row>
    <row r="10254" spans="1:2" x14ac:dyDescent="0.2">
      <c r="A10254" s="40"/>
      <c r="B10254" s="40"/>
    </row>
    <row r="10255" spans="1:2" x14ac:dyDescent="0.2">
      <c r="A10255" s="40"/>
      <c r="B10255" s="40"/>
    </row>
    <row r="10256" spans="1:2" x14ac:dyDescent="0.2">
      <c r="A10256" s="40"/>
      <c r="B10256" s="40"/>
    </row>
    <row r="10257" spans="1:2" x14ac:dyDescent="0.2">
      <c r="A10257" s="40"/>
      <c r="B10257" s="40"/>
    </row>
    <row r="10258" spans="1:2" x14ac:dyDescent="0.2">
      <c r="A10258" s="40"/>
      <c r="B10258" s="40"/>
    </row>
    <row r="10259" spans="1:2" x14ac:dyDescent="0.2">
      <c r="A10259" s="40"/>
      <c r="B10259" s="40"/>
    </row>
    <row r="10260" spans="1:2" x14ac:dyDescent="0.2">
      <c r="A10260" s="40"/>
      <c r="B10260" s="40"/>
    </row>
    <row r="10261" spans="1:2" x14ac:dyDescent="0.2">
      <c r="A10261" s="40"/>
      <c r="B10261" s="40"/>
    </row>
    <row r="10262" spans="1:2" x14ac:dyDescent="0.2">
      <c r="A10262" s="40"/>
      <c r="B10262" s="40"/>
    </row>
    <row r="10263" spans="1:2" x14ac:dyDescent="0.2">
      <c r="A10263" s="40"/>
      <c r="B10263" s="40"/>
    </row>
    <row r="10264" spans="1:2" x14ac:dyDescent="0.2">
      <c r="A10264" s="40"/>
      <c r="B10264" s="40"/>
    </row>
    <row r="10265" spans="1:2" x14ac:dyDescent="0.2">
      <c r="A10265" s="40"/>
      <c r="B10265" s="40"/>
    </row>
    <row r="10266" spans="1:2" x14ac:dyDescent="0.2">
      <c r="A10266" s="40"/>
      <c r="B10266" s="40"/>
    </row>
    <row r="10267" spans="1:2" x14ac:dyDescent="0.2">
      <c r="A10267" s="40"/>
      <c r="B10267" s="40"/>
    </row>
    <row r="10268" spans="1:2" x14ac:dyDescent="0.2">
      <c r="A10268" s="40"/>
      <c r="B10268" s="40"/>
    </row>
    <row r="10269" spans="1:2" x14ac:dyDescent="0.2">
      <c r="A10269" s="40"/>
      <c r="B10269" s="40"/>
    </row>
    <row r="10270" spans="1:2" x14ac:dyDescent="0.2">
      <c r="A10270" s="40"/>
      <c r="B10270" s="40"/>
    </row>
    <row r="10271" spans="1:2" x14ac:dyDescent="0.2">
      <c r="A10271" s="40"/>
      <c r="B10271" s="40"/>
    </row>
    <row r="10272" spans="1:2" x14ac:dyDescent="0.2">
      <c r="A10272" s="40"/>
      <c r="B10272" s="40"/>
    </row>
    <row r="10273" spans="1:2" x14ac:dyDescent="0.2">
      <c r="A10273" s="40"/>
      <c r="B10273" s="40"/>
    </row>
    <row r="10274" spans="1:2" x14ac:dyDescent="0.2">
      <c r="A10274" s="40"/>
      <c r="B10274" s="40"/>
    </row>
    <row r="10275" spans="1:2" x14ac:dyDescent="0.2">
      <c r="A10275" s="40"/>
      <c r="B10275" s="40"/>
    </row>
    <row r="10276" spans="1:2" x14ac:dyDescent="0.2">
      <c r="A10276" s="40"/>
      <c r="B10276" s="40"/>
    </row>
    <row r="10277" spans="1:2" x14ac:dyDescent="0.2">
      <c r="A10277" s="40"/>
      <c r="B10277" s="40"/>
    </row>
    <row r="10278" spans="1:2" x14ac:dyDescent="0.2">
      <c r="A10278" s="40"/>
      <c r="B10278" s="40"/>
    </row>
    <row r="10279" spans="1:2" x14ac:dyDescent="0.2">
      <c r="A10279" s="40"/>
      <c r="B10279" s="40"/>
    </row>
    <row r="10280" spans="1:2" x14ac:dyDescent="0.2">
      <c r="A10280" s="40"/>
      <c r="B10280" s="40"/>
    </row>
    <row r="10281" spans="1:2" x14ac:dyDescent="0.2">
      <c r="A10281" s="40"/>
      <c r="B10281" s="40"/>
    </row>
    <row r="10282" spans="1:2" x14ac:dyDescent="0.2">
      <c r="A10282" s="40"/>
      <c r="B10282" s="40"/>
    </row>
    <row r="10283" spans="1:2" x14ac:dyDescent="0.2">
      <c r="A10283" s="40"/>
      <c r="B10283" s="40"/>
    </row>
    <row r="10284" spans="1:2" x14ac:dyDescent="0.2">
      <c r="A10284" s="40"/>
      <c r="B10284" s="40"/>
    </row>
    <row r="10285" spans="1:2" x14ac:dyDescent="0.2">
      <c r="A10285" s="40"/>
      <c r="B10285" s="40"/>
    </row>
    <row r="10286" spans="1:2" x14ac:dyDescent="0.2">
      <c r="A10286" s="40"/>
      <c r="B10286" s="40"/>
    </row>
    <row r="10287" spans="1:2" x14ac:dyDescent="0.2">
      <c r="A10287" s="40"/>
      <c r="B10287" s="40"/>
    </row>
    <row r="10288" spans="1:2" x14ac:dyDescent="0.2">
      <c r="A10288" s="40"/>
      <c r="B10288" s="40"/>
    </row>
    <row r="10289" spans="1:2" x14ac:dyDescent="0.2">
      <c r="A10289" s="40"/>
      <c r="B10289" s="40"/>
    </row>
    <row r="10290" spans="1:2" x14ac:dyDescent="0.2">
      <c r="A10290" s="40"/>
      <c r="B10290" s="40"/>
    </row>
    <row r="10291" spans="1:2" x14ac:dyDescent="0.2">
      <c r="A10291" s="40"/>
      <c r="B10291" s="40"/>
    </row>
    <row r="10292" spans="1:2" x14ac:dyDescent="0.2">
      <c r="A10292" s="40"/>
      <c r="B10292" s="40"/>
    </row>
    <row r="10293" spans="1:2" x14ac:dyDescent="0.2">
      <c r="A10293" s="40"/>
      <c r="B10293" s="40"/>
    </row>
    <row r="10294" spans="1:2" x14ac:dyDescent="0.2">
      <c r="A10294" s="40"/>
      <c r="B10294" s="40"/>
    </row>
    <row r="10295" spans="1:2" x14ac:dyDescent="0.2">
      <c r="A10295" s="40"/>
      <c r="B10295" s="40"/>
    </row>
    <row r="10296" spans="1:2" x14ac:dyDescent="0.2">
      <c r="A10296" s="40"/>
      <c r="B10296" s="40"/>
    </row>
    <row r="10297" spans="1:2" x14ac:dyDescent="0.2">
      <c r="A10297" s="40"/>
      <c r="B10297" s="40"/>
    </row>
    <row r="10298" spans="1:2" x14ac:dyDescent="0.2">
      <c r="A10298" s="40"/>
      <c r="B10298" s="40"/>
    </row>
    <row r="10299" spans="1:2" x14ac:dyDescent="0.2">
      <c r="A10299" s="40"/>
      <c r="B10299" s="40"/>
    </row>
    <row r="10300" spans="1:2" x14ac:dyDescent="0.2">
      <c r="A10300" s="40"/>
      <c r="B10300" s="40"/>
    </row>
    <row r="10301" spans="1:2" x14ac:dyDescent="0.2">
      <c r="A10301" s="40"/>
      <c r="B10301" s="40"/>
    </row>
    <row r="10302" spans="1:2" x14ac:dyDescent="0.2">
      <c r="A10302" s="40"/>
      <c r="B10302" s="40"/>
    </row>
    <row r="10303" spans="1:2" x14ac:dyDescent="0.2">
      <c r="A10303" s="40"/>
      <c r="B10303" s="40"/>
    </row>
    <row r="10304" spans="1:2" x14ac:dyDescent="0.2">
      <c r="A10304" s="40"/>
      <c r="B10304" s="40"/>
    </row>
    <row r="10305" spans="1:2" x14ac:dyDescent="0.2">
      <c r="A10305" s="40"/>
      <c r="B10305" s="40"/>
    </row>
    <row r="10306" spans="1:2" x14ac:dyDescent="0.2">
      <c r="A10306" s="40"/>
      <c r="B10306" s="40"/>
    </row>
    <row r="10307" spans="1:2" x14ac:dyDescent="0.2">
      <c r="A10307" s="40"/>
      <c r="B10307" s="40"/>
    </row>
    <row r="10308" spans="1:2" x14ac:dyDescent="0.2">
      <c r="A10308" s="40"/>
      <c r="B10308" s="40"/>
    </row>
    <row r="10309" spans="1:2" x14ac:dyDescent="0.2">
      <c r="A10309" s="40"/>
      <c r="B10309" s="40"/>
    </row>
    <row r="10310" spans="1:2" x14ac:dyDescent="0.2">
      <c r="A10310" s="40"/>
      <c r="B10310" s="40"/>
    </row>
    <row r="10311" spans="1:2" x14ac:dyDescent="0.2">
      <c r="A10311" s="40"/>
      <c r="B10311" s="40"/>
    </row>
    <row r="10312" spans="1:2" x14ac:dyDescent="0.2">
      <c r="A10312" s="40"/>
      <c r="B10312" s="40"/>
    </row>
    <row r="10313" spans="1:2" x14ac:dyDescent="0.2">
      <c r="A10313" s="40"/>
      <c r="B10313" s="40"/>
    </row>
    <row r="10314" spans="1:2" x14ac:dyDescent="0.2">
      <c r="A10314" s="40"/>
      <c r="B10314" s="40"/>
    </row>
    <row r="10315" spans="1:2" x14ac:dyDescent="0.2">
      <c r="A10315" s="40"/>
      <c r="B10315" s="40"/>
    </row>
    <row r="10316" spans="1:2" x14ac:dyDescent="0.2">
      <c r="A10316" s="40"/>
      <c r="B10316" s="40"/>
    </row>
    <row r="10317" spans="1:2" x14ac:dyDescent="0.2">
      <c r="A10317" s="40"/>
      <c r="B10317" s="40"/>
    </row>
    <row r="10318" spans="1:2" x14ac:dyDescent="0.2">
      <c r="A10318" s="40"/>
      <c r="B10318" s="40"/>
    </row>
    <row r="10319" spans="1:2" x14ac:dyDescent="0.2">
      <c r="A10319" s="40"/>
      <c r="B10319" s="40"/>
    </row>
    <row r="10320" spans="1:2" x14ac:dyDescent="0.2">
      <c r="A10320" s="40"/>
      <c r="B10320" s="40"/>
    </row>
    <row r="10321" spans="1:2" x14ac:dyDescent="0.2">
      <c r="A10321" s="40"/>
      <c r="B10321" s="40"/>
    </row>
    <row r="10322" spans="1:2" x14ac:dyDescent="0.2">
      <c r="A10322" s="40"/>
      <c r="B10322" s="40"/>
    </row>
    <row r="10323" spans="1:2" x14ac:dyDescent="0.2">
      <c r="A10323" s="40"/>
      <c r="B10323" s="40"/>
    </row>
    <row r="10324" spans="1:2" x14ac:dyDescent="0.2">
      <c r="A10324" s="40"/>
      <c r="B10324" s="40"/>
    </row>
    <row r="10325" spans="1:2" x14ac:dyDescent="0.2">
      <c r="A10325" s="40"/>
      <c r="B10325" s="40"/>
    </row>
    <row r="10326" spans="1:2" x14ac:dyDescent="0.2">
      <c r="A10326" s="40"/>
      <c r="B10326" s="40"/>
    </row>
    <row r="10327" spans="1:2" x14ac:dyDescent="0.2">
      <c r="A10327" s="40"/>
      <c r="B10327" s="40"/>
    </row>
    <row r="10328" spans="1:2" x14ac:dyDescent="0.2">
      <c r="A10328" s="40"/>
      <c r="B10328" s="40"/>
    </row>
    <row r="10329" spans="1:2" x14ac:dyDescent="0.2">
      <c r="A10329" s="40"/>
      <c r="B10329" s="40"/>
    </row>
    <row r="10330" spans="1:2" x14ac:dyDescent="0.2">
      <c r="A10330" s="40"/>
      <c r="B10330" s="40"/>
    </row>
    <row r="10331" spans="1:2" x14ac:dyDescent="0.2">
      <c r="A10331" s="40"/>
      <c r="B10331" s="40"/>
    </row>
    <row r="10332" spans="1:2" x14ac:dyDescent="0.2">
      <c r="A10332" s="40"/>
      <c r="B10332" s="40"/>
    </row>
    <row r="10333" spans="1:2" x14ac:dyDescent="0.2">
      <c r="A10333" s="40"/>
      <c r="B10333" s="40"/>
    </row>
    <row r="10334" spans="1:2" x14ac:dyDescent="0.2">
      <c r="A10334" s="40"/>
      <c r="B10334" s="40"/>
    </row>
    <row r="10335" spans="1:2" x14ac:dyDescent="0.2">
      <c r="A10335" s="40"/>
      <c r="B10335" s="40"/>
    </row>
    <row r="10336" spans="1:2" x14ac:dyDescent="0.2">
      <c r="A10336" s="40"/>
      <c r="B10336" s="40"/>
    </row>
    <row r="10337" spans="1:2" x14ac:dyDescent="0.2">
      <c r="A10337" s="40"/>
      <c r="B10337" s="40"/>
    </row>
    <row r="10338" spans="1:2" x14ac:dyDescent="0.2">
      <c r="A10338" s="40"/>
      <c r="B10338" s="40"/>
    </row>
    <row r="10339" spans="1:2" x14ac:dyDescent="0.2">
      <c r="A10339" s="40"/>
      <c r="B10339" s="40"/>
    </row>
    <row r="10340" spans="1:2" x14ac:dyDescent="0.2">
      <c r="A10340" s="40"/>
      <c r="B10340" s="40"/>
    </row>
    <row r="10341" spans="1:2" x14ac:dyDescent="0.2">
      <c r="A10341" s="40"/>
      <c r="B10341" s="40"/>
    </row>
    <row r="10342" spans="1:2" x14ac:dyDescent="0.2">
      <c r="A10342" s="40"/>
      <c r="B10342" s="40"/>
    </row>
    <row r="10343" spans="1:2" x14ac:dyDescent="0.2">
      <c r="A10343" s="40"/>
      <c r="B10343" s="40"/>
    </row>
    <row r="10344" spans="1:2" x14ac:dyDescent="0.2">
      <c r="A10344" s="40"/>
      <c r="B10344" s="40"/>
    </row>
    <row r="10345" spans="1:2" x14ac:dyDescent="0.2">
      <c r="A10345" s="40"/>
      <c r="B10345" s="40"/>
    </row>
    <row r="10346" spans="1:2" x14ac:dyDescent="0.2">
      <c r="A10346" s="40"/>
      <c r="B10346" s="40"/>
    </row>
    <row r="10347" spans="1:2" x14ac:dyDescent="0.2">
      <c r="A10347" s="40"/>
      <c r="B10347" s="40"/>
    </row>
    <row r="10348" spans="1:2" x14ac:dyDescent="0.2">
      <c r="A10348" s="40"/>
      <c r="B10348" s="40"/>
    </row>
    <row r="10349" spans="1:2" x14ac:dyDescent="0.2">
      <c r="A10349" s="40"/>
      <c r="B10349" s="40"/>
    </row>
    <row r="10350" spans="1:2" x14ac:dyDescent="0.2">
      <c r="A10350" s="40"/>
      <c r="B10350" s="40"/>
    </row>
    <row r="10351" spans="1:2" x14ac:dyDescent="0.2">
      <c r="A10351" s="40"/>
      <c r="B10351" s="40"/>
    </row>
    <row r="10352" spans="1:2" x14ac:dyDescent="0.2">
      <c r="A10352" s="40"/>
      <c r="B10352" s="40"/>
    </row>
    <row r="10353" spans="1:2" x14ac:dyDescent="0.2">
      <c r="A10353" s="40"/>
      <c r="B10353" s="40"/>
    </row>
    <row r="10354" spans="1:2" x14ac:dyDescent="0.2">
      <c r="A10354" s="40"/>
      <c r="B10354" s="40"/>
    </row>
    <row r="10355" spans="1:2" x14ac:dyDescent="0.2">
      <c r="A10355" s="40"/>
      <c r="B10355" s="40"/>
    </row>
    <row r="10356" spans="1:2" x14ac:dyDescent="0.2">
      <c r="A10356" s="40"/>
      <c r="B10356" s="40"/>
    </row>
    <row r="10357" spans="1:2" x14ac:dyDescent="0.2">
      <c r="A10357" s="40"/>
      <c r="B10357" s="40"/>
    </row>
    <row r="10358" spans="1:2" x14ac:dyDescent="0.2">
      <c r="A10358" s="40"/>
      <c r="B10358" s="40"/>
    </row>
    <row r="10359" spans="1:2" x14ac:dyDescent="0.2">
      <c r="A10359" s="40"/>
      <c r="B10359" s="40"/>
    </row>
    <row r="10360" spans="1:2" x14ac:dyDescent="0.2">
      <c r="A10360" s="40"/>
      <c r="B10360" s="40"/>
    </row>
    <row r="10361" spans="1:2" x14ac:dyDescent="0.2">
      <c r="A10361" s="40"/>
      <c r="B10361" s="40"/>
    </row>
    <row r="10362" spans="1:2" x14ac:dyDescent="0.2">
      <c r="A10362" s="40"/>
      <c r="B10362" s="40"/>
    </row>
    <row r="10363" spans="1:2" x14ac:dyDescent="0.2">
      <c r="A10363" s="40"/>
      <c r="B10363" s="40"/>
    </row>
    <row r="10364" spans="1:2" x14ac:dyDescent="0.2">
      <c r="A10364" s="40"/>
      <c r="B10364" s="40"/>
    </row>
    <row r="10365" spans="1:2" x14ac:dyDescent="0.2">
      <c r="A10365" s="40"/>
      <c r="B10365" s="40"/>
    </row>
    <row r="10366" spans="1:2" x14ac:dyDescent="0.2">
      <c r="A10366" s="40"/>
      <c r="B10366" s="40"/>
    </row>
    <row r="10367" spans="1:2" x14ac:dyDescent="0.2">
      <c r="A10367" s="40"/>
      <c r="B10367" s="40"/>
    </row>
    <row r="10368" spans="1:2" x14ac:dyDescent="0.2">
      <c r="A10368" s="40"/>
      <c r="B10368" s="40"/>
    </row>
    <row r="10369" spans="1:2" x14ac:dyDescent="0.2">
      <c r="A10369" s="40"/>
      <c r="B10369" s="40"/>
    </row>
    <row r="10370" spans="1:2" x14ac:dyDescent="0.2">
      <c r="A10370" s="40"/>
      <c r="B10370" s="40"/>
    </row>
    <row r="10371" spans="1:2" x14ac:dyDescent="0.2">
      <c r="A10371" s="40"/>
      <c r="B10371" s="40"/>
    </row>
    <row r="10372" spans="1:2" x14ac:dyDescent="0.2">
      <c r="A10372" s="40"/>
      <c r="B10372" s="40"/>
    </row>
    <row r="10373" spans="1:2" x14ac:dyDescent="0.2">
      <c r="A10373" s="40"/>
      <c r="B10373" s="40"/>
    </row>
    <row r="10374" spans="1:2" x14ac:dyDescent="0.2">
      <c r="A10374" s="40"/>
      <c r="B10374" s="40"/>
    </row>
    <row r="10375" spans="1:2" x14ac:dyDescent="0.2">
      <c r="A10375" s="40"/>
      <c r="B10375" s="40"/>
    </row>
    <row r="10376" spans="1:2" x14ac:dyDescent="0.2">
      <c r="A10376" s="40"/>
      <c r="B10376" s="40"/>
    </row>
    <row r="10377" spans="1:2" x14ac:dyDescent="0.2">
      <c r="A10377" s="40"/>
      <c r="B10377" s="40"/>
    </row>
    <row r="10378" spans="1:2" x14ac:dyDescent="0.2">
      <c r="A10378" s="40"/>
      <c r="B10378" s="40"/>
    </row>
    <row r="10379" spans="1:2" x14ac:dyDescent="0.2">
      <c r="A10379" s="40"/>
      <c r="B10379" s="40"/>
    </row>
    <row r="10380" spans="1:2" x14ac:dyDescent="0.2">
      <c r="A10380" s="40"/>
      <c r="B10380" s="40"/>
    </row>
    <row r="10381" spans="1:2" x14ac:dyDescent="0.2">
      <c r="A10381" s="40"/>
      <c r="B10381" s="40"/>
    </row>
    <row r="10382" spans="1:2" x14ac:dyDescent="0.2">
      <c r="A10382" s="40"/>
      <c r="B10382" s="40"/>
    </row>
    <row r="10383" spans="1:2" x14ac:dyDescent="0.2">
      <c r="A10383" s="40"/>
      <c r="B10383" s="40"/>
    </row>
    <row r="10384" spans="1:2" x14ac:dyDescent="0.2">
      <c r="A10384" s="40"/>
      <c r="B10384" s="40"/>
    </row>
    <row r="10385" spans="1:2" x14ac:dyDescent="0.2">
      <c r="A10385" s="40"/>
      <c r="B10385" s="40"/>
    </row>
    <row r="10386" spans="1:2" x14ac:dyDescent="0.2">
      <c r="A10386" s="40"/>
      <c r="B10386" s="40"/>
    </row>
    <row r="10387" spans="1:2" x14ac:dyDescent="0.2">
      <c r="A10387" s="40"/>
      <c r="B10387" s="40"/>
    </row>
    <row r="10388" spans="1:2" x14ac:dyDescent="0.2">
      <c r="A10388" s="40"/>
      <c r="B10388" s="40"/>
    </row>
    <row r="10389" spans="1:2" x14ac:dyDescent="0.2">
      <c r="A10389" s="40"/>
      <c r="B10389" s="40"/>
    </row>
    <row r="10390" spans="1:2" x14ac:dyDescent="0.2">
      <c r="A10390" s="40"/>
      <c r="B10390" s="40"/>
    </row>
    <row r="10391" spans="1:2" x14ac:dyDescent="0.2">
      <c r="A10391" s="40"/>
      <c r="B10391" s="40"/>
    </row>
    <row r="10392" spans="1:2" x14ac:dyDescent="0.2">
      <c r="A10392" s="40"/>
      <c r="B10392" s="40"/>
    </row>
    <row r="10393" spans="1:2" x14ac:dyDescent="0.2">
      <c r="A10393" s="40"/>
      <c r="B10393" s="40"/>
    </row>
    <row r="10394" spans="1:2" x14ac:dyDescent="0.2">
      <c r="A10394" s="40"/>
      <c r="B10394" s="40"/>
    </row>
    <row r="10395" spans="1:2" x14ac:dyDescent="0.2">
      <c r="A10395" s="40"/>
      <c r="B10395" s="40"/>
    </row>
    <row r="10396" spans="1:2" x14ac:dyDescent="0.2">
      <c r="A10396" s="40"/>
      <c r="B10396" s="40"/>
    </row>
    <row r="10397" spans="1:2" x14ac:dyDescent="0.2">
      <c r="A10397" s="40"/>
      <c r="B10397" s="40"/>
    </row>
    <row r="10398" spans="1:2" x14ac:dyDescent="0.2">
      <c r="A10398" s="40"/>
      <c r="B10398" s="40"/>
    </row>
    <row r="10399" spans="1:2" x14ac:dyDescent="0.2">
      <c r="A10399" s="40"/>
      <c r="B10399" s="40"/>
    </row>
    <row r="10400" spans="1:2" x14ac:dyDescent="0.2">
      <c r="A10400" s="40"/>
      <c r="B10400" s="40"/>
    </row>
    <row r="10401" spans="1:2" x14ac:dyDescent="0.2">
      <c r="A10401" s="40"/>
      <c r="B10401" s="40"/>
    </row>
    <row r="10402" spans="1:2" x14ac:dyDescent="0.2">
      <c r="A10402" s="40"/>
      <c r="B10402" s="40"/>
    </row>
    <row r="10403" spans="1:2" x14ac:dyDescent="0.2">
      <c r="A10403" s="40"/>
      <c r="B10403" s="40"/>
    </row>
    <row r="10404" spans="1:2" x14ac:dyDescent="0.2">
      <c r="A10404" s="40"/>
      <c r="B10404" s="40"/>
    </row>
    <row r="10405" spans="1:2" x14ac:dyDescent="0.2">
      <c r="A10405" s="40"/>
      <c r="B10405" s="40"/>
    </row>
    <row r="10406" spans="1:2" x14ac:dyDescent="0.2">
      <c r="A10406" s="40"/>
      <c r="B10406" s="40"/>
    </row>
    <row r="10407" spans="1:2" x14ac:dyDescent="0.2">
      <c r="A10407" s="40"/>
      <c r="B10407" s="40"/>
    </row>
    <row r="10408" spans="1:2" x14ac:dyDescent="0.2">
      <c r="A10408" s="40"/>
      <c r="B10408" s="40"/>
    </row>
    <row r="10409" spans="1:2" x14ac:dyDescent="0.2">
      <c r="A10409" s="40"/>
      <c r="B10409" s="40"/>
    </row>
    <row r="10410" spans="1:2" x14ac:dyDescent="0.2">
      <c r="A10410" s="40"/>
      <c r="B10410" s="40"/>
    </row>
    <row r="10411" spans="1:2" x14ac:dyDescent="0.2">
      <c r="A10411" s="40"/>
      <c r="B10411" s="40"/>
    </row>
    <row r="10412" spans="1:2" x14ac:dyDescent="0.2">
      <c r="A10412" s="40"/>
      <c r="B10412" s="40"/>
    </row>
    <row r="10413" spans="1:2" x14ac:dyDescent="0.2">
      <c r="A10413" s="40"/>
      <c r="B10413" s="40"/>
    </row>
    <row r="10414" spans="1:2" x14ac:dyDescent="0.2">
      <c r="A10414" s="40"/>
      <c r="B10414" s="40"/>
    </row>
    <row r="10415" spans="1:2" x14ac:dyDescent="0.2">
      <c r="A10415" s="40"/>
      <c r="B10415" s="40"/>
    </row>
    <row r="10416" spans="1:2" x14ac:dyDescent="0.2">
      <c r="A10416" s="40"/>
      <c r="B10416" s="40"/>
    </row>
    <row r="10417" spans="1:2" x14ac:dyDescent="0.2">
      <c r="A10417" s="40"/>
      <c r="B10417" s="40"/>
    </row>
    <row r="10418" spans="1:2" x14ac:dyDescent="0.2">
      <c r="A10418" s="40"/>
      <c r="B10418" s="40"/>
    </row>
    <row r="10419" spans="1:2" x14ac:dyDescent="0.2">
      <c r="A10419" s="40"/>
      <c r="B10419" s="40"/>
    </row>
    <row r="10420" spans="1:2" x14ac:dyDescent="0.2">
      <c r="A10420" s="40"/>
      <c r="B10420" s="40"/>
    </row>
    <row r="10421" spans="1:2" x14ac:dyDescent="0.2">
      <c r="A10421" s="40"/>
      <c r="B10421" s="40"/>
    </row>
    <row r="10422" spans="1:2" x14ac:dyDescent="0.2">
      <c r="A10422" s="40"/>
      <c r="B10422" s="40"/>
    </row>
    <row r="10423" spans="1:2" x14ac:dyDescent="0.2">
      <c r="A10423" s="40"/>
      <c r="B10423" s="40"/>
    </row>
    <row r="10424" spans="1:2" x14ac:dyDescent="0.2">
      <c r="A10424" s="40"/>
      <c r="B10424" s="40"/>
    </row>
    <row r="10425" spans="1:2" x14ac:dyDescent="0.2">
      <c r="A10425" s="40"/>
      <c r="B10425" s="40"/>
    </row>
    <row r="10426" spans="1:2" x14ac:dyDescent="0.2">
      <c r="A10426" s="40"/>
      <c r="B10426" s="40"/>
    </row>
    <row r="10427" spans="1:2" x14ac:dyDescent="0.2">
      <c r="A10427" s="40"/>
      <c r="B10427" s="40"/>
    </row>
    <row r="10428" spans="1:2" x14ac:dyDescent="0.2">
      <c r="A10428" s="40"/>
      <c r="B10428" s="40"/>
    </row>
    <row r="10429" spans="1:2" x14ac:dyDescent="0.2">
      <c r="A10429" s="40"/>
      <c r="B10429" s="40"/>
    </row>
    <row r="10430" spans="1:2" x14ac:dyDescent="0.2">
      <c r="A10430" s="40"/>
      <c r="B10430" s="40"/>
    </row>
    <row r="10431" spans="1:2" x14ac:dyDescent="0.2">
      <c r="A10431" s="40"/>
      <c r="B10431" s="40"/>
    </row>
    <row r="10432" spans="1:2" x14ac:dyDescent="0.2">
      <c r="A10432" s="40"/>
      <c r="B10432" s="40"/>
    </row>
    <row r="10433" spans="1:2" x14ac:dyDescent="0.2">
      <c r="A10433" s="40"/>
      <c r="B10433" s="40"/>
    </row>
    <row r="10434" spans="1:2" x14ac:dyDescent="0.2">
      <c r="A10434" s="40"/>
      <c r="B10434" s="40"/>
    </row>
    <row r="10435" spans="1:2" x14ac:dyDescent="0.2">
      <c r="A10435" s="40"/>
      <c r="B10435" s="40"/>
    </row>
    <row r="10436" spans="1:2" x14ac:dyDescent="0.2">
      <c r="A10436" s="40"/>
      <c r="B10436" s="40"/>
    </row>
    <row r="10437" spans="1:2" x14ac:dyDescent="0.2">
      <c r="A10437" s="40"/>
      <c r="B10437" s="40"/>
    </row>
    <row r="10438" spans="1:2" x14ac:dyDescent="0.2">
      <c r="A10438" s="40"/>
      <c r="B10438" s="40"/>
    </row>
    <row r="10439" spans="1:2" x14ac:dyDescent="0.2">
      <c r="A10439" s="40"/>
      <c r="B10439" s="40"/>
    </row>
    <row r="10440" spans="1:2" x14ac:dyDescent="0.2">
      <c r="A10440" s="40"/>
      <c r="B10440" s="40"/>
    </row>
    <row r="10441" spans="1:2" x14ac:dyDescent="0.2">
      <c r="A10441" s="40"/>
      <c r="B10441" s="40"/>
    </row>
    <row r="10442" spans="1:2" x14ac:dyDescent="0.2">
      <c r="A10442" s="40"/>
      <c r="B10442" s="40"/>
    </row>
    <row r="10443" spans="1:2" x14ac:dyDescent="0.2">
      <c r="A10443" s="40"/>
      <c r="B10443" s="40"/>
    </row>
    <row r="10444" spans="1:2" x14ac:dyDescent="0.2">
      <c r="A10444" s="40"/>
      <c r="B10444" s="40"/>
    </row>
    <row r="10445" spans="1:2" x14ac:dyDescent="0.2">
      <c r="A10445" s="40"/>
      <c r="B10445" s="40"/>
    </row>
    <row r="10446" spans="1:2" x14ac:dyDescent="0.2">
      <c r="A10446" s="40"/>
      <c r="B10446" s="40"/>
    </row>
    <row r="10447" spans="1:2" x14ac:dyDescent="0.2">
      <c r="A10447" s="40"/>
      <c r="B10447" s="40"/>
    </row>
    <row r="10448" spans="1:2" x14ac:dyDescent="0.2">
      <c r="A10448" s="40"/>
      <c r="B10448" s="40"/>
    </row>
    <row r="10449" spans="1:2" x14ac:dyDescent="0.2">
      <c r="A10449" s="40"/>
      <c r="B10449" s="40"/>
    </row>
    <row r="10450" spans="1:2" x14ac:dyDescent="0.2">
      <c r="A10450" s="40"/>
      <c r="B10450" s="40"/>
    </row>
    <row r="10451" spans="1:2" x14ac:dyDescent="0.2">
      <c r="A10451" s="40"/>
      <c r="B10451" s="40"/>
    </row>
    <row r="10452" spans="1:2" x14ac:dyDescent="0.2">
      <c r="A10452" s="40"/>
      <c r="B10452" s="40"/>
    </row>
    <row r="10453" spans="1:2" x14ac:dyDescent="0.2">
      <c r="A10453" s="40"/>
      <c r="B10453" s="40"/>
    </row>
    <row r="10454" spans="1:2" x14ac:dyDescent="0.2">
      <c r="A10454" s="40"/>
      <c r="B10454" s="40"/>
    </row>
    <row r="10455" spans="1:2" x14ac:dyDescent="0.2">
      <c r="A10455" s="40"/>
      <c r="B10455" s="40"/>
    </row>
    <row r="10456" spans="1:2" x14ac:dyDescent="0.2">
      <c r="A10456" s="40"/>
      <c r="B10456" s="40"/>
    </row>
    <row r="10457" spans="1:2" x14ac:dyDescent="0.2">
      <c r="A10457" s="40"/>
      <c r="B10457" s="40"/>
    </row>
    <row r="10458" spans="1:2" x14ac:dyDescent="0.2">
      <c r="A10458" s="40"/>
      <c r="B10458" s="40"/>
    </row>
    <row r="10459" spans="1:2" x14ac:dyDescent="0.2">
      <c r="A10459" s="40"/>
      <c r="B10459" s="40"/>
    </row>
    <row r="10460" spans="1:2" x14ac:dyDescent="0.2">
      <c r="A10460" s="40"/>
      <c r="B10460" s="40"/>
    </row>
    <row r="10461" spans="1:2" x14ac:dyDescent="0.2">
      <c r="A10461" s="40"/>
      <c r="B10461" s="40"/>
    </row>
    <row r="10462" spans="1:2" x14ac:dyDescent="0.2">
      <c r="A10462" s="40"/>
      <c r="B10462" s="40"/>
    </row>
    <row r="10463" spans="1:2" x14ac:dyDescent="0.2">
      <c r="A10463" s="40"/>
      <c r="B10463" s="40"/>
    </row>
    <row r="10464" spans="1:2" x14ac:dyDescent="0.2">
      <c r="A10464" s="40"/>
      <c r="B10464" s="40"/>
    </row>
    <row r="10465" spans="1:2" x14ac:dyDescent="0.2">
      <c r="A10465" s="40"/>
      <c r="B10465" s="40"/>
    </row>
    <row r="10466" spans="1:2" x14ac:dyDescent="0.2">
      <c r="A10466" s="40"/>
      <c r="B10466" s="40"/>
    </row>
    <row r="10467" spans="1:2" x14ac:dyDescent="0.2">
      <c r="A10467" s="40"/>
      <c r="B10467" s="40"/>
    </row>
    <row r="10468" spans="1:2" x14ac:dyDescent="0.2">
      <c r="A10468" s="40"/>
      <c r="B10468" s="40"/>
    </row>
    <row r="10469" spans="1:2" x14ac:dyDescent="0.2">
      <c r="A10469" s="40"/>
      <c r="B10469" s="40"/>
    </row>
    <row r="10470" spans="1:2" x14ac:dyDescent="0.2">
      <c r="A10470" s="40"/>
      <c r="B10470" s="40"/>
    </row>
    <row r="10471" spans="1:2" x14ac:dyDescent="0.2">
      <c r="A10471" s="40"/>
      <c r="B10471" s="40"/>
    </row>
    <row r="10472" spans="1:2" x14ac:dyDescent="0.2">
      <c r="A10472" s="40"/>
      <c r="B10472" s="40"/>
    </row>
    <row r="10473" spans="1:2" x14ac:dyDescent="0.2">
      <c r="A10473" s="40"/>
      <c r="B10473" s="40"/>
    </row>
    <row r="10474" spans="1:2" x14ac:dyDescent="0.2">
      <c r="A10474" s="40"/>
      <c r="B10474" s="40"/>
    </row>
    <row r="10475" spans="1:2" x14ac:dyDescent="0.2">
      <c r="A10475" s="40"/>
      <c r="B10475" s="40"/>
    </row>
    <row r="10476" spans="1:2" x14ac:dyDescent="0.2">
      <c r="A10476" s="40"/>
      <c r="B10476" s="40"/>
    </row>
    <row r="10477" spans="1:2" x14ac:dyDescent="0.2">
      <c r="A10477" s="40"/>
      <c r="B10477" s="40"/>
    </row>
    <row r="10478" spans="1:2" x14ac:dyDescent="0.2">
      <c r="A10478" s="40"/>
      <c r="B10478" s="40"/>
    </row>
    <row r="10479" spans="1:2" x14ac:dyDescent="0.2">
      <c r="A10479" s="40"/>
      <c r="B10479" s="40"/>
    </row>
    <row r="10480" spans="1:2" x14ac:dyDescent="0.2">
      <c r="A10480" s="40"/>
      <c r="B10480" s="40"/>
    </row>
    <row r="10481" spans="1:2" x14ac:dyDescent="0.2">
      <c r="A10481" s="40"/>
      <c r="B10481" s="40"/>
    </row>
    <row r="10482" spans="1:2" x14ac:dyDescent="0.2">
      <c r="A10482" s="40"/>
      <c r="B10482" s="40"/>
    </row>
    <row r="10483" spans="1:2" x14ac:dyDescent="0.2">
      <c r="A10483" s="40"/>
      <c r="B10483" s="40"/>
    </row>
    <row r="10484" spans="1:2" x14ac:dyDescent="0.2">
      <c r="A10484" s="40"/>
      <c r="B10484" s="40"/>
    </row>
    <row r="10485" spans="1:2" x14ac:dyDescent="0.2">
      <c r="A10485" s="40"/>
      <c r="B10485" s="40"/>
    </row>
    <row r="10486" spans="1:2" x14ac:dyDescent="0.2">
      <c r="A10486" s="40"/>
      <c r="B10486" s="40"/>
    </row>
    <row r="10487" spans="1:2" x14ac:dyDescent="0.2">
      <c r="A10487" s="40"/>
      <c r="B10487" s="40"/>
    </row>
    <row r="10488" spans="1:2" x14ac:dyDescent="0.2">
      <c r="A10488" s="40"/>
      <c r="B10488" s="40"/>
    </row>
    <row r="10489" spans="1:2" x14ac:dyDescent="0.2">
      <c r="A10489" s="40"/>
      <c r="B10489" s="40"/>
    </row>
    <row r="10490" spans="1:2" x14ac:dyDescent="0.2">
      <c r="A10490" s="40"/>
      <c r="B10490" s="40"/>
    </row>
    <row r="10491" spans="1:2" x14ac:dyDescent="0.2">
      <c r="A10491" s="40"/>
      <c r="B10491" s="40"/>
    </row>
    <row r="10492" spans="1:2" x14ac:dyDescent="0.2">
      <c r="A10492" s="40"/>
      <c r="B10492" s="40"/>
    </row>
    <row r="10493" spans="1:2" x14ac:dyDescent="0.2">
      <c r="A10493" s="40"/>
      <c r="B10493" s="40"/>
    </row>
    <row r="10494" spans="1:2" x14ac:dyDescent="0.2">
      <c r="A10494" s="40"/>
      <c r="B10494" s="40"/>
    </row>
    <row r="10495" spans="1:2" x14ac:dyDescent="0.2">
      <c r="A10495" s="40"/>
      <c r="B10495" s="40"/>
    </row>
    <row r="10496" spans="1:2" x14ac:dyDescent="0.2">
      <c r="A10496" s="40"/>
      <c r="B10496" s="40"/>
    </row>
    <row r="10497" spans="1:2" x14ac:dyDescent="0.2">
      <c r="A10497" s="40"/>
      <c r="B10497" s="40"/>
    </row>
    <row r="10498" spans="1:2" x14ac:dyDescent="0.2">
      <c r="A10498" s="40"/>
      <c r="B10498" s="40"/>
    </row>
    <row r="10499" spans="1:2" x14ac:dyDescent="0.2">
      <c r="A10499" s="40"/>
      <c r="B10499" s="40"/>
    </row>
    <row r="10500" spans="1:2" x14ac:dyDescent="0.2">
      <c r="A10500" s="40"/>
      <c r="B10500" s="40"/>
    </row>
    <row r="10501" spans="1:2" x14ac:dyDescent="0.2">
      <c r="A10501" s="40"/>
      <c r="B10501" s="40"/>
    </row>
    <row r="10502" spans="1:2" x14ac:dyDescent="0.2">
      <c r="A10502" s="40"/>
      <c r="B10502" s="40"/>
    </row>
    <row r="10503" spans="1:2" x14ac:dyDescent="0.2">
      <c r="A10503" s="40"/>
      <c r="B10503" s="40"/>
    </row>
    <row r="10504" spans="1:2" x14ac:dyDescent="0.2">
      <c r="A10504" s="40"/>
      <c r="B10504" s="40"/>
    </row>
    <row r="10505" spans="1:2" x14ac:dyDescent="0.2">
      <c r="A10505" s="40"/>
      <c r="B10505" s="40"/>
    </row>
    <row r="10506" spans="1:2" x14ac:dyDescent="0.2">
      <c r="A10506" s="40"/>
      <c r="B10506" s="40"/>
    </row>
    <row r="10507" spans="1:2" x14ac:dyDescent="0.2">
      <c r="A10507" s="40"/>
      <c r="B10507" s="40"/>
    </row>
    <row r="10508" spans="1:2" x14ac:dyDescent="0.2">
      <c r="A10508" s="40"/>
      <c r="B10508" s="40"/>
    </row>
    <row r="10509" spans="1:2" x14ac:dyDescent="0.2">
      <c r="A10509" s="40"/>
      <c r="B10509" s="40"/>
    </row>
    <row r="10510" spans="1:2" x14ac:dyDescent="0.2">
      <c r="A10510" s="40"/>
      <c r="B10510" s="40"/>
    </row>
    <row r="10511" spans="1:2" x14ac:dyDescent="0.2">
      <c r="A10511" s="40"/>
      <c r="B10511" s="40"/>
    </row>
    <row r="10512" spans="1:2" x14ac:dyDescent="0.2">
      <c r="A10512" s="40"/>
      <c r="B10512" s="40"/>
    </row>
    <row r="10513" spans="1:2" x14ac:dyDescent="0.2">
      <c r="A10513" s="40"/>
      <c r="B10513" s="40"/>
    </row>
    <row r="10514" spans="1:2" x14ac:dyDescent="0.2">
      <c r="A10514" s="40"/>
      <c r="B10514" s="40"/>
    </row>
    <row r="10515" spans="1:2" x14ac:dyDescent="0.2">
      <c r="A10515" s="40"/>
      <c r="B10515" s="40"/>
    </row>
    <row r="10516" spans="1:2" x14ac:dyDescent="0.2">
      <c r="A10516" s="40"/>
      <c r="B10516" s="40"/>
    </row>
    <row r="10517" spans="1:2" x14ac:dyDescent="0.2">
      <c r="A10517" s="40"/>
      <c r="B10517" s="40"/>
    </row>
    <row r="10518" spans="1:2" x14ac:dyDescent="0.2">
      <c r="A10518" s="40"/>
      <c r="B10518" s="40"/>
    </row>
    <row r="10519" spans="1:2" x14ac:dyDescent="0.2">
      <c r="A10519" s="40"/>
      <c r="B10519" s="40"/>
    </row>
    <row r="10520" spans="1:2" x14ac:dyDescent="0.2">
      <c r="A10520" s="40"/>
      <c r="B10520" s="40"/>
    </row>
    <row r="10521" spans="1:2" x14ac:dyDescent="0.2">
      <c r="A10521" s="40"/>
      <c r="B10521" s="40"/>
    </row>
    <row r="10522" spans="1:2" x14ac:dyDescent="0.2">
      <c r="A10522" s="40"/>
      <c r="B10522" s="40"/>
    </row>
    <row r="10523" spans="1:2" x14ac:dyDescent="0.2">
      <c r="A10523" s="40"/>
      <c r="B10523" s="40"/>
    </row>
    <row r="10524" spans="1:2" x14ac:dyDescent="0.2">
      <c r="A10524" s="40"/>
      <c r="B10524" s="40"/>
    </row>
    <row r="10525" spans="1:2" x14ac:dyDescent="0.2">
      <c r="A10525" s="40"/>
      <c r="B10525" s="40"/>
    </row>
    <row r="10526" spans="1:2" x14ac:dyDescent="0.2">
      <c r="A10526" s="40"/>
      <c r="B10526" s="40"/>
    </row>
    <row r="10527" spans="1:2" x14ac:dyDescent="0.2">
      <c r="A10527" s="40"/>
      <c r="B10527" s="40"/>
    </row>
    <row r="10528" spans="1:2" x14ac:dyDescent="0.2">
      <c r="A10528" s="40"/>
      <c r="B10528" s="40"/>
    </row>
    <row r="10529" spans="1:2" x14ac:dyDescent="0.2">
      <c r="A10529" s="40"/>
      <c r="B10529" s="40"/>
    </row>
    <row r="10530" spans="1:2" x14ac:dyDescent="0.2">
      <c r="A10530" s="40"/>
      <c r="B10530" s="40"/>
    </row>
    <row r="10531" spans="1:2" x14ac:dyDescent="0.2">
      <c r="A10531" s="40"/>
      <c r="B10531" s="40"/>
    </row>
    <row r="10532" spans="1:2" x14ac:dyDescent="0.2">
      <c r="A10532" s="40"/>
      <c r="B10532" s="40"/>
    </row>
    <row r="10533" spans="1:2" x14ac:dyDescent="0.2">
      <c r="A10533" s="40"/>
      <c r="B10533" s="40"/>
    </row>
    <row r="10534" spans="1:2" x14ac:dyDescent="0.2">
      <c r="A10534" s="40"/>
      <c r="B10534" s="40"/>
    </row>
    <row r="10535" spans="1:2" x14ac:dyDescent="0.2">
      <c r="A10535" s="40"/>
      <c r="B10535" s="40"/>
    </row>
    <row r="10536" spans="1:2" x14ac:dyDescent="0.2">
      <c r="A10536" s="40"/>
      <c r="B10536" s="40"/>
    </row>
    <row r="10537" spans="1:2" x14ac:dyDescent="0.2">
      <c r="A10537" s="40"/>
      <c r="B10537" s="40"/>
    </row>
    <row r="10538" spans="1:2" x14ac:dyDescent="0.2">
      <c r="A10538" s="40"/>
      <c r="B10538" s="40"/>
    </row>
    <row r="10539" spans="1:2" x14ac:dyDescent="0.2">
      <c r="A10539" s="40"/>
      <c r="B10539" s="40"/>
    </row>
    <row r="10540" spans="1:2" x14ac:dyDescent="0.2">
      <c r="A10540" s="40"/>
      <c r="B10540" s="40"/>
    </row>
    <row r="10541" spans="1:2" x14ac:dyDescent="0.2">
      <c r="A10541" s="40"/>
      <c r="B10541" s="40"/>
    </row>
    <row r="10542" spans="1:2" x14ac:dyDescent="0.2">
      <c r="A10542" s="40"/>
      <c r="B10542" s="40"/>
    </row>
    <row r="10543" spans="1:2" x14ac:dyDescent="0.2">
      <c r="A10543" s="40"/>
      <c r="B10543" s="40"/>
    </row>
    <row r="10544" spans="1:2" x14ac:dyDescent="0.2">
      <c r="A10544" s="40"/>
      <c r="B10544" s="40"/>
    </row>
    <row r="10545" spans="1:2" x14ac:dyDescent="0.2">
      <c r="A10545" s="40"/>
      <c r="B10545" s="40"/>
    </row>
    <row r="10546" spans="1:2" x14ac:dyDescent="0.2">
      <c r="A10546" s="40"/>
      <c r="B10546" s="40"/>
    </row>
    <row r="10547" spans="1:2" x14ac:dyDescent="0.2">
      <c r="A10547" s="40"/>
      <c r="B10547" s="40"/>
    </row>
    <row r="10548" spans="1:2" x14ac:dyDescent="0.2">
      <c r="A10548" s="40"/>
      <c r="B10548" s="40"/>
    </row>
    <row r="10549" spans="1:2" x14ac:dyDescent="0.2">
      <c r="A10549" s="40"/>
      <c r="B10549" s="40"/>
    </row>
    <row r="10550" spans="1:2" x14ac:dyDescent="0.2">
      <c r="A10550" s="40"/>
      <c r="B10550" s="40"/>
    </row>
    <row r="10551" spans="1:2" x14ac:dyDescent="0.2">
      <c r="A10551" s="40"/>
      <c r="B10551" s="40"/>
    </row>
    <row r="10552" spans="1:2" x14ac:dyDescent="0.2">
      <c r="A10552" s="40"/>
      <c r="B10552" s="40"/>
    </row>
    <row r="10553" spans="1:2" x14ac:dyDescent="0.2">
      <c r="A10553" s="40"/>
      <c r="B10553" s="40"/>
    </row>
    <row r="10554" spans="1:2" x14ac:dyDescent="0.2">
      <c r="A10554" s="40"/>
      <c r="B10554" s="40"/>
    </row>
    <row r="10555" spans="1:2" x14ac:dyDescent="0.2">
      <c r="A10555" s="40"/>
      <c r="B10555" s="40"/>
    </row>
    <row r="10556" spans="1:2" x14ac:dyDescent="0.2">
      <c r="A10556" s="40"/>
      <c r="B10556" s="40"/>
    </row>
    <row r="10557" spans="1:2" x14ac:dyDescent="0.2">
      <c r="A10557" s="40"/>
      <c r="B10557" s="40"/>
    </row>
    <row r="10558" spans="1:2" x14ac:dyDescent="0.2">
      <c r="A10558" s="40"/>
      <c r="B10558" s="40"/>
    </row>
    <row r="10559" spans="1:2" x14ac:dyDescent="0.2">
      <c r="A10559" s="40"/>
      <c r="B10559" s="40"/>
    </row>
    <row r="10560" spans="1:2" x14ac:dyDescent="0.2">
      <c r="A10560" s="40"/>
      <c r="B10560" s="40"/>
    </row>
    <row r="10561" spans="1:2" x14ac:dyDescent="0.2">
      <c r="A10561" s="40"/>
      <c r="B10561" s="40"/>
    </row>
    <row r="10562" spans="1:2" x14ac:dyDescent="0.2">
      <c r="A10562" s="40"/>
      <c r="B10562" s="40"/>
    </row>
    <row r="10563" spans="1:2" x14ac:dyDescent="0.2">
      <c r="A10563" s="40"/>
      <c r="B10563" s="40"/>
    </row>
    <row r="10564" spans="1:2" x14ac:dyDescent="0.2">
      <c r="A10564" s="40"/>
      <c r="B10564" s="40"/>
    </row>
    <row r="10565" spans="1:2" x14ac:dyDescent="0.2">
      <c r="A10565" s="40"/>
      <c r="B10565" s="40"/>
    </row>
    <row r="10566" spans="1:2" x14ac:dyDescent="0.2">
      <c r="A10566" s="40"/>
      <c r="B10566" s="40"/>
    </row>
    <row r="10567" spans="1:2" x14ac:dyDescent="0.2">
      <c r="A10567" s="40"/>
      <c r="B10567" s="40"/>
    </row>
    <row r="10568" spans="1:2" x14ac:dyDescent="0.2">
      <c r="A10568" s="40"/>
      <c r="B10568" s="40"/>
    </row>
    <row r="10569" spans="1:2" x14ac:dyDescent="0.2">
      <c r="A10569" s="40"/>
      <c r="B10569" s="40"/>
    </row>
    <row r="10570" spans="1:2" x14ac:dyDescent="0.2">
      <c r="A10570" s="40"/>
      <c r="B10570" s="40"/>
    </row>
    <row r="10571" spans="1:2" x14ac:dyDescent="0.2">
      <c r="A10571" s="40"/>
      <c r="B10571" s="40"/>
    </row>
    <row r="10572" spans="1:2" x14ac:dyDescent="0.2">
      <c r="A10572" s="40"/>
      <c r="B10572" s="40"/>
    </row>
    <row r="10573" spans="1:2" x14ac:dyDescent="0.2">
      <c r="A10573" s="40"/>
      <c r="B10573" s="40"/>
    </row>
    <row r="10574" spans="1:2" x14ac:dyDescent="0.2">
      <c r="A10574" s="40"/>
      <c r="B10574" s="40"/>
    </row>
    <row r="10575" spans="1:2" x14ac:dyDescent="0.2">
      <c r="A10575" s="40"/>
      <c r="B10575" s="40"/>
    </row>
    <row r="10576" spans="1:2" x14ac:dyDescent="0.2">
      <c r="A10576" s="40"/>
      <c r="B10576" s="40"/>
    </row>
    <row r="10577" spans="1:2" x14ac:dyDescent="0.2">
      <c r="A10577" s="40"/>
      <c r="B10577" s="40"/>
    </row>
    <row r="10578" spans="1:2" x14ac:dyDescent="0.2">
      <c r="A10578" s="40"/>
      <c r="B10578" s="40"/>
    </row>
    <row r="10579" spans="1:2" x14ac:dyDescent="0.2">
      <c r="A10579" s="40"/>
      <c r="B10579" s="40"/>
    </row>
    <row r="10580" spans="1:2" x14ac:dyDescent="0.2">
      <c r="A10580" s="40"/>
      <c r="B10580" s="40"/>
    </row>
    <row r="10581" spans="1:2" x14ac:dyDescent="0.2">
      <c r="A10581" s="40"/>
      <c r="B10581" s="40"/>
    </row>
    <row r="10582" spans="1:2" x14ac:dyDescent="0.2">
      <c r="A10582" s="40"/>
      <c r="B10582" s="40"/>
    </row>
    <row r="10583" spans="1:2" x14ac:dyDescent="0.2">
      <c r="A10583" s="40"/>
      <c r="B10583" s="40"/>
    </row>
    <row r="10584" spans="1:2" x14ac:dyDescent="0.2">
      <c r="A10584" s="40"/>
      <c r="B10584" s="40"/>
    </row>
    <row r="10585" spans="1:2" x14ac:dyDescent="0.2">
      <c r="A10585" s="40"/>
      <c r="B10585" s="40"/>
    </row>
    <row r="10586" spans="1:2" x14ac:dyDescent="0.2">
      <c r="A10586" s="40"/>
      <c r="B10586" s="40"/>
    </row>
    <row r="10587" spans="1:2" x14ac:dyDescent="0.2">
      <c r="A10587" s="40"/>
      <c r="B10587" s="40"/>
    </row>
    <row r="10588" spans="1:2" x14ac:dyDescent="0.2">
      <c r="A10588" s="40"/>
      <c r="B10588" s="40"/>
    </row>
    <row r="10589" spans="1:2" x14ac:dyDescent="0.2">
      <c r="A10589" s="40"/>
      <c r="B10589" s="40"/>
    </row>
    <row r="10590" spans="1:2" x14ac:dyDescent="0.2">
      <c r="A10590" s="40"/>
      <c r="B10590" s="40"/>
    </row>
    <row r="10591" spans="1:2" x14ac:dyDescent="0.2">
      <c r="A10591" s="40"/>
      <c r="B10591" s="40"/>
    </row>
    <row r="10592" spans="1:2" x14ac:dyDescent="0.2">
      <c r="A10592" s="40"/>
      <c r="B10592" s="40"/>
    </row>
    <row r="10593" spans="1:2" x14ac:dyDescent="0.2">
      <c r="A10593" s="40"/>
      <c r="B10593" s="40"/>
    </row>
    <row r="10594" spans="1:2" x14ac:dyDescent="0.2">
      <c r="A10594" s="40"/>
      <c r="B10594" s="40"/>
    </row>
    <row r="10595" spans="1:2" x14ac:dyDescent="0.2">
      <c r="A10595" s="40"/>
      <c r="B10595" s="40"/>
    </row>
    <row r="10596" spans="1:2" x14ac:dyDescent="0.2">
      <c r="A10596" s="40"/>
      <c r="B10596" s="40"/>
    </row>
    <row r="10597" spans="1:2" x14ac:dyDescent="0.2">
      <c r="A10597" s="40"/>
      <c r="B10597" s="40"/>
    </row>
    <row r="10598" spans="1:2" x14ac:dyDescent="0.2">
      <c r="A10598" s="40"/>
      <c r="B10598" s="40"/>
    </row>
    <row r="10599" spans="1:2" x14ac:dyDescent="0.2">
      <c r="A10599" s="40"/>
      <c r="B10599" s="40"/>
    </row>
    <row r="10600" spans="1:2" x14ac:dyDescent="0.2">
      <c r="A10600" s="40"/>
      <c r="B10600" s="40"/>
    </row>
    <row r="10601" spans="1:2" x14ac:dyDescent="0.2">
      <c r="A10601" s="40"/>
      <c r="B10601" s="40"/>
    </row>
    <row r="10602" spans="1:2" x14ac:dyDescent="0.2">
      <c r="A10602" s="40"/>
      <c r="B10602" s="40"/>
    </row>
    <row r="10603" spans="1:2" x14ac:dyDescent="0.2">
      <c r="A10603" s="40"/>
      <c r="B10603" s="40"/>
    </row>
    <row r="10604" spans="1:2" x14ac:dyDescent="0.2">
      <c r="A10604" s="40"/>
      <c r="B10604" s="40"/>
    </row>
    <row r="10605" spans="1:2" x14ac:dyDescent="0.2">
      <c r="A10605" s="40"/>
      <c r="B10605" s="40"/>
    </row>
    <row r="10606" spans="1:2" x14ac:dyDescent="0.2">
      <c r="A10606" s="40"/>
      <c r="B10606" s="40"/>
    </row>
    <row r="10607" spans="1:2" x14ac:dyDescent="0.2">
      <c r="A10607" s="40"/>
      <c r="B10607" s="40"/>
    </row>
    <row r="10608" spans="1:2" x14ac:dyDescent="0.2">
      <c r="A10608" s="40"/>
      <c r="B10608" s="40"/>
    </row>
    <row r="10609" spans="1:2" x14ac:dyDescent="0.2">
      <c r="A10609" s="40"/>
      <c r="B10609" s="40"/>
    </row>
    <row r="10610" spans="1:2" x14ac:dyDescent="0.2">
      <c r="A10610" s="40"/>
      <c r="B10610" s="40"/>
    </row>
    <row r="10611" spans="1:2" x14ac:dyDescent="0.2">
      <c r="A10611" s="40"/>
      <c r="B10611" s="40"/>
    </row>
    <row r="10612" spans="1:2" x14ac:dyDescent="0.2">
      <c r="A10612" s="40"/>
      <c r="B10612" s="40"/>
    </row>
    <row r="10613" spans="1:2" x14ac:dyDescent="0.2">
      <c r="A10613" s="40"/>
      <c r="B10613" s="40"/>
    </row>
    <row r="10614" spans="1:2" x14ac:dyDescent="0.2">
      <c r="A10614" s="40"/>
      <c r="B10614" s="40"/>
    </row>
    <row r="10615" spans="1:2" x14ac:dyDescent="0.2">
      <c r="A10615" s="40"/>
      <c r="B10615" s="40"/>
    </row>
    <row r="10616" spans="1:2" x14ac:dyDescent="0.2">
      <c r="A10616" s="40"/>
      <c r="B10616" s="40"/>
    </row>
    <row r="10617" spans="1:2" x14ac:dyDescent="0.2">
      <c r="A10617" s="40"/>
      <c r="B10617" s="40"/>
    </row>
    <row r="10618" spans="1:2" x14ac:dyDescent="0.2">
      <c r="A10618" s="40"/>
      <c r="B10618" s="40"/>
    </row>
    <row r="10619" spans="1:2" x14ac:dyDescent="0.2">
      <c r="A10619" s="40"/>
      <c r="B10619" s="40"/>
    </row>
    <row r="10620" spans="1:2" x14ac:dyDescent="0.2">
      <c r="A10620" s="40"/>
      <c r="B10620" s="40"/>
    </row>
    <row r="10621" spans="1:2" x14ac:dyDescent="0.2">
      <c r="A10621" s="40"/>
      <c r="B10621" s="40"/>
    </row>
    <row r="10622" spans="1:2" x14ac:dyDescent="0.2">
      <c r="A10622" s="40"/>
      <c r="B10622" s="40"/>
    </row>
    <row r="10623" spans="1:2" x14ac:dyDescent="0.2">
      <c r="A10623" s="40"/>
      <c r="B10623" s="40"/>
    </row>
    <row r="10624" spans="1:2" x14ac:dyDescent="0.2">
      <c r="A10624" s="40"/>
      <c r="B10624" s="40"/>
    </row>
    <row r="10625" spans="1:2" x14ac:dyDescent="0.2">
      <c r="A10625" s="40"/>
      <c r="B10625" s="40"/>
    </row>
    <row r="10626" spans="1:2" x14ac:dyDescent="0.2">
      <c r="A10626" s="40"/>
      <c r="B10626" s="40"/>
    </row>
    <row r="10627" spans="1:2" x14ac:dyDescent="0.2">
      <c r="A10627" s="40"/>
      <c r="B10627" s="40"/>
    </row>
    <row r="10628" spans="1:2" x14ac:dyDescent="0.2">
      <c r="A10628" s="40"/>
      <c r="B10628" s="40"/>
    </row>
    <row r="10629" spans="1:2" x14ac:dyDescent="0.2">
      <c r="A10629" s="40"/>
      <c r="B10629" s="40"/>
    </row>
    <row r="10630" spans="1:2" x14ac:dyDescent="0.2">
      <c r="A10630" s="40"/>
      <c r="B10630" s="40"/>
    </row>
    <row r="10631" spans="1:2" x14ac:dyDescent="0.2">
      <c r="A10631" s="40"/>
      <c r="B10631" s="40"/>
    </row>
    <row r="10632" spans="1:2" x14ac:dyDescent="0.2">
      <c r="A10632" s="40"/>
      <c r="B10632" s="40"/>
    </row>
    <row r="10633" spans="1:2" x14ac:dyDescent="0.2">
      <c r="A10633" s="40"/>
      <c r="B10633" s="40"/>
    </row>
    <row r="10634" spans="1:2" x14ac:dyDescent="0.2">
      <c r="A10634" s="40"/>
      <c r="B10634" s="40"/>
    </row>
    <row r="10635" spans="1:2" x14ac:dyDescent="0.2">
      <c r="A10635" s="40"/>
      <c r="B10635" s="40"/>
    </row>
    <row r="10636" spans="1:2" x14ac:dyDescent="0.2">
      <c r="A10636" s="40"/>
      <c r="B10636" s="40"/>
    </row>
    <row r="10637" spans="1:2" x14ac:dyDescent="0.2">
      <c r="A10637" s="40"/>
      <c r="B10637" s="40"/>
    </row>
    <row r="10638" spans="1:2" x14ac:dyDescent="0.2">
      <c r="A10638" s="40"/>
      <c r="B10638" s="40"/>
    </row>
    <row r="10639" spans="1:2" x14ac:dyDescent="0.2">
      <c r="A10639" s="40"/>
      <c r="B10639" s="40"/>
    </row>
    <row r="10640" spans="1:2" x14ac:dyDescent="0.2">
      <c r="A10640" s="40"/>
      <c r="B10640" s="40"/>
    </row>
    <row r="10641" spans="1:2" x14ac:dyDescent="0.2">
      <c r="A10641" s="40"/>
      <c r="B10641" s="40"/>
    </row>
    <row r="10642" spans="1:2" x14ac:dyDescent="0.2">
      <c r="A10642" s="40"/>
      <c r="B10642" s="40"/>
    </row>
    <row r="10643" spans="1:2" x14ac:dyDescent="0.2">
      <c r="A10643" s="40"/>
      <c r="B10643" s="40"/>
    </row>
    <row r="10644" spans="1:2" x14ac:dyDescent="0.2">
      <c r="A10644" s="40"/>
      <c r="B10644" s="40"/>
    </row>
    <row r="10645" spans="1:2" x14ac:dyDescent="0.2">
      <c r="A10645" s="40"/>
      <c r="B10645" s="40"/>
    </row>
    <row r="10646" spans="1:2" x14ac:dyDescent="0.2">
      <c r="A10646" s="40"/>
      <c r="B10646" s="40"/>
    </row>
    <row r="10647" spans="1:2" x14ac:dyDescent="0.2">
      <c r="A10647" s="40"/>
      <c r="B10647" s="40"/>
    </row>
    <row r="10648" spans="1:2" x14ac:dyDescent="0.2">
      <c r="A10648" s="40"/>
      <c r="B10648" s="40"/>
    </row>
    <row r="10649" spans="1:2" x14ac:dyDescent="0.2">
      <c r="A10649" s="40"/>
      <c r="B10649" s="40"/>
    </row>
    <row r="10650" spans="1:2" x14ac:dyDescent="0.2">
      <c r="A10650" s="40"/>
      <c r="B10650" s="40"/>
    </row>
    <row r="10651" spans="1:2" x14ac:dyDescent="0.2">
      <c r="A10651" s="40"/>
      <c r="B10651" s="40"/>
    </row>
    <row r="10652" spans="1:2" x14ac:dyDescent="0.2">
      <c r="A10652" s="40"/>
      <c r="B10652" s="40"/>
    </row>
    <row r="10653" spans="1:2" x14ac:dyDescent="0.2">
      <c r="A10653" s="40"/>
      <c r="B10653" s="40"/>
    </row>
    <row r="10654" spans="1:2" x14ac:dyDescent="0.2">
      <c r="A10654" s="40"/>
      <c r="B10654" s="40"/>
    </row>
    <row r="10655" spans="1:2" x14ac:dyDescent="0.2">
      <c r="A10655" s="40"/>
      <c r="B10655" s="40"/>
    </row>
    <row r="10656" spans="1:2" x14ac:dyDescent="0.2">
      <c r="A10656" s="40"/>
      <c r="B10656" s="40"/>
    </row>
    <row r="10657" spans="1:2" x14ac:dyDescent="0.2">
      <c r="A10657" s="40"/>
      <c r="B10657" s="40"/>
    </row>
    <row r="10658" spans="1:2" x14ac:dyDescent="0.2">
      <c r="A10658" s="40"/>
      <c r="B10658" s="40"/>
    </row>
    <row r="10659" spans="1:2" x14ac:dyDescent="0.2">
      <c r="A10659" s="40"/>
      <c r="B10659" s="40"/>
    </row>
    <row r="10660" spans="1:2" x14ac:dyDescent="0.2">
      <c r="A10660" s="40"/>
      <c r="B10660" s="40"/>
    </row>
    <row r="10661" spans="1:2" x14ac:dyDescent="0.2">
      <c r="A10661" s="40"/>
      <c r="B10661" s="40"/>
    </row>
    <row r="10662" spans="1:2" x14ac:dyDescent="0.2">
      <c r="A10662" s="40"/>
      <c r="B10662" s="40"/>
    </row>
    <row r="10663" spans="1:2" x14ac:dyDescent="0.2">
      <c r="A10663" s="40"/>
      <c r="B10663" s="40"/>
    </row>
    <row r="10664" spans="1:2" x14ac:dyDescent="0.2">
      <c r="A10664" s="40"/>
      <c r="B10664" s="40"/>
    </row>
    <row r="10665" spans="1:2" x14ac:dyDescent="0.2">
      <c r="A10665" s="40"/>
      <c r="B10665" s="40"/>
    </row>
    <row r="10666" spans="1:2" x14ac:dyDescent="0.2">
      <c r="A10666" s="40"/>
      <c r="B10666" s="40"/>
    </row>
    <row r="10667" spans="1:2" x14ac:dyDescent="0.2">
      <c r="A10667" s="40"/>
      <c r="B10667" s="40"/>
    </row>
    <row r="10668" spans="1:2" x14ac:dyDescent="0.2">
      <c r="A10668" s="40"/>
      <c r="B10668" s="40"/>
    </row>
    <row r="10669" spans="1:2" x14ac:dyDescent="0.2">
      <c r="A10669" s="40"/>
      <c r="B10669" s="40"/>
    </row>
    <row r="10670" spans="1:2" x14ac:dyDescent="0.2">
      <c r="A10670" s="40"/>
      <c r="B10670" s="40"/>
    </row>
    <row r="10671" spans="1:2" x14ac:dyDescent="0.2">
      <c r="A10671" s="40"/>
      <c r="B10671" s="40"/>
    </row>
    <row r="10672" spans="1:2" x14ac:dyDescent="0.2">
      <c r="A10672" s="40"/>
      <c r="B10672" s="40"/>
    </row>
    <row r="10673" spans="1:2" x14ac:dyDescent="0.2">
      <c r="A10673" s="40"/>
      <c r="B10673" s="40"/>
    </row>
    <row r="10674" spans="1:2" x14ac:dyDescent="0.2">
      <c r="A10674" s="40"/>
      <c r="B10674" s="40"/>
    </row>
    <row r="10675" spans="1:2" x14ac:dyDescent="0.2">
      <c r="A10675" s="40"/>
      <c r="B10675" s="40"/>
    </row>
    <row r="10676" spans="1:2" x14ac:dyDescent="0.2">
      <c r="A10676" s="40"/>
      <c r="B10676" s="40"/>
    </row>
    <row r="10677" spans="1:2" x14ac:dyDescent="0.2">
      <c r="A10677" s="40"/>
      <c r="B10677" s="40"/>
    </row>
    <row r="10678" spans="1:2" x14ac:dyDescent="0.2">
      <c r="A10678" s="40"/>
      <c r="B10678" s="40"/>
    </row>
    <row r="10679" spans="1:2" x14ac:dyDescent="0.2">
      <c r="A10679" s="40"/>
      <c r="B10679" s="40"/>
    </row>
    <row r="10680" spans="1:2" x14ac:dyDescent="0.2">
      <c r="A10680" s="40"/>
      <c r="B10680" s="40"/>
    </row>
    <row r="10681" spans="1:2" x14ac:dyDescent="0.2">
      <c r="A10681" s="40"/>
      <c r="B10681" s="40"/>
    </row>
    <row r="10682" spans="1:2" x14ac:dyDescent="0.2">
      <c r="A10682" s="40"/>
      <c r="B10682" s="40"/>
    </row>
    <row r="10683" spans="1:2" x14ac:dyDescent="0.2">
      <c r="A10683" s="40"/>
      <c r="B10683" s="40"/>
    </row>
    <row r="10684" spans="1:2" x14ac:dyDescent="0.2">
      <c r="A10684" s="40"/>
      <c r="B10684" s="40"/>
    </row>
    <row r="10685" spans="1:2" x14ac:dyDescent="0.2">
      <c r="A10685" s="40"/>
      <c r="B10685" s="40"/>
    </row>
    <row r="10686" spans="1:2" x14ac:dyDescent="0.2">
      <c r="A10686" s="40"/>
      <c r="B10686" s="40"/>
    </row>
    <row r="10687" spans="1:2" x14ac:dyDescent="0.2">
      <c r="A10687" s="40"/>
      <c r="B10687" s="40"/>
    </row>
    <row r="10688" spans="1:2" x14ac:dyDescent="0.2">
      <c r="A10688" s="40"/>
      <c r="B10688" s="40"/>
    </row>
    <row r="10689" spans="1:2" x14ac:dyDescent="0.2">
      <c r="A10689" s="40"/>
      <c r="B10689" s="40"/>
    </row>
    <row r="10690" spans="1:2" x14ac:dyDescent="0.2">
      <c r="A10690" s="40"/>
      <c r="B10690" s="40"/>
    </row>
    <row r="10691" spans="1:2" x14ac:dyDescent="0.2">
      <c r="A10691" s="40"/>
      <c r="B10691" s="40"/>
    </row>
    <row r="10692" spans="1:2" x14ac:dyDescent="0.2">
      <c r="A10692" s="40"/>
      <c r="B10692" s="40"/>
    </row>
    <row r="10693" spans="1:2" x14ac:dyDescent="0.2">
      <c r="A10693" s="40"/>
      <c r="B10693" s="40"/>
    </row>
    <row r="10694" spans="1:2" x14ac:dyDescent="0.2">
      <c r="A10694" s="40"/>
      <c r="B10694" s="40"/>
    </row>
    <row r="10695" spans="1:2" x14ac:dyDescent="0.2">
      <c r="A10695" s="40"/>
      <c r="B10695" s="40"/>
    </row>
    <row r="10696" spans="1:2" x14ac:dyDescent="0.2">
      <c r="A10696" s="40"/>
      <c r="B10696" s="40"/>
    </row>
    <row r="10697" spans="1:2" x14ac:dyDescent="0.2">
      <c r="A10697" s="40"/>
      <c r="B10697" s="40"/>
    </row>
    <row r="10698" spans="1:2" x14ac:dyDescent="0.2">
      <c r="A10698" s="40"/>
      <c r="B10698" s="40"/>
    </row>
    <row r="10699" spans="1:2" x14ac:dyDescent="0.2">
      <c r="A10699" s="40"/>
      <c r="B10699" s="40"/>
    </row>
    <row r="10700" spans="1:2" x14ac:dyDescent="0.2">
      <c r="A10700" s="40"/>
      <c r="B10700" s="40"/>
    </row>
    <row r="10701" spans="1:2" x14ac:dyDescent="0.2">
      <c r="A10701" s="40"/>
      <c r="B10701" s="40"/>
    </row>
    <row r="10702" spans="1:2" x14ac:dyDescent="0.2">
      <c r="A10702" s="40"/>
      <c r="B10702" s="40"/>
    </row>
    <row r="10703" spans="1:2" x14ac:dyDescent="0.2">
      <c r="A10703" s="40"/>
      <c r="B10703" s="40"/>
    </row>
    <row r="10704" spans="1:2" x14ac:dyDescent="0.2">
      <c r="A10704" s="40"/>
      <c r="B10704" s="40"/>
    </row>
    <row r="10705" spans="1:2" x14ac:dyDescent="0.2">
      <c r="A10705" s="40"/>
      <c r="B10705" s="40"/>
    </row>
    <row r="10706" spans="1:2" x14ac:dyDescent="0.2">
      <c r="A10706" s="40"/>
      <c r="B10706" s="40"/>
    </row>
    <row r="10707" spans="1:2" x14ac:dyDescent="0.2">
      <c r="A10707" s="40"/>
      <c r="B10707" s="40"/>
    </row>
    <row r="10708" spans="1:2" x14ac:dyDescent="0.2">
      <c r="A10708" s="40"/>
      <c r="B10708" s="40"/>
    </row>
    <row r="10709" spans="1:2" x14ac:dyDescent="0.2">
      <c r="A10709" s="40"/>
      <c r="B10709" s="40"/>
    </row>
    <row r="10710" spans="1:2" x14ac:dyDescent="0.2">
      <c r="A10710" s="40"/>
      <c r="B10710" s="40"/>
    </row>
    <row r="10711" spans="1:2" x14ac:dyDescent="0.2">
      <c r="A10711" s="40"/>
      <c r="B10711" s="40"/>
    </row>
    <row r="10712" spans="1:2" x14ac:dyDescent="0.2">
      <c r="A10712" s="40"/>
      <c r="B10712" s="40"/>
    </row>
    <row r="10713" spans="1:2" x14ac:dyDescent="0.2">
      <c r="A10713" s="40"/>
      <c r="B10713" s="40"/>
    </row>
    <row r="10714" spans="1:2" x14ac:dyDescent="0.2">
      <c r="A10714" s="40"/>
      <c r="B10714" s="40"/>
    </row>
    <row r="10715" spans="1:2" x14ac:dyDescent="0.2">
      <c r="A10715" s="40"/>
      <c r="B10715" s="40"/>
    </row>
    <row r="10716" spans="1:2" x14ac:dyDescent="0.2">
      <c r="A10716" s="40"/>
      <c r="B10716" s="40"/>
    </row>
    <row r="10717" spans="1:2" x14ac:dyDescent="0.2">
      <c r="A10717" s="40"/>
      <c r="B10717" s="40"/>
    </row>
    <row r="10718" spans="1:2" x14ac:dyDescent="0.2">
      <c r="A10718" s="40"/>
      <c r="B10718" s="40"/>
    </row>
    <row r="10719" spans="1:2" x14ac:dyDescent="0.2">
      <c r="A10719" s="40"/>
      <c r="B10719" s="40"/>
    </row>
    <row r="10720" spans="1:2" x14ac:dyDescent="0.2">
      <c r="A10720" s="40"/>
      <c r="B10720" s="40"/>
    </row>
    <row r="10721" spans="1:2" x14ac:dyDescent="0.2">
      <c r="A10721" s="40"/>
      <c r="B10721" s="40"/>
    </row>
    <row r="10722" spans="1:2" x14ac:dyDescent="0.2">
      <c r="A10722" s="40"/>
      <c r="B10722" s="40"/>
    </row>
    <row r="10723" spans="1:2" x14ac:dyDescent="0.2">
      <c r="A10723" s="40"/>
      <c r="B10723" s="40"/>
    </row>
    <row r="10724" spans="1:2" x14ac:dyDescent="0.2">
      <c r="A10724" s="40"/>
      <c r="B10724" s="40"/>
    </row>
    <row r="10725" spans="1:2" x14ac:dyDescent="0.2">
      <c r="A10725" s="40"/>
      <c r="B10725" s="40"/>
    </row>
    <row r="10726" spans="1:2" x14ac:dyDescent="0.2">
      <c r="A10726" s="40"/>
      <c r="B10726" s="40"/>
    </row>
    <row r="10727" spans="1:2" x14ac:dyDescent="0.2">
      <c r="A10727" s="40"/>
      <c r="B10727" s="40"/>
    </row>
    <row r="10728" spans="1:2" x14ac:dyDescent="0.2">
      <c r="A10728" s="40"/>
      <c r="B10728" s="40"/>
    </row>
    <row r="10729" spans="1:2" x14ac:dyDescent="0.2">
      <c r="A10729" s="40"/>
      <c r="B10729" s="40"/>
    </row>
    <row r="10730" spans="1:2" x14ac:dyDescent="0.2">
      <c r="A10730" s="40"/>
      <c r="B10730" s="40"/>
    </row>
    <row r="10731" spans="1:2" x14ac:dyDescent="0.2">
      <c r="A10731" s="40"/>
      <c r="B10731" s="40"/>
    </row>
    <row r="10732" spans="1:2" x14ac:dyDescent="0.2">
      <c r="A10732" s="40"/>
      <c r="B10732" s="40"/>
    </row>
    <row r="10733" spans="1:2" x14ac:dyDescent="0.2">
      <c r="A10733" s="40"/>
      <c r="B10733" s="40"/>
    </row>
    <row r="10734" spans="1:2" x14ac:dyDescent="0.2">
      <c r="A10734" s="40"/>
      <c r="B10734" s="40"/>
    </row>
    <row r="10735" spans="1:2" x14ac:dyDescent="0.2">
      <c r="A10735" s="40"/>
      <c r="B10735" s="40"/>
    </row>
    <row r="10736" spans="1:2" x14ac:dyDescent="0.2">
      <c r="A10736" s="40"/>
      <c r="B10736" s="40"/>
    </row>
    <row r="10737" spans="1:2" x14ac:dyDescent="0.2">
      <c r="A10737" s="40"/>
      <c r="B10737" s="40"/>
    </row>
    <row r="10738" spans="1:2" x14ac:dyDescent="0.2">
      <c r="A10738" s="40"/>
      <c r="B10738" s="40"/>
    </row>
    <row r="10739" spans="1:2" x14ac:dyDescent="0.2">
      <c r="A10739" s="40"/>
      <c r="B10739" s="40"/>
    </row>
    <row r="10740" spans="1:2" x14ac:dyDescent="0.2">
      <c r="A10740" s="40"/>
      <c r="B10740" s="40"/>
    </row>
    <row r="10741" spans="1:2" x14ac:dyDescent="0.2">
      <c r="A10741" s="40"/>
      <c r="B10741" s="40"/>
    </row>
    <row r="10742" spans="1:2" x14ac:dyDescent="0.2">
      <c r="A10742" s="40"/>
      <c r="B10742" s="40"/>
    </row>
    <row r="10743" spans="1:2" x14ac:dyDescent="0.2">
      <c r="A10743" s="40"/>
      <c r="B10743" s="40"/>
    </row>
    <row r="10744" spans="1:2" x14ac:dyDescent="0.2">
      <c r="A10744" s="40"/>
      <c r="B10744" s="40"/>
    </row>
    <row r="10745" spans="1:2" x14ac:dyDescent="0.2">
      <c r="A10745" s="40"/>
      <c r="B10745" s="40"/>
    </row>
    <row r="10746" spans="1:2" x14ac:dyDescent="0.2">
      <c r="A10746" s="40"/>
      <c r="B10746" s="40"/>
    </row>
    <row r="10747" spans="1:2" x14ac:dyDescent="0.2">
      <c r="A10747" s="40"/>
      <c r="B10747" s="40"/>
    </row>
    <row r="10748" spans="1:2" x14ac:dyDescent="0.2">
      <c r="A10748" s="40"/>
      <c r="B10748" s="40"/>
    </row>
    <row r="10749" spans="1:2" x14ac:dyDescent="0.2">
      <c r="A10749" s="40"/>
      <c r="B10749" s="40"/>
    </row>
    <row r="10750" spans="1:2" x14ac:dyDescent="0.2">
      <c r="A10750" s="40"/>
      <c r="B10750" s="40"/>
    </row>
    <row r="10751" spans="1:2" x14ac:dyDescent="0.2">
      <c r="A10751" s="40"/>
      <c r="B10751" s="40"/>
    </row>
    <row r="10752" spans="1:2" x14ac:dyDescent="0.2">
      <c r="A10752" s="40"/>
      <c r="B10752" s="40"/>
    </row>
    <row r="10753" spans="1:2" x14ac:dyDescent="0.2">
      <c r="A10753" s="40"/>
      <c r="B10753" s="40"/>
    </row>
    <row r="10754" spans="1:2" x14ac:dyDescent="0.2">
      <c r="A10754" s="40"/>
      <c r="B10754" s="40"/>
    </row>
    <row r="10755" spans="1:2" x14ac:dyDescent="0.2">
      <c r="A10755" s="40"/>
      <c r="B10755" s="40"/>
    </row>
    <row r="10756" spans="1:2" x14ac:dyDescent="0.2">
      <c r="A10756" s="40"/>
      <c r="B10756" s="40"/>
    </row>
    <row r="10757" spans="1:2" x14ac:dyDescent="0.2">
      <c r="A10757" s="40"/>
      <c r="B10757" s="40"/>
    </row>
    <row r="10758" spans="1:2" x14ac:dyDescent="0.2">
      <c r="A10758" s="40"/>
      <c r="B10758" s="40"/>
    </row>
    <row r="10759" spans="1:2" x14ac:dyDescent="0.2">
      <c r="A10759" s="40"/>
      <c r="B10759" s="40"/>
    </row>
    <row r="10760" spans="1:2" x14ac:dyDescent="0.2">
      <c r="A10760" s="40"/>
      <c r="B10760" s="40"/>
    </row>
    <row r="10761" spans="1:2" x14ac:dyDescent="0.2">
      <c r="A10761" s="40"/>
      <c r="B10761" s="40"/>
    </row>
    <row r="10762" spans="1:2" x14ac:dyDescent="0.2">
      <c r="A10762" s="40"/>
      <c r="B10762" s="40"/>
    </row>
    <row r="10763" spans="1:2" x14ac:dyDescent="0.2">
      <c r="A10763" s="40"/>
      <c r="B10763" s="40"/>
    </row>
    <row r="10764" spans="1:2" x14ac:dyDescent="0.2">
      <c r="A10764" s="40"/>
      <c r="B10764" s="40"/>
    </row>
    <row r="10765" spans="1:2" x14ac:dyDescent="0.2">
      <c r="A10765" s="40"/>
      <c r="B10765" s="40"/>
    </row>
    <row r="10766" spans="1:2" x14ac:dyDescent="0.2">
      <c r="A10766" s="40"/>
      <c r="B10766" s="40"/>
    </row>
    <row r="10767" spans="1:2" x14ac:dyDescent="0.2">
      <c r="A10767" s="40"/>
      <c r="B10767" s="40"/>
    </row>
    <row r="10768" spans="1:2" x14ac:dyDescent="0.2">
      <c r="A10768" s="40"/>
      <c r="B10768" s="40"/>
    </row>
    <row r="10769" spans="1:2" x14ac:dyDescent="0.2">
      <c r="A10769" s="40"/>
      <c r="B10769" s="40"/>
    </row>
    <row r="10770" spans="1:2" x14ac:dyDescent="0.2">
      <c r="A10770" s="40"/>
      <c r="B10770" s="40"/>
    </row>
    <row r="10771" spans="1:2" x14ac:dyDescent="0.2">
      <c r="A10771" s="40"/>
      <c r="B10771" s="40"/>
    </row>
    <row r="10772" spans="1:2" x14ac:dyDescent="0.2">
      <c r="A10772" s="40"/>
      <c r="B10772" s="40"/>
    </row>
    <row r="10773" spans="1:2" x14ac:dyDescent="0.2">
      <c r="A10773" s="40"/>
      <c r="B10773" s="40"/>
    </row>
    <row r="10774" spans="1:2" x14ac:dyDescent="0.2">
      <c r="A10774" s="40"/>
      <c r="B10774" s="40"/>
    </row>
    <row r="10775" spans="1:2" x14ac:dyDescent="0.2">
      <c r="A10775" s="40"/>
      <c r="B10775" s="40"/>
    </row>
    <row r="10776" spans="1:2" x14ac:dyDescent="0.2">
      <c r="A10776" s="40"/>
      <c r="B10776" s="40"/>
    </row>
    <row r="10777" spans="1:2" x14ac:dyDescent="0.2">
      <c r="A10777" s="40"/>
      <c r="B10777" s="40"/>
    </row>
    <row r="10778" spans="1:2" x14ac:dyDescent="0.2">
      <c r="A10778" s="40"/>
      <c r="B10778" s="40"/>
    </row>
    <row r="10779" spans="1:2" x14ac:dyDescent="0.2">
      <c r="A10779" s="40"/>
      <c r="B10779" s="40"/>
    </row>
    <row r="10780" spans="1:2" x14ac:dyDescent="0.2">
      <c r="A10780" s="40"/>
      <c r="B10780" s="40"/>
    </row>
    <row r="10781" spans="1:2" x14ac:dyDescent="0.2">
      <c r="A10781" s="40"/>
      <c r="B10781" s="40"/>
    </row>
    <row r="10782" spans="1:2" x14ac:dyDescent="0.2">
      <c r="A10782" s="40"/>
      <c r="B10782" s="40"/>
    </row>
    <row r="10783" spans="1:2" x14ac:dyDescent="0.2">
      <c r="A10783" s="40"/>
      <c r="B10783" s="40"/>
    </row>
    <row r="10784" spans="1:2" x14ac:dyDescent="0.2">
      <c r="A10784" s="40"/>
      <c r="B10784" s="40"/>
    </row>
    <row r="10785" spans="1:2" x14ac:dyDescent="0.2">
      <c r="A10785" s="40"/>
      <c r="B10785" s="40"/>
    </row>
    <row r="10786" spans="1:2" x14ac:dyDescent="0.2">
      <c r="A10786" s="40"/>
      <c r="B10786" s="40"/>
    </row>
    <row r="10787" spans="1:2" x14ac:dyDescent="0.2">
      <c r="A10787" s="40"/>
      <c r="B10787" s="40"/>
    </row>
    <row r="10788" spans="1:2" x14ac:dyDescent="0.2">
      <c r="A10788" s="40"/>
      <c r="B10788" s="40"/>
    </row>
    <row r="10789" spans="1:2" x14ac:dyDescent="0.2">
      <c r="A10789" s="40"/>
      <c r="B10789" s="40"/>
    </row>
    <row r="10790" spans="1:2" x14ac:dyDescent="0.2">
      <c r="A10790" s="40"/>
      <c r="B10790" s="40"/>
    </row>
    <row r="10791" spans="1:2" x14ac:dyDescent="0.2">
      <c r="A10791" s="40"/>
      <c r="B10791" s="40"/>
    </row>
    <row r="10792" spans="1:2" x14ac:dyDescent="0.2">
      <c r="A10792" s="40"/>
      <c r="B10792" s="40"/>
    </row>
    <row r="10793" spans="1:2" x14ac:dyDescent="0.2">
      <c r="A10793" s="40"/>
      <c r="B10793" s="40"/>
    </row>
    <row r="10794" spans="1:2" x14ac:dyDescent="0.2">
      <c r="A10794" s="40"/>
      <c r="B10794" s="40"/>
    </row>
    <row r="10795" spans="1:2" x14ac:dyDescent="0.2">
      <c r="A10795" s="40"/>
      <c r="B10795" s="40"/>
    </row>
    <row r="10796" spans="1:2" x14ac:dyDescent="0.2">
      <c r="A10796" s="40"/>
      <c r="B10796" s="40"/>
    </row>
    <row r="10797" spans="1:2" x14ac:dyDescent="0.2">
      <c r="A10797" s="40"/>
      <c r="B10797" s="40"/>
    </row>
    <row r="10798" spans="1:2" x14ac:dyDescent="0.2">
      <c r="A10798" s="40"/>
      <c r="B10798" s="40"/>
    </row>
    <row r="10799" spans="1:2" x14ac:dyDescent="0.2">
      <c r="A10799" s="40"/>
      <c r="B10799" s="40"/>
    </row>
    <row r="10800" spans="1:2" x14ac:dyDescent="0.2">
      <c r="A10800" s="40"/>
      <c r="B10800" s="40"/>
    </row>
    <row r="10801" spans="1:2" x14ac:dyDescent="0.2">
      <c r="A10801" s="40"/>
      <c r="B10801" s="40"/>
    </row>
    <row r="10802" spans="1:2" x14ac:dyDescent="0.2">
      <c r="A10802" s="40"/>
      <c r="B10802" s="40"/>
    </row>
    <row r="10803" spans="1:2" x14ac:dyDescent="0.2">
      <c r="A10803" s="40"/>
      <c r="B10803" s="40"/>
    </row>
    <row r="10804" spans="1:2" x14ac:dyDescent="0.2">
      <c r="A10804" s="40"/>
      <c r="B10804" s="40"/>
    </row>
    <row r="10805" spans="1:2" x14ac:dyDescent="0.2">
      <c r="A10805" s="40"/>
      <c r="B10805" s="40"/>
    </row>
    <row r="10806" spans="1:2" x14ac:dyDescent="0.2">
      <c r="A10806" s="40"/>
      <c r="B10806" s="40"/>
    </row>
    <row r="10807" spans="1:2" x14ac:dyDescent="0.2">
      <c r="A10807" s="40"/>
      <c r="B10807" s="40"/>
    </row>
    <row r="10808" spans="1:2" x14ac:dyDescent="0.2">
      <c r="A10808" s="40"/>
      <c r="B10808" s="40"/>
    </row>
    <row r="10809" spans="1:2" x14ac:dyDescent="0.2">
      <c r="A10809" s="40"/>
      <c r="B10809" s="40"/>
    </row>
    <row r="10810" spans="1:2" x14ac:dyDescent="0.2">
      <c r="A10810" s="40"/>
      <c r="B10810" s="40"/>
    </row>
    <row r="10811" spans="1:2" x14ac:dyDescent="0.2">
      <c r="A10811" s="40"/>
      <c r="B10811" s="40"/>
    </row>
    <row r="10812" spans="1:2" x14ac:dyDescent="0.2">
      <c r="A10812" s="40"/>
      <c r="B10812" s="40"/>
    </row>
    <row r="10813" spans="1:2" x14ac:dyDescent="0.2">
      <c r="A10813" s="40"/>
      <c r="B10813" s="40"/>
    </row>
    <row r="10814" spans="1:2" x14ac:dyDescent="0.2">
      <c r="A10814" s="40"/>
      <c r="B10814" s="40"/>
    </row>
    <row r="10815" spans="1:2" x14ac:dyDescent="0.2">
      <c r="A10815" s="40"/>
      <c r="B10815" s="40"/>
    </row>
    <row r="10816" spans="1:2" x14ac:dyDescent="0.2">
      <c r="A10816" s="40"/>
      <c r="B10816" s="40"/>
    </row>
    <row r="10817" spans="1:2" x14ac:dyDescent="0.2">
      <c r="A10817" s="40"/>
      <c r="B10817" s="40"/>
    </row>
    <row r="10818" spans="1:2" x14ac:dyDescent="0.2">
      <c r="A10818" s="40"/>
      <c r="B10818" s="40"/>
    </row>
    <row r="10819" spans="1:2" x14ac:dyDescent="0.2">
      <c r="A10819" s="40"/>
      <c r="B10819" s="40"/>
    </row>
    <row r="10820" spans="1:2" x14ac:dyDescent="0.2">
      <c r="A10820" s="40"/>
      <c r="B10820" s="40"/>
    </row>
    <row r="10821" spans="1:2" x14ac:dyDescent="0.2">
      <c r="A10821" s="40"/>
      <c r="B10821" s="40"/>
    </row>
    <row r="10822" spans="1:2" x14ac:dyDescent="0.2">
      <c r="A10822" s="40"/>
      <c r="B10822" s="40"/>
    </row>
    <row r="10823" spans="1:2" x14ac:dyDescent="0.2">
      <c r="A10823" s="40"/>
      <c r="B10823" s="40"/>
    </row>
    <row r="10824" spans="1:2" x14ac:dyDescent="0.2">
      <c r="A10824" s="40"/>
      <c r="B10824" s="40"/>
    </row>
    <row r="10825" spans="1:2" x14ac:dyDescent="0.2">
      <c r="A10825" s="40"/>
      <c r="B10825" s="40"/>
    </row>
    <row r="10826" spans="1:2" x14ac:dyDescent="0.2">
      <c r="A10826" s="40"/>
      <c r="B10826" s="40"/>
    </row>
    <row r="10827" spans="1:2" x14ac:dyDescent="0.2">
      <c r="A10827" s="40"/>
      <c r="B10827" s="40"/>
    </row>
    <row r="10828" spans="1:2" x14ac:dyDescent="0.2">
      <c r="A10828" s="40"/>
      <c r="B10828" s="40"/>
    </row>
    <row r="10829" spans="1:2" x14ac:dyDescent="0.2">
      <c r="A10829" s="40"/>
      <c r="B10829" s="40"/>
    </row>
    <row r="10830" spans="1:2" x14ac:dyDescent="0.2">
      <c r="A10830" s="40"/>
      <c r="B10830" s="40"/>
    </row>
    <row r="10831" spans="1:2" x14ac:dyDescent="0.2">
      <c r="A10831" s="40"/>
      <c r="B10831" s="40"/>
    </row>
    <row r="10832" spans="1:2" x14ac:dyDescent="0.2">
      <c r="A10832" s="40"/>
      <c r="B10832" s="40"/>
    </row>
    <row r="10833" spans="1:2" x14ac:dyDescent="0.2">
      <c r="A10833" s="40"/>
      <c r="B10833" s="40"/>
    </row>
    <row r="10834" spans="1:2" x14ac:dyDescent="0.2">
      <c r="A10834" s="40"/>
      <c r="B10834" s="40"/>
    </row>
    <row r="10835" spans="1:2" x14ac:dyDescent="0.2">
      <c r="A10835" s="40"/>
      <c r="B10835" s="40"/>
    </row>
    <row r="10836" spans="1:2" x14ac:dyDescent="0.2">
      <c r="A10836" s="40"/>
      <c r="B10836" s="40"/>
    </row>
    <row r="10837" spans="1:2" x14ac:dyDescent="0.2">
      <c r="A10837" s="40"/>
      <c r="B10837" s="40"/>
    </row>
    <row r="10838" spans="1:2" x14ac:dyDescent="0.2">
      <c r="A10838" s="40"/>
      <c r="B10838" s="40"/>
    </row>
    <row r="10839" spans="1:2" x14ac:dyDescent="0.2">
      <c r="A10839" s="40"/>
      <c r="B10839" s="40"/>
    </row>
    <row r="10840" spans="1:2" x14ac:dyDescent="0.2">
      <c r="A10840" s="40"/>
      <c r="B10840" s="40"/>
    </row>
    <row r="10841" spans="1:2" x14ac:dyDescent="0.2">
      <c r="A10841" s="40"/>
      <c r="B10841" s="40"/>
    </row>
    <row r="10842" spans="1:2" x14ac:dyDescent="0.2">
      <c r="A10842" s="40"/>
      <c r="B10842" s="40"/>
    </row>
    <row r="10843" spans="1:2" x14ac:dyDescent="0.2">
      <c r="A10843" s="40"/>
      <c r="B10843" s="40"/>
    </row>
    <row r="10844" spans="1:2" x14ac:dyDescent="0.2">
      <c r="A10844" s="40"/>
      <c r="B10844" s="40"/>
    </row>
    <row r="10845" spans="1:2" x14ac:dyDescent="0.2">
      <c r="A10845" s="40"/>
      <c r="B10845" s="40"/>
    </row>
    <row r="10846" spans="1:2" x14ac:dyDescent="0.2">
      <c r="A10846" s="40"/>
      <c r="B10846" s="40"/>
    </row>
    <row r="10847" spans="1:2" x14ac:dyDescent="0.2">
      <c r="A10847" s="40"/>
      <c r="B10847" s="40"/>
    </row>
    <row r="10848" spans="1:2" x14ac:dyDescent="0.2">
      <c r="A10848" s="40"/>
      <c r="B10848" s="40"/>
    </row>
    <row r="10849" spans="1:2" x14ac:dyDescent="0.2">
      <c r="A10849" s="40"/>
      <c r="B10849" s="40"/>
    </row>
    <row r="10850" spans="1:2" x14ac:dyDescent="0.2">
      <c r="A10850" s="40"/>
      <c r="B10850" s="40"/>
    </row>
    <row r="10851" spans="1:2" x14ac:dyDescent="0.2">
      <c r="A10851" s="40"/>
      <c r="B10851" s="40"/>
    </row>
    <row r="10852" spans="1:2" x14ac:dyDescent="0.2">
      <c r="A10852" s="40"/>
      <c r="B10852" s="40"/>
    </row>
    <row r="10853" spans="1:2" x14ac:dyDescent="0.2">
      <c r="A10853" s="40"/>
      <c r="B10853" s="40"/>
    </row>
    <row r="10854" spans="1:2" x14ac:dyDescent="0.2">
      <c r="A10854" s="40"/>
      <c r="B10854" s="40"/>
    </row>
    <row r="10855" spans="1:2" x14ac:dyDescent="0.2">
      <c r="A10855" s="40"/>
      <c r="B10855" s="40"/>
    </row>
    <row r="10856" spans="1:2" x14ac:dyDescent="0.2">
      <c r="A10856" s="40"/>
      <c r="B10856" s="40"/>
    </row>
    <row r="10857" spans="1:2" x14ac:dyDescent="0.2">
      <c r="A10857" s="40"/>
      <c r="B10857" s="40"/>
    </row>
    <row r="10858" spans="1:2" x14ac:dyDescent="0.2">
      <c r="A10858" s="40"/>
      <c r="B10858" s="40"/>
    </row>
    <row r="10859" spans="1:2" x14ac:dyDescent="0.2">
      <c r="A10859" s="40"/>
      <c r="B10859" s="40"/>
    </row>
    <row r="10860" spans="1:2" x14ac:dyDescent="0.2">
      <c r="A10860" s="40"/>
      <c r="B10860" s="40"/>
    </row>
    <row r="10861" spans="1:2" x14ac:dyDescent="0.2">
      <c r="A10861" s="40"/>
      <c r="B10861" s="40"/>
    </row>
    <row r="10862" spans="1:2" x14ac:dyDescent="0.2">
      <c r="A10862" s="40"/>
      <c r="B10862" s="40"/>
    </row>
    <row r="10863" spans="1:2" x14ac:dyDescent="0.2">
      <c r="A10863" s="40"/>
      <c r="B10863" s="40"/>
    </row>
    <row r="10864" spans="1:2" x14ac:dyDescent="0.2">
      <c r="A10864" s="40"/>
      <c r="B10864" s="40"/>
    </row>
    <row r="10865" spans="1:2" x14ac:dyDescent="0.2">
      <c r="A10865" s="40"/>
      <c r="B10865" s="40"/>
    </row>
    <row r="10866" spans="1:2" x14ac:dyDescent="0.2">
      <c r="A10866" s="40"/>
      <c r="B10866" s="40"/>
    </row>
    <row r="10867" spans="1:2" x14ac:dyDescent="0.2">
      <c r="A10867" s="40"/>
      <c r="B10867" s="40"/>
    </row>
    <row r="10868" spans="1:2" x14ac:dyDescent="0.2">
      <c r="A10868" s="40"/>
      <c r="B10868" s="40"/>
    </row>
    <row r="10869" spans="1:2" x14ac:dyDescent="0.2">
      <c r="A10869" s="40"/>
      <c r="B10869" s="40"/>
    </row>
    <row r="10870" spans="1:2" x14ac:dyDescent="0.2">
      <c r="A10870" s="40"/>
      <c r="B10870" s="40"/>
    </row>
    <row r="10871" spans="1:2" x14ac:dyDescent="0.2">
      <c r="A10871" s="40"/>
      <c r="B10871" s="40"/>
    </row>
    <row r="10872" spans="1:2" x14ac:dyDescent="0.2">
      <c r="A10872" s="40"/>
      <c r="B10872" s="40"/>
    </row>
    <row r="10873" spans="1:2" x14ac:dyDescent="0.2">
      <c r="A10873" s="40"/>
      <c r="B10873" s="40"/>
    </row>
    <row r="10874" spans="1:2" x14ac:dyDescent="0.2">
      <c r="A10874" s="40"/>
      <c r="B10874" s="40"/>
    </row>
    <row r="10875" spans="1:2" x14ac:dyDescent="0.2">
      <c r="A10875" s="40"/>
      <c r="B10875" s="40"/>
    </row>
    <row r="10876" spans="1:2" x14ac:dyDescent="0.2">
      <c r="A10876" s="40"/>
      <c r="B10876" s="40"/>
    </row>
    <row r="10877" spans="1:2" x14ac:dyDescent="0.2">
      <c r="A10877" s="40"/>
      <c r="B10877" s="40"/>
    </row>
    <row r="10878" spans="1:2" x14ac:dyDescent="0.2">
      <c r="A10878" s="40"/>
      <c r="B10878" s="40"/>
    </row>
    <row r="10879" spans="1:2" x14ac:dyDescent="0.2">
      <c r="A10879" s="40"/>
      <c r="B10879" s="40"/>
    </row>
    <row r="10880" spans="1:2" x14ac:dyDescent="0.2">
      <c r="A10880" s="40"/>
      <c r="B10880" s="40"/>
    </row>
    <row r="10881" spans="1:2" x14ac:dyDescent="0.2">
      <c r="A10881" s="40"/>
      <c r="B10881" s="40"/>
    </row>
    <row r="10882" spans="1:2" x14ac:dyDescent="0.2">
      <c r="A10882" s="40"/>
      <c r="B10882" s="40"/>
    </row>
    <row r="10883" spans="1:2" x14ac:dyDescent="0.2">
      <c r="A10883" s="40"/>
      <c r="B10883" s="40"/>
    </row>
    <row r="10884" spans="1:2" x14ac:dyDescent="0.2">
      <c r="A10884" s="40"/>
      <c r="B10884" s="40"/>
    </row>
    <row r="10885" spans="1:2" x14ac:dyDescent="0.2">
      <c r="A10885" s="40"/>
      <c r="B10885" s="40"/>
    </row>
    <row r="10886" spans="1:2" x14ac:dyDescent="0.2">
      <c r="A10886" s="40"/>
      <c r="B10886" s="40"/>
    </row>
    <row r="10887" spans="1:2" x14ac:dyDescent="0.2">
      <c r="A10887" s="40"/>
      <c r="B10887" s="40"/>
    </row>
    <row r="10888" spans="1:2" x14ac:dyDescent="0.2">
      <c r="A10888" s="40"/>
      <c r="B10888" s="40"/>
    </row>
    <row r="10889" spans="1:2" x14ac:dyDescent="0.2">
      <c r="A10889" s="40"/>
      <c r="B10889" s="40"/>
    </row>
    <row r="10890" spans="1:2" x14ac:dyDescent="0.2">
      <c r="A10890" s="40"/>
      <c r="B10890" s="40"/>
    </row>
    <row r="10891" spans="1:2" x14ac:dyDescent="0.2">
      <c r="A10891" s="40"/>
      <c r="B10891" s="40"/>
    </row>
    <row r="10892" spans="1:2" x14ac:dyDescent="0.2">
      <c r="A10892" s="40"/>
      <c r="B10892" s="40"/>
    </row>
    <row r="10893" spans="1:2" x14ac:dyDescent="0.2">
      <c r="A10893" s="40"/>
      <c r="B10893" s="40"/>
    </row>
    <row r="10894" spans="1:2" x14ac:dyDescent="0.2">
      <c r="A10894" s="40"/>
      <c r="B10894" s="40"/>
    </row>
    <row r="10895" spans="1:2" x14ac:dyDescent="0.2">
      <c r="A10895" s="40"/>
      <c r="B10895" s="40"/>
    </row>
    <row r="10896" spans="1:2" x14ac:dyDescent="0.2">
      <c r="A10896" s="40"/>
      <c r="B10896" s="40"/>
    </row>
    <row r="10897" spans="1:2" x14ac:dyDescent="0.2">
      <c r="A10897" s="40"/>
      <c r="B10897" s="40"/>
    </row>
    <row r="10898" spans="1:2" x14ac:dyDescent="0.2">
      <c r="A10898" s="40"/>
      <c r="B10898" s="40"/>
    </row>
    <row r="10899" spans="1:2" x14ac:dyDescent="0.2">
      <c r="A10899" s="40"/>
      <c r="B10899" s="40"/>
    </row>
    <row r="10900" spans="1:2" x14ac:dyDescent="0.2">
      <c r="A10900" s="40"/>
      <c r="B10900" s="40"/>
    </row>
    <row r="10901" spans="1:2" x14ac:dyDescent="0.2">
      <c r="A10901" s="40"/>
      <c r="B10901" s="40"/>
    </row>
    <row r="10902" spans="1:2" x14ac:dyDescent="0.2">
      <c r="A10902" s="40"/>
      <c r="B10902" s="40"/>
    </row>
    <row r="10903" spans="1:2" x14ac:dyDescent="0.2">
      <c r="A10903" s="40"/>
      <c r="B10903" s="40"/>
    </row>
    <row r="10904" spans="1:2" x14ac:dyDescent="0.2">
      <c r="A10904" s="40"/>
      <c r="B10904" s="40"/>
    </row>
    <row r="10905" spans="1:2" x14ac:dyDescent="0.2">
      <c r="A10905" s="40"/>
      <c r="B10905" s="40"/>
    </row>
    <row r="10906" spans="1:2" x14ac:dyDescent="0.2">
      <c r="A10906" s="40"/>
      <c r="B10906" s="40"/>
    </row>
    <row r="10907" spans="1:2" x14ac:dyDescent="0.2">
      <c r="A10907" s="40"/>
      <c r="B10907" s="40"/>
    </row>
    <row r="10908" spans="1:2" x14ac:dyDescent="0.2">
      <c r="A10908" s="40"/>
      <c r="B10908" s="40"/>
    </row>
    <row r="10909" spans="1:2" x14ac:dyDescent="0.2">
      <c r="A10909" s="40"/>
      <c r="B10909" s="40"/>
    </row>
    <row r="10910" spans="1:2" x14ac:dyDescent="0.2">
      <c r="A10910" s="40"/>
      <c r="B10910" s="40"/>
    </row>
    <row r="10911" spans="1:2" x14ac:dyDescent="0.2">
      <c r="A10911" s="40"/>
      <c r="B10911" s="40"/>
    </row>
    <row r="10912" spans="1:2" x14ac:dyDescent="0.2">
      <c r="A10912" s="40"/>
      <c r="B10912" s="40"/>
    </row>
    <row r="10913" spans="1:2" x14ac:dyDescent="0.2">
      <c r="A10913" s="40"/>
      <c r="B10913" s="40"/>
    </row>
    <row r="10914" spans="1:2" x14ac:dyDescent="0.2">
      <c r="A10914" s="40"/>
      <c r="B10914" s="40"/>
    </row>
    <row r="10915" spans="1:2" x14ac:dyDescent="0.2">
      <c r="A10915" s="40"/>
      <c r="B10915" s="40"/>
    </row>
    <row r="10916" spans="1:2" x14ac:dyDescent="0.2">
      <c r="A10916" s="40"/>
      <c r="B10916" s="40"/>
    </row>
    <row r="10917" spans="1:2" x14ac:dyDescent="0.2">
      <c r="A10917" s="40"/>
      <c r="B10917" s="40"/>
    </row>
    <row r="10918" spans="1:2" x14ac:dyDescent="0.2">
      <c r="A10918" s="40"/>
      <c r="B10918" s="40"/>
    </row>
    <row r="10919" spans="1:2" x14ac:dyDescent="0.2">
      <c r="A10919" s="40"/>
      <c r="B10919" s="40"/>
    </row>
    <row r="10920" spans="1:2" x14ac:dyDescent="0.2">
      <c r="A10920" s="40"/>
      <c r="B10920" s="40"/>
    </row>
    <row r="10921" spans="1:2" x14ac:dyDescent="0.2">
      <c r="A10921" s="40"/>
      <c r="B10921" s="40"/>
    </row>
    <row r="10922" spans="1:2" x14ac:dyDescent="0.2">
      <c r="A10922" s="40"/>
      <c r="B10922" s="40"/>
    </row>
    <row r="10923" spans="1:2" x14ac:dyDescent="0.2">
      <c r="A10923" s="40"/>
      <c r="B10923" s="40"/>
    </row>
    <row r="10924" spans="1:2" x14ac:dyDescent="0.2">
      <c r="A10924" s="40"/>
      <c r="B10924" s="40"/>
    </row>
    <row r="10925" spans="1:2" x14ac:dyDescent="0.2">
      <c r="A10925" s="40"/>
      <c r="B10925" s="40"/>
    </row>
    <row r="10926" spans="1:2" x14ac:dyDescent="0.2">
      <c r="A10926" s="40"/>
      <c r="B10926" s="40"/>
    </row>
    <row r="10927" spans="1:2" x14ac:dyDescent="0.2">
      <c r="A10927" s="40"/>
      <c r="B10927" s="40"/>
    </row>
    <row r="10928" spans="1:2" x14ac:dyDescent="0.2">
      <c r="A10928" s="40"/>
      <c r="B10928" s="40"/>
    </row>
    <row r="10929" spans="1:2" x14ac:dyDescent="0.2">
      <c r="A10929" s="40"/>
      <c r="B10929" s="40"/>
    </row>
    <row r="10930" spans="1:2" x14ac:dyDescent="0.2">
      <c r="A10930" s="40"/>
      <c r="B10930" s="40"/>
    </row>
    <row r="10931" spans="1:2" x14ac:dyDescent="0.2">
      <c r="A10931" s="40"/>
      <c r="B10931" s="40"/>
    </row>
    <row r="10932" spans="1:2" x14ac:dyDescent="0.2">
      <c r="A10932" s="40"/>
      <c r="B10932" s="40"/>
    </row>
    <row r="10933" spans="1:2" x14ac:dyDescent="0.2">
      <c r="A10933" s="40"/>
      <c r="B10933" s="40"/>
    </row>
    <row r="10934" spans="1:2" x14ac:dyDescent="0.2">
      <c r="A10934" s="40"/>
      <c r="B10934" s="40"/>
    </row>
    <row r="10935" spans="1:2" x14ac:dyDescent="0.2">
      <c r="A10935" s="40"/>
      <c r="B10935" s="40"/>
    </row>
    <row r="10936" spans="1:2" x14ac:dyDescent="0.2">
      <c r="A10936" s="40"/>
      <c r="B10936" s="40"/>
    </row>
    <row r="10937" spans="1:2" x14ac:dyDescent="0.2">
      <c r="A10937" s="40"/>
      <c r="B10937" s="40"/>
    </row>
    <row r="10938" spans="1:2" x14ac:dyDescent="0.2">
      <c r="A10938" s="40"/>
      <c r="B10938" s="40"/>
    </row>
    <row r="10939" spans="1:2" x14ac:dyDescent="0.2">
      <c r="A10939" s="40"/>
      <c r="B10939" s="40"/>
    </row>
    <row r="10940" spans="1:2" x14ac:dyDescent="0.2">
      <c r="A10940" s="40"/>
      <c r="B10940" s="40"/>
    </row>
    <row r="10941" spans="1:2" x14ac:dyDescent="0.2">
      <c r="A10941" s="40"/>
      <c r="B10941" s="40"/>
    </row>
    <row r="10942" spans="1:2" x14ac:dyDescent="0.2">
      <c r="A10942" s="40"/>
      <c r="B10942" s="40"/>
    </row>
    <row r="10943" spans="1:2" x14ac:dyDescent="0.2">
      <c r="A10943" s="40"/>
      <c r="B10943" s="40"/>
    </row>
    <row r="10944" spans="1:2" x14ac:dyDescent="0.2">
      <c r="A10944" s="40"/>
      <c r="B10944" s="40"/>
    </row>
    <row r="10945" spans="1:2" x14ac:dyDescent="0.2">
      <c r="A10945" s="40"/>
      <c r="B10945" s="40"/>
    </row>
    <row r="10946" spans="1:2" x14ac:dyDescent="0.2">
      <c r="A10946" s="40"/>
      <c r="B10946" s="40"/>
    </row>
    <row r="10947" spans="1:2" x14ac:dyDescent="0.2">
      <c r="A10947" s="40"/>
      <c r="B10947" s="40"/>
    </row>
    <row r="10948" spans="1:2" x14ac:dyDescent="0.2">
      <c r="A10948" s="40"/>
      <c r="B10948" s="40"/>
    </row>
    <row r="10949" spans="1:2" x14ac:dyDescent="0.2">
      <c r="A10949" s="40"/>
      <c r="B10949" s="40"/>
    </row>
    <row r="10950" spans="1:2" x14ac:dyDescent="0.2">
      <c r="A10950" s="40"/>
      <c r="B10950" s="40"/>
    </row>
    <row r="10951" spans="1:2" x14ac:dyDescent="0.2">
      <c r="A10951" s="40"/>
      <c r="B10951" s="40"/>
    </row>
    <row r="10952" spans="1:2" x14ac:dyDescent="0.2">
      <c r="A10952" s="40"/>
      <c r="B10952" s="40"/>
    </row>
    <row r="10953" spans="1:2" x14ac:dyDescent="0.2">
      <c r="A10953" s="40"/>
      <c r="B10953" s="40"/>
    </row>
    <row r="10954" spans="1:2" x14ac:dyDescent="0.2">
      <c r="A10954" s="40"/>
      <c r="B10954" s="40"/>
    </row>
    <row r="10955" spans="1:2" x14ac:dyDescent="0.2">
      <c r="A10955" s="40"/>
      <c r="B10955" s="40"/>
    </row>
    <row r="10956" spans="1:2" x14ac:dyDescent="0.2">
      <c r="A10956" s="40"/>
      <c r="B10956" s="40"/>
    </row>
    <row r="10957" spans="1:2" x14ac:dyDescent="0.2">
      <c r="A10957" s="40"/>
      <c r="B10957" s="40"/>
    </row>
    <row r="10958" spans="1:2" x14ac:dyDescent="0.2">
      <c r="A10958" s="40"/>
      <c r="B10958" s="40"/>
    </row>
    <row r="10959" spans="1:2" x14ac:dyDescent="0.2">
      <c r="A10959" s="40"/>
      <c r="B10959" s="40"/>
    </row>
    <row r="10960" spans="1:2" x14ac:dyDescent="0.2">
      <c r="A10960" s="40"/>
      <c r="B10960" s="40"/>
    </row>
    <row r="10961" spans="1:2" x14ac:dyDescent="0.2">
      <c r="A10961" s="40"/>
      <c r="B10961" s="40"/>
    </row>
    <row r="10962" spans="1:2" x14ac:dyDescent="0.2">
      <c r="A10962" s="40"/>
      <c r="B10962" s="40"/>
    </row>
    <row r="10963" spans="1:2" x14ac:dyDescent="0.2">
      <c r="A10963" s="40"/>
      <c r="B10963" s="40"/>
    </row>
    <row r="10964" spans="1:2" x14ac:dyDescent="0.2">
      <c r="A10964" s="40"/>
      <c r="B10964" s="40"/>
    </row>
    <row r="10965" spans="1:2" x14ac:dyDescent="0.2">
      <c r="A10965" s="40"/>
      <c r="B10965" s="40"/>
    </row>
    <row r="10966" spans="1:2" x14ac:dyDescent="0.2">
      <c r="A10966" s="40"/>
      <c r="B10966" s="40"/>
    </row>
    <row r="10967" spans="1:2" x14ac:dyDescent="0.2">
      <c r="A10967" s="40"/>
      <c r="B10967" s="40"/>
    </row>
    <row r="10968" spans="1:2" x14ac:dyDescent="0.2">
      <c r="A10968" s="40"/>
      <c r="B10968" s="40"/>
    </row>
    <row r="10969" spans="1:2" x14ac:dyDescent="0.2">
      <c r="A10969" s="40"/>
      <c r="B10969" s="40"/>
    </row>
    <row r="10970" spans="1:2" x14ac:dyDescent="0.2">
      <c r="A10970" s="40"/>
      <c r="B10970" s="40"/>
    </row>
    <row r="10971" spans="1:2" x14ac:dyDescent="0.2">
      <c r="A10971" s="40"/>
      <c r="B10971" s="40"/>
    </row>
    <row r="10972" spans="1:2" x14ac:dyDescent="0.2">
      <c r="A10972" s="40"/>
      <c r="B10972" s="40"/>
    </row>
    <row r="10973" spans="1:2" x14ac:dyDescent="0.2">
      <c r="A10973" s="40"/>
      <c r="B10973" s="40"/>
    </row>
    <row r="10974" spans="1:2" x14ac:dyDescent="0.2">
      <c r="A10974" s="40"/>
      <c r="B10974" s="40"/>
    </row>
    <row r="10975" spans="1:2" x14ac:dyDescent="0.2">
      <c r="A10975" s="40"/>
      <c r="B10975" s="40"/>
    </row>
    <row r="10976" spans="1:2" x14ac:dyDescent="0.2">
      <c r="A10976" s="40"/>
      <c r="B10976" s="40"/>
    </row>
    <row r="10977" spans="1:2" x14ac:dyDescent="0.2">
      <c r="A10977" s="40"/>
      <c r="B10977" s="40"/>
    </row>
    <row r="10978" spans="1:2" x14ac:dyDescent="0.2">
      <c r="A10978" s="40"/>
      <c r="B10978" s="40"/>
    </row>
    <row r="10979" spans="1:2" x14ac:dyDescent="0.2">
      <c r="A10979" s="40"/>
      <c r="B10979" s="40"/>
    </row>
    <row r="10980" spans="1:2" x14ac:dyDescent="0.2">
      <c r="A10980" s="40"/>
      <c r="B10980" s="40"/>
    </row>
    <row r="10981" spans="1:2" x14ac:dyDescent="0.2">
      <c r="A10981" s="40"/>
      <c r="B10981" s="40"/>
    </row>
    <row r="10982" spans="1:2" x14ac:dyDescent="0.2">
      <c r="A10982" s="40"/>
      <c r="B10982" s="40"/>
    </row>
    <row r="10983" spans="1:2" x14ac:dyDescent="0.2">
      <c r="A10983" s="40"/>
      <c r="B10983" s="40"/>
    </row>
    <row r="10984" spans="1:2" x14ac:dyDescent="0.2">
      <c r="A10984" s="40"/>
      <c r="B10984" s="40"/>
    </row>
    <row r="10985" spans="1:2" x14ac:dyDescent="0.2">
      <c r="A10985" s="40"/>
      <c r="B10985" s="40"/>
    </row>
    <row r="10986" spans="1:2" x14ac:dyDescent="0.2">
      <c r="A10986" s="40"/>
      <c r="B10986" s="40"/>
    </row>
    <row r="10987" spans="1:2" x14ac:dyDescent="0.2">
      <c r="A10987" s="40"/>
      <c r="B10987" s="40"/>
    </row>
    <row r="10988" spans="1:2" x14ac:dyDescent="0.2">
      <c r="A10988" s="40"/>
      <c r="B10988" s="40"/>
    </row>
    <row r="10989" spans="1:2" x14ac:dyDescent="0.2">
      <c r="A10989" s="40"/>
      <c r="B10989" s="40"/>
    </row>
    <row r="10990" spans="1:2" x14ac:dyDescent="0.2">
      <c r="A10990" s="40"/>
      <c r="B10990" s="40"/>
    </row>
    <row r="10991" spans="1:2" x14ac:dyDescent="0.2">
      <c r="A10991" s="40"/>
      <c r="B10991" s="40"/>
    </row>
    <row r="10992" spans="1:2" x14ac:dyDescent="0.2">
      <c r="A10992" s="40"/>
      <c r="B10992" s="40"/>
    </row>
    <row r="10993" spans="1:2" x14ac:dyDescent="0.2">
      <c r="A10993" s="40"/>
      <c r="B10993" s="40"/>
    </row>
    <row r="10994" spans="1:2" x14ac:dyDescent="0.2">
      <c r="A10994" s="40"/>
      <c r="B10994" s="40"/>
    </row>
    <row r="10995" spans="1:2" x14ac:dyDescent="0.2">
      <c r="A10995" s="40"/>
      <c r="B10995" s="40"/>
    </row>
    <row r="10996" spans="1:2" x14ac:dyDescent="0.2">
      <c r="A10996" s="40"/>
      <c r="B10996" s="40"/>
    </row>
    <row r="10997" spans="1:2" x14ac:dyDescent="0.2">
      <c r="A10997" s="40"/>
      <c r="B10997" s="40"/>
    </row>
    <row r="10998" spans="1:2" x14ac:dyDescent="0.2">
      <c r="A10998" s="40"/>
      <c r="B10998" s="40"/>
    </row>
    <row r="10999" spans="1:2" x14ac:dyDescent="0.2">
      <c r="A10999" s="40"/>
      <c r="B10999" s="40"/>
    </row>
    <row r="11000" spans="1:2" x14ac:dyDescent="0.2">
      <c r="A11000" s="40"/>
      <c r="B11000" s="40"/>
    </row>
    <row r="11001" spans="1:2" x14ac:dyDescent="0.2">
      <c r="A11001" s="40"/>
      <c r="B11001" s="40"/>
    </row>
    <row r="11002" spans="1:2" x14ac:dyDescent="0.2">
      <c r="A11002" s="40"/>
      <c r="B11002" s="40"/>
    </row>
    <row r="11003" spans="1:2" x14ac:dyDescent="0.2">
      <c r="A11003" s="40"/>
      <c r="B11003" s="40"/>
    </row>
    <row r="11004" spans="1:2" x14ac:dyDescent="0.2">
      <c r="A11004" s="40"/>
      <c r="B11004" s="40"/>
    </row>
    <row r="11005" spans="1:2" x14ac:dyDescent="0.2">
      <c r="A11005" s="40"/>
      <c r="B11005" s="40"/>
    </row>
    <row r="11006" spans="1:2" x14ac:dyDescent="0.2">
      <c r="A11006" s="40"/>
      <c r="B11006" s="40"/>
    </row>
    <row r="11007" spans="1:2" x14ac:dyDescent="0.2">
      <c r="A11007" s="40"/>
      <c r="B11007" s="40"/>
    </row>
    <row r="11008" spans="1:2" x14ac:dyDescent="0.2">
      <c r="A11008" s="40"/>
      <c r="B11008" s="40"/>
    </row>
    <row r="11009" spans="1:2" x14ac:dyDescent="0.2">
      <c r="A11009" s="40"/>
      <c r="B11009" s="40"/>
    </row>
    <row r="11010" spans="1:2" x14ac:dyDescent="0.2">
      <c r="A11010" s="40"/>
      <c r="B11010" s="40"/>
    </row>
    <row r="11011" spans="1:2" x14ac:dyDescent="0.2">
      <c r="A11011" s="40"/>
      <c r="B11011" s="40"/>
    </row>
    <row r="11012" spans="1:2" x14ac:dyDescent="0.2">
      <c r="A11012" s="40"/>
      <c r="B11012" s="40"/>
    </row>
    <row r="11013" spans="1:2" x14ac:dyDescent="0.2">
      <c r="A11013" s="40"/>
      <c r="B11013" s="40"/>
    </row>
    <row r="11014" spans="1:2" x14ac:dyDescent="0.2">
      <c r="A11014" s="40"/>
      <c r="B11014" s="40"/>
    </row>
    <row r="11015" spans="1:2" x14ac:dyDescent="0.2">
      <c r="A11015" s="40"/>
      <c r="B11015" s="40"/>
    </row>
    <row r="11016" spans="1:2" x14ac:dyDescent="0.2">
      <c r="A11016" s="40"/>
      <c r="B11016" s="40"/>
    </row>
    <row r="11017" spans="1:2" x14ac:dyDescent="0.2">
      <c r="A11017" s="40"/>
      <c r="B11017" s="40"/>
    </row>
    <row r="11018" spans="1:2" x14ac:dyDescent="0.2">
      <c r="A11018" s="40"/>
      <c r="B11018" s="40"/>
    </row>
    <row r="11019" spans="1:2" x14ac:dyDescent="0.2">
      <c r="A11019" s="40"/>
      <c r="B11019" s="40"/>
    </row>
    <row r="11020" spans="1:2" x14ac:dyDescent="0.2">
      <c r="A11020" s="40"/>
      <c r="B11020" s="40"/>
    </row>
    <row r="11021" spans="1:2" x14ac:dyDescent="0.2">
      <c r="A11021" s="40"/>
      <c r="B11021" s="40"/>
    </row>
    <row r="11022" spans="1:2" x14ac:dyDescent="0.2">
      <c r="A11022" s="40"/>
      <c r="B11022" s="40"/>
    </row>
    <row r="11023" spans="1:2" x14ac:dyDescent="0.2">
      <c r="A11023" s="40"/>
      <c r="B11023" s="40"/>
    </row>
    <row r="11024" spans="1:2" x14ac:dyDescent="0.2">
      <c r="A11024" s="40"/>
      <c r="B11024" s="40"/>
    </row>
    <row r="11025" spans="1:2" x14ac:dyDescent="0.2">
      <c r="A11025" s="40"/>
      <c r="B11025" s="40"/>
    </row>
    <row r="11026" spans="1:2" x14ac:dyDescent="0.2">
      <c r="A11026" s="40"/>
      <c r="B11026" s="40"/>
    </row>
    <row r="11027" spans="1:2" x14ac:dyDescent="0.2">
      <c r="A11027" s="40"/>
      <c r="B11027" s="40"/>
    </row>
    <row r="11028" spans="1:2" x14ac:dyDescent="0.2">
      <c r="A11028" s="40"/>
      <c r="B11028" s="40"/>
    </row>
    <row r="11029" spans="1:2" x14ac:dyDescent="0.2">
      <c r="A11029" s="40"/>
      <c r="B11029" s="40"/>
    </row>
    <row r="11030" spans="1:2" x14ac:dyDescent="0.2">
      <c r="A11030" s="40"/>
      <c r="B11030" s="40"/>
    </row>
    <row r="11031" spans="1:2" x14ac:dyDescent="0.2">
      <c r="A11031" s="40"/>
      <c r="B11031" s="40"/>
    </row>
    <row r="11032" spans="1:2" x14ac:dyDescent="0.2">
      <c r="A11032" s="40"/>
      <c r="B11032" s="40"/>
    </row>
    <row r="11033" spans="1:2" x14ac:dyDescent="0.2">
      <c r="A11033" s="40"/>
      <c r="B11033" s="40"/>
    </row>
    <row r="11034" spans="1:2" x14ac:dyDescent="0.2">
      <c r="A11034" s="40"/>
      <c r="B11034" s="40"/>
    </row>
    <row r="11035" spans="1:2" x14ac:dyDescent="0.2">
      <c r="A11035" s="40"/>
      <c r="B11035" s="40"/>
    </row>
    <row r="11036" spans="1:2" x14ac:dyDescent="0.2">
      <c r="A11036" s="40"/>
      <c r="B11036" s="40"/>
    </row>
    <row r="11037" spans="1:2" x14ac:dyDescent="0.2">
      <c r="A11037" s="40"/>
      <c r="B11037" s="40"/>
    </row>
    <row r="11038" spans="1:2" x14ac:dyDescent="0.2">
      <c r="A11038" s="40"/>
      <c r="B11038" s="40"/>
    </row>
    <row r="11039" spans="1:2" x14ac:dyDescent="0.2">
      <c r="A11039" s="40"/>
      <c r="B11039" s="40"/>
    </row>
    <row r="11040" spans="1:2" x14ac:dyDescent="0.2">
      <c r="A11040" s="40"/>
      <c r="B11040" s="40"/>
    </row>
    <row r="11041" spans="1:2" x14ac:dyDescent="0.2">
      <c r="A11041" s="40"/>
      <c r="B11041" s="40"/>
    </row>
    <row r="11042" spans="1:2" x14ac:dyDescent="0.2">
      <c r="A11042" s="40"/>
      <c r="B11042" s="40"/>
    </row>
    <row r="11043" spans="1:2" x14ac:dyDescent="0.2">
      <c r="A11043" s="40"/>
      <c r="B11043" s="40"/>
    </row>
    <row r="11044" spans="1:2" x14ac:dyDescent="0.2">
      <c r="A11044" s="40"/>
      <c r="B11044" s="40"/>
    </row>
    <row r="11045" spans="1:2" x14ac:dyDescent="0.2">
      <c r="A11045" s="40"/>
      <c r="B11045" s="40"/>
    </row>
    <row r="11046" spans="1:2" x14ac:dyDescent="0.2">
      <c r="A11046" s="40"/>
      <c r="B11046" s="40"/>
    </row>
    <row r="11047" spans="1:2" x14ac:dyDescent="0.2">
      <c r="A11047" s="40"/>
      <c r="B11047" s="40"/>
    </row>
    <row r="11048" spans="1:2" x14ac:dyDescent="0.2">
      <c r="A11048" s="40"/>
      <c r="B11048" s="40"/>
    </row>
    <row r="11049" spans="1:2" x14ac:dyDescent="0.2">
      <c r="A11049" s="40"/>
      <c r="B11049" s="40"/>
    </row>
    <row r="11050" spans="1:2" x14ac:dyDescent="0.2">
      <c r="A11050" s="40"/>
      <c r="B11050" s="40"/>
    </row>
    <row r="11051" spans="1:2" x14ac:dyDescent="0.2">
      <c r="A11051" s="40"/>
      <c r="B11051" s="40"/>
    </row>
    <row r="11052" spans="1:2" x14ac:dyDescent="0.2">
      <c r="A11052" s="40"/>
      <c r="B11052" s="40"/>
    </row>
    <row r="11053" spans="1:2" x14ac:dyDescent="0.2">
      <c r="A11053" s="40"/>
      <c r="B11053" s="40"/>
    </row>
    <row r="11054" spans="1:2" x14ac:dyDescent="0.2">
      <c r="A11054" s="40"/>
      <c r="B11054" s="40"/>
    </row>
    <row r="11055" spans="1:2" x14ac:dyDescent="0.2">
      <c r="A11055" s="40"/>
      <c r="B11055" s="40"/>
    </row>
    <row r="11056" spans="1:2" x14ac:dyDescent="0.2">
      <c r="A11056" s="40"/>
      <c r="B11056" s="40"/>
    </row>
    <row r="11057" spans="1:2" x14ac:dyDescent="0.2">
      <c r="A11057" s="40"/>
      <c r="B11057" s="40"/>
    </row>
    <row r="11058" spans="1:2" x14ac:dyDescent="0.2">
      <c r="A11058" s="40"/>
      <c r="B11058" s="40"/>
    </row>
    <row r="11059" spans="1:2" x14ac:dyDescent="0.2">
      <c r="A11059" s="40"/>
      <c r="B11059" s="40"/>
    </row>
    <row r="11060" spans="1:2" x14ac:dyDescent="0.2">
      <c r="A11060" s="40"/>
      <c r="B11060" s="40"/>
    </row>
    <row r="11061" spans="1:2" x14ac:dyDescent="0.2">
      <c r="A11061" s="40"/>
      <c r="B11061" s="40"/>
    </row>
    <row r="11062" spans="1:2" x14ac:dyDescent="0.2">
      <c r="A11062" s="40"/>
      <c r="B11062" s="40"/>
    </row>
    <row r="11063" spans="1:2" x14ac:dyDescent="0.2">
      <c r="A11063" s="40"/>
      <c r="B11063" s="40"/>
    </row>
    <row r="11064" spans="1:2" x14ac:dyDescent="0.2">
      <c r="A11064" s="40"/>
      <c r="B11064" s="40"/>
    </row>
    <row r="11065" spans="1:2" x14ac:dyDescent="0.2">
      <c r="A11065" s="40"/>
      <c r="B11065" s="40"/>
    </row>
    <row r="11066" spans="1:2" x14ac:dyDescent="0.2">
      <c r="A11066" s="40"/>
      <c r="B11066" s="40"/>
    </row>
    <row r="11067" spans="1:2" x14ac:dyDescent="0.2">
      <c r="A11067" s="40"/>
      <c r="B11067" s="40"/>
    </row>
    <row r="11068" spans="1:2" x14ac:dyDescent="0.2">
      <c r="A11068" s="40"/>
      <c r="B11068" s="40"/>
    </row>
    <row r="11069" spans="1:2" x14ac:dyDescent="0.2">
      <c r="A11069" s="40"/>
      <c r="B11069" s="40"/>
    </row>
    <row r="11070" spans="1:2" x14ac:dyDescent="0.2">
      <c r="A11070" s="40"/>
      <c r="B11070" s="40"/>
    </row>
    <row r="11071" spans="1:2" x14ac:dyDescent="0.2">
      <c r="A11071" s="40"/>
      <c r="B11071" s="40"/>
    </row>
    <row r="11072" spans="1:2" x14ac:dyDescent="0.2">
      <c r="A11072" s="40"/>
      <c r="B11072" s="40"/>
    </row>
    <row r="11073" spans="1:2" x14ac:dyDescent="0.2">
      <c r="A11073" s="40"/>
      <c r="B11073" s="40"/>
    </row>
    <row r="11074" spans="1:2" x14ac:dyDescent="0.2">
      <c r="A11074" s="40"/>
      <c r="B11074" s="40"/>
    </row>
    <row r="11075" spans="1:2" x14ac:dyDescent="0.2">
      <c r="A11075" s="40"/>
      <c r="B11075" s="40"/>
    </row>
    <row r="11076" spans="1:2" x14ac:dyDescent="0.2">
      <c r="A11076" s="40"/>
      <c r="B11076" s="40"/>
    </row>
    <row r="11077" spans="1:2" x14ac:dyDescent="0.2">
      <c r="A11077" s="40"/>
      <c r="B11077" s="40"/>
    </row>
    <row r="11078" spans="1:2" x14ac:dyDescent="0.2">
      <c r="A11078" s="40"/>
      <c r="B11078" s="40"/>
    </row>
    <row r="11079" spans="1:2" x14ac:dyDescent="0.2">
      <c r="A11079" s="40"/>
      <c r="B11079" s="40"/>
    </row>
    <row r="11080" spans="1:2" x14ac:dyDescent="0.2">
      <c r="A11080" s="40"/>
      <c r="B11080" s="40"/>
    </row>
    <row r="11081" spans="1:2" x14ac:dyDescent="0.2">
      <c r="A11081" s="40"/>
      <c r="B11081" s="40"/>
    </row>
    <row r="11082" spans="1:2" x14ac:dyDescent="0.2">
      <c r="A11082" s="40"/>
      <c r="B11082" s="40"/>
    </row>
    <row r="11083" spans="1:2" x14ac:dyDescent="0.2">
      <c r="A11083" s="40"/>
      <c r="B11083" s="40"/>
    </row>
    <row r="11084" spans="1:2" x14ac:dyDescent="0.2">
      <c r="A11084" s="40"/>
      <c r="B11084" s="40"/>
    </row>
    <row r="11085" spans="1:2" x14ac:dyDescent="0.2">
      <c r="A11085" s="40"/>
      <c r="B11085" s="40"/>
    </row>
    <row r="11086" spans="1:2" x14ac:dyDescent="0.2">
      <c r="A11086" s="40"/>
      <c r="B11086" s="40"/>
    </row>
    <row r="11087" spans="1:2" x14ac:dyDescent="0.2">
      <c r="A11087" s="40"/>
      <c r="B11087" s="40"/>
    </row>
    <row r="11088" spans="1:2" x14ac:dyDescent="0.2">
      <c r="A11088" s="40"/>
      <c r="B11088" s="40"/>
    </row>
    <row r="11089" spans="1:2" x14ac:dyDescent="0.2">
      <c r="A11089" s="40"/>
      <c r="B11089" s="40"/>
    </row>
    <row r="11090" spans="1:2" x14ac:dyDescent="0.2">
      <c r="A11090" s="40"/>
      <c r="B11090" s="40"/>
    </row>
    <row r="11091" spans="1:2" x14ac:dyDescent="0.2">
      <c r="A11091" s="40"/>
      <c r="B11091" s="40"/>
    </row>
    <row r="11092" spans="1:2" x14ac:dyDescent="0.2">
      <c r="A11092" s="40"/>
      <c r="B11092" s="40"/>
    </row>
    <row r="11093" spans="1:2" x14ac:dyDescent="0.2">
      <c r="A11093" s="40"/>
      <c r="B11093" s="40"/>
    </row>
    <row r="11094" spans="1:2" x14ac:dyDescent="0.2">
      <c r="A11094" s="40"/>
      <c r="B11094" s="40"/>
    </row>
    <row r="11095" spans="1:2" x14ac:dyDescent="0.2">
      <c r="A11095" s="40"/>
      <c r="B11095" s="40"/>
    </row>
    <row r="11096" spans="1:2" x14ac:dyDescent="0.2">
      <c r="A11096" s="40"/>
      <c r="B11096" s="40"/>
    </row>
    <row r="11097" spans="1:2" x14ac:dyDescent="0.2">
      <c r="A11097" s="40"/>
      <c r="B11097" s="40"/>
    </row>
    <row r="11098" spans="1:2" x14ac:dyDescent="0.2">
      <c r="A11098" s="40"/>
      <c r="B11098" s="40"/>
    </row>
    <row r="11099" spans="1:2" x14ac:dyDescent="0.2">
      <c r="A11099" s="40"/>
      <c r="B11099" s="40"/>
    </row>
    <row r="11100" spans="1:2" x14ac:dyDescent="0.2">
      <c r="A11100" s="40"/>
      <c r="B11100" s="40"/>
    </row>
    <row r="11101" spans="1:2" x14ac:dyDescent="0.2">
      <c r="A11101" s="40"/>
      <c r="B11101" s="40"/>
    </row>
    <row r="11102" spans="1:2" x14ac:dyDescent="0.2">
      <c r="A11102" s="40"/>
      <c r="B11102" s="40"/>
    </row>
    <row r="11103" spans="1:2" x14ac:dyDescent="0.2">
      <c r="A11103" s="40"/>
      <c r="B11103" s="40"/>
    </row>
    <row r="11104" spans="1:2" x14ac:dyDescent="0.2">
      <c r="A11104" s="40"/>
      <c r="B11104" s="40"/>
    </row>
    <row r="11105" spans="1:2" x14ac:dyDescent="0.2">
      <c r="A11105" s="40"/>
      <c r="B11105" s="40"/>
    </row>
    <row r="11106" spans="1:2" x14ac:dyDescent="0.2">
      <c r="A11106" s="40"/>
      <c r="B11106" s="40"/>
    </row>
    <row r="11107" spans="1:2" x14ac:dyDescent="0.2">
      <c r="A11107" s="40"/>
      <c r="B11107" s="40"/>
    </row>
    <row r="11108" spans="1:2" x14ac:dyDescent="0.2">
      <c r="A11108" s="40"/>
      <c r="B11108" s="40"/>
    </row>
    <row r="11109" spans="1:2" x14ac:dyDescent="0.2">
      <c r="A11109" s="40"/>
      <c r="B11109" s="40"/>
    </row>
    <row r="11110" spans="1:2" x14ac:dyDescent="0.2">
      <c r="A11110" s="40"/>
      <c r="B11110" s="40"/>
    </row>
    <row r="11111" spans="1:2" x14ac:dyDescent="0.2">
      <c r="A11111" s="40"/>
      <c r="B11111" s="40"/>
    </row>
    <row r="11112" spans="1:2" x14ac:dyDescent="0.2">
      <c r="A11112" s="40"/>
      <c r="B11112" s="40"/>
    </row>
    <row r="11113" spans="1:2" x14ac:dyDescent="0.2">
      <c r="A11113" s="40"/>
      <c r="B11113" s="40"/>
    </row>
    <row r="11114" spans="1:2" x14ac:dyDescent="0.2">
      <c r="A11114" s="40"/>
      <c r="B11114" s="40"/>
    </row>
    <row r="11115" spans="1:2" x14ac:dyDescent="0.2">
      <c r="A11115" s="40"/>
      <c r="B11115" s="40"/>
    </row>
    <row r="11116" spans="1:2" x14ac:dyDescent="0.2">
      <c r="A11116" s="40"/>
      <c r="B11116" s="40"/>
    </row>
    <row r="11117" spans="1:2" x14ac:dyDescent="0.2">
      <c r="A11117" s="40"/>
      <c r="B11117" s="40"/>
    </row>
    <row r="11118" spans="1:2" x14ac:dyDescent="0.2">
      <c r="A11118" s="40"/>
      <c r="B11118" s="40"/>
    </row>
    <row r="11119" spans="1:2" x14ac:dyDescent="0.2">
      <c r="A11119" s="40"/>
      <c r="B11119" s="40"/>
    </row>
    <row r="11120" spans="1:2" x14ac:dyDescent="0.2">
      <c r="A11120" s="40"/>
      <c r="B11120" s="40"/>
    </row>
    <row r="11121" spans="1:2" x14ac:dyDescent="0.2">
      <c r="A11121" s="40"/>
      <c r="B11121" s="40"/>
    </row>
    <row r="11122" spans="1:2" x14ac:dyDescent="0.2">
      <c r="A11122" s="40"/>
      <c r="B11122" s="40"/>
    </row>
    <row r="11123" spans="1:2" x14ac:dyDescent="0.2">
      <c r="A11123" s="40"/>
      <c r="B11123" s="40"/>
    </row>
    <row r="11124" spans="1:2" x14ac:dyDescent="0.2">
      <c r="A11124" s="40"/>
      <c r="B11124" s="40"/>
    </row>
    <row r="11125" spans="1:2" x14ac:dyDescent="0.2">
      <c r="A11125" s="40"/>
      <c r="B11125" s="40"/>
    </row>
    <row r="11126" spans="1:2" x14ac:dyDescent="0.2">
      <c r="A11126" s="40"/>
      <c r="B11126" s="40"/>
    </row>
    <row r="11127" spans="1:2" x14ac:dyDescent="0.2">
      <c r="A11127" s="40"/>
      <c r="B11127" s="40"/>
    </row>
    <row r="11128" spans="1:2" x14ac:dyDescent="0.2">
      <c r="A11128" s="40"/>
      <c r="B11128" s="40"/>
    </row>
    <row r="11129" spans="1:2" x14ac:dyDescent="0.2">
      <c r="A11129" s="40"/>
      <c r="B11129" s="40"/>
    </row>
    <row r="11130" spans="1:2" x14ac:dyDescent="0.2">
      <c r="A11130" s="40"/>
      <c r="B11130" s="40"/>
    </row>
    <row r="11131" spans="1:2" x14ac:dyDescent="0.2">
      <c r="A11131" s="40"/>
      <c r="B11131" s="40"/>
    </row>
    <row r="11132" spans="1:2" x14ac:dyDescent="0.2">
      <c r="A11132" s="40"/>
      <c r="B11132" s="40"/>
    </row>
    <row r="11133" spans="1:2" x14ac:dyDescent="0.2">
      <c r="A11133" s="40"/>
      <c r="B11133" s="40"/>
    </row>
    <row r="11134" spans="1:2" x14ac:dyDescent="0.2">
      <c r="A11134" s="40"/>
      <c r="B11134" s="40"/>
    </row>
    <row r="11135" spans="1:2" x14ac:dyDescent="0.2">
      <c r="A11135" s="40"/>
      <c r="B11135" s="40"/>
    </row>
    <row r="11136" spans="1:2" x14ac:dyDescent="0.2">
      <c r="A11136" s="40"/>
      <c r="B11136" s="40"/>
    </row>
    <row r="11137" spans="1:2" x14ac:dyDescent="0.2">
      <c r="A11137" s="40"/>
      <c r="B11137" s="40"/>
    </row>
    <row r="11138" spans="1:2" x14ac:dyDescent="0.2">
      <c r="A11138" s="40"/>
      <c r="B11138" s="40"/>
    </row>
    <row r="11139" spans="1:2" x14ac:dyDescent="0.2">
      <c r="A11139" s="40"/>
      <c r="B11139" s="40"/>
    </row>
    <row r="11140" spans="1:2" x14ac:dyDescent="0.2">
      <c r="A11140" s="40"/>
      <c r="B11140" s="40"/>
    </row>
    <row r="11141" spans="1:2" x14ac:dyDescent="0.2">
      <c r="A11141" s="40"/>
      <c r="B11141" s="40"/>
    </row>
    <row r="11142" spans="1:2" x14ac:dyDescent="0.2">
      <c r="A11142" s="40"/>
      <c r="B11142" s="40"/>
    </row>
    <row r="11143" spans="1:2" x14ac:dyDescent="0.2">
      <c r="A11143" s="40"/>
      <c r="B11143" s="40"/>
    </row>
    <row r="11144" spans="1:2" x14ac:dyDescent="0.2">
      <c r="A11144" s="40"/>
      <c r="B11144" s="40"/>
    </row>
    <row r="11145" spans="1:2" x14ac:dyDescent="0.2">
      <c r="A11145" s="40"/>
      <c r="B11145" s="40"/>
    </row>
    <row r="11146" spans="1:2" x14ac:dyDescent="0.2">
      <c r="A11146" s="40"/>
      <c r="B11146" s="40"/>
    </row>
    <row r="11147" spans="1:2" x14ac:dyDescent="0.2">
      <c r="A11147" s="40"/>
      <c r="B11147" s="40"/>
    </row>
    <row r="11148" spans="1:2" x14ac:dyDescent="0.2">
      <c r="A11148" s="40"/>
      <c r="B11148" s="40"/>
    </row>
    <row r="11149" spans="1:2" x14ac:dyDescent="0.2">
      <c r="A11149" s="40"/>
      <c r="B11149" s="40"/>
    </row>
    <row r="11150" spans="1:2" x14ac:dyDescent="0.2">
      <c r="A11150" s="40"/>
      <c r="B11150" s="40"/>
    </row>
    <row r="11151" spans="1:2" x14ac:dyDescent="0.2">
      <c r="A11151" s="40"/>
      <c r="B11151" s="40"/>
    </row>
    <row r="11152" spans="1:2" x14ac:dyDescent="0.2">
      <c r="A11152" s="40"/>
      <c r="B11152" s="40"/>
    </row>
    <row r="11153" spans="1:2" x14ac:dyDescent="0.2">
      <c r="A11153" s="40"/>
      <c r="B11153" s="40"/>
    </row>
    <row r="11154" spans="1:2" x14ac:dyDescent="0.2">
      <c r="A11154" s="40"/>
      <c r="B11154" s="40"/>
    </row>
    <row r="11155" spans="1:2" x14ac:dyDescent="0.2">
      <c r="A11155" s="40"/>
      <c r="B11155" s="40"/>
    </row>
    <row r="11156" spans="1:2" x14ac:dyDescent="0.2">
      <c r="A11156" s="40"/>
      <c r="B11156" s="40"/>
    </row>
    <row r="11157" spans="1:2" x14ac:dyDescent="0.2">
      <c r="A11157" s="40"/>
      <c r="B11157" s="40"/>
    </row>
    <row r="11158" spans="1:2" x14ac:dyDescent="0.2">
      <c r="A11158" s="40"/>
      <c r="B11158" s="40"/>
    </row>
    <row r="11159" spans="1:2" x14ac:dyDescent="0.2">
      <c r="A11159" s="40"/>
      <c r="B11159" s="40"/>
    </row>
    <row r="11160" spans="1:2" x14ac:dyDescent="0.2">
      <c r="A11160" s="40"/>
      <c r="B11160" s="40"/>
    </row>
    <row r="11161" spans="1:2" x14ac:dyDescent="0.2">
      <c r="A11161" s="40"/>
      <c r="B11161" s="40"/>
    </row>
    <row r="11162" spans="1:2" x14ac:dyDescent="0.2">
      <c r="A11162" s="40"/>
      <c r="B11162" s="40"/>
    </row>
    <row r="11163" spans="1:2" x14ac:dyDescent="0.2">
      <c r="A11163" s="40"/>
      <c r="B11163" s="40"/>
    </row>
    <row r="11164" spans="1:2" x14ac:dyDescent="0.2">
      <c r="A11164" s="40"/>
      <c r="B11164" s="40"/>
    </row>
    <row r="11165" spans="1:2" x14ac:dyDescent="0.2">
      <c r="A11165" s="40"/>
      <c r="B11165" s="40"/>
    </row>
    <row r="11166" spans="1:2" x14ac:dyDescent="0.2">
      <c r="A11166" s="40"/>
      <c r="B11166" s="40"/>
    </row>
    <row r="11167" spans="1:2" x14ac:dyDescent="0.2">
      <c r="A11167" s="40"/>
      <c r="B11167" s="40"/>
    </row>
    <row r="11168" spans="1:2" x14ac:dyDescent="0.2">
      <c r="A11168" s="40"/>
      <c r="B11168" s="40"/>
    </row>
    <row r="11169" spans="1:2" x14ac:dyDescent="0.2">
      <c r="A11169" s="40"/>
      <c r="B11169" s="40"/>
    </row>
    <row r="11170" spans="1:2" x14ac:dyDescent="0.2">
      <c r="A11170" s="40"/>
      <c r="B11170" s="40"/>
    </row>
    <row r="11171" spans="1:2" x14ac:dyDescent="0.2">
      <c r="A11171" s="40"/>
      <c r="B11171" s="40"/>
    </row>
    <row r="11172" spans="1:2" x14ac:dyDescent="0.2">
      <c r="A11172" s="40"/>
      <c r="B11172" s="40"/>
    </row>
    <row r="11173" spans="1:2" x14ac:dyDescent="0.2">
      <c r="A11173" s="40"/>
      <c r="B11173" s="40"/>
    </row>
    <row r="11174" spans="1:2" x14ac:dyDescent="0.2">
      <c r="A11174" s="40"/>
      <c r="B11174" s="40"/>
    </row>
    <row r="11175" spans="1:2" x14ac:dyDescent="0.2">
      <c r="A11175" s="40"/>
      <c r="B11175" s="40"/>
    </row>
    <row r="11176" spans="1:2" x14ac:dyDescent="0.2">
      <c r="A11176" s="40"/>
      <c r="B11176" s="40"/>
    </row>
    <row r="11177" spans="1:2" x14ac:dyDescent="0.2">
      <c r="A11177" s="40"/>
      <c r="B11177" s="40"/>
    </row>
    <row r="11178" spans="1:2" x14ac:dyDescent="0.2">
      <c r="A11178" s="40"/>
      <c r="B11178" s="40"/>
    </row>
    <row r="11179" spans="1:2" x14ac:dyDescent="0.2">
      <c r="A11179" s="40"/>
      <c r="B11179" s="40"/>
    </row>
    <row r="11180" spans="1:2" x14ac:dyDescent="0.2">
      <c r="A11180" s="40"/>
      <c r="B11180" s="40"/>
    </row>
    <row r="11181" spans="1:2" x14ac:dyDescent="0.2">
      <c r="A11181" s="40"/>
      <c r="B11181" s="40"/>
    </row>
    <row r="11182" spans="1:2" x14ac:dyDescent="0.2">
      <c r="A11182" s="40"/>
      <c r="B11182" s="40"/>
    </row>
    <row r="11183" spans="1:2" x14ac:dyDescent="0.2">
      <c r="A11183" s="40"/>
      <c r="B11183" s="40"/>
    </row>
    <row r="11184" spans="1:2" x14ac:dyDescent="0.2">
      <c r="A11184" s="40"/>
      <c r="B11184" s="40"/>
    </row>
    <row r="11185" spans="1:2" x14ac:dyDescent="0.2">
      <c r="A11185" s="40"/>
      <c r="B11185" s="40"/>
    </row>
    <row r="11186" spans="1:2" x14ac:dyDescent="0.2">
      <c r="A11186" s="40"/>
      <c r="B11186" s="40"/>
    </row>
    <row r="11187" spans="1:2" x14ac:dyDescent="0.2">
      <c r="A11187" s="40"/>
      <c r="B11187" s="40"/>
    </row>
    <row r="11188" spans="1:2" x14ac:dyDescent="0.2">
      <c r="A11188" s="40"/>
      <c r="B11188" s="40"/>
    </row>
    <row r="11189" spans="1:2" x14ac:dyDescent="0.2">
      <c r="A11189" s="40"/>
      <c r="B11189" s="40"/>
    </row>
    <row r="11190" spans="1:2" x14ac:dyDescent="0.2">
      <c r="A11190" s="40"/>
      <c r="B11190" s="40"/>
    </row>
    <row r="11191" spans="1:2" x14ac:dyDescent="0.2">
      <c r="A11191" s="40"/>
      <c r="B11191" s="40"/>
    </row>
    <row r="11192" spans="1:2" x14ac:dyDescent="0.2">
      <c r="A11192" s="40"/>
      <c r="B11192" s="40"/>
    </row>
    <row r="11193" spans="1:2" x14ac:dyDescent="0.2">
      <c r="A11193" s="40"/>
      <c r="B11193" s="40"/>
    </row>
    <row r="11194" spans="1:2" x14ac:dyDescent="0.2">
      <c r="A11194" s="40"/>
      <c r="B11194" s="40"/>
    </row>
    <row r="11195" spans="1:2" x14ac:dyDescent="0.2">
      <c r="A11195" s="40"/>
      <c r="B11195" s="40"/>
    </row>
    <row r="11196" spans="1:2" x14ac:dyDescent="0.2">
      <c r="A11196" s="40"/>
      <c r="B11196" s="40"/>
    </row>
    <row r="11197" spans="1:2" x14ac:dyDescent="0.2">
      <c r="A11197" s="40"/>
      <c r="B11197" s="40"/>
    </row>
    <row r="11198" spans="1:2" x14ac:dyDescent="0.2">
      <c r="A11198" s="40"/>
      <c r="B11198" s="40"/>
    </row>
    <row r="11199" spans="1:2" x14ac:dyDescent="0.2">
      <c r="A11199" s="40"/>
      <c r="B11199" s="40"/>
    </row>
    <row r="11200" spans="1:2" x14ac:dyDescent="0.2">
      <c r="A11200" s="40"/>
      <c r="B11200" s="40"/>
    </row>
    <row r="11201" spans="1:2" x14ac:dyDescent="0.2">
      <c r="A11201" s="40"/>
      <c r="B11201" s="40"/>
    </row>
    <row r="11202" spans="1:2" x14ac:dyDescent="0.2">
      <c r="A11202" s="40"/>
      <c r="B11202" s="40"/>
    </row>
    <row r="11203" spans="1:2" x14ac:dyDescent="0.2">
      <c r="A11203" s="40"/>
      <c r="B11203" s="40"/>
    </row>
    <row r="11204" spans="1:2" x14ac:dyDescent="0.2">
      <c r="A11204" s="40"/>
      <c r="B11204" s="40"/>
    </row>
    <row r="11205" spans="1:2" x14ac:dyDescent="0.2">
      <c r="A11205" s="40"/>
      <c r="B11205" s="40"/>
    </row>
    <row r="11206" spans="1:2" x14ac:dyDescent="0.2">
      <c r="A11206" s="40"/>
      <c r="B11206" s="40"/>
    </row>
    <row r="11207" spans="1:2" x14ac:dyDescent="0.2">
      <c r="A11207" s="40"/>
      <c r="B11207" s="40"/>
    </row>
    <row r="11208" spans="1:2" x14ac:dyDescent="0.2">
      <c r="A11208" s="40"/>
      <c r="B11208" s="40"/>
    </row>
    <row r="11209" spans="1:2" x14ac:dyDescent="0.2">
      <c r="A11209" s="40"/>
      <c r="B11209" s="40"/>
    </row>
    <row r="11210" spans="1:2" x14ac:dyDescent="0.2">
      <c r="A11210" s="40"/>
      <c r="B11210" s="40"/>
    </row>
    <row r="11211" spans="1:2" x14ac:dyDescent="0.2">
      <c r="A11211" s="40"/>
      <c r="B11211" s="40"/>
    </row>
    <row r="11212" spans="1:2" x14ac:dyDescent="0.2">
      <c r="A11212" s="40"/>
      <c r="B11212" s="40"/>
    </row>
    <row r="11213" spans="1:2" x14ac:dyDescent="0.2">
      <c r="A11213" s="40"/>
      <c r="B11213" s="40"/>
    </row>
    <row r="11214" spans="1:2" x14ac:dyDescent="0.2">
      <c r="A11214" s="40"/>
      <c r="B11214" s="40"/>
    </row>
    <row r="11215" spans="1:2" x14ac:dyDescent="0.2">
      <c r="A11215" s="40"/>
      <c r="B11215" s="40"/>
    </row>
    <row r="11216" spans="1:2" x14ac:dyDescent="0.2">
      <c r="A11216" s="40"/>
      <c r="B11216" s="40"/>
    </row>
    <row r="11217" spans="1:2" x14ac:dyDescent="0.2">
      <c r="A11217" s="40"/>
      <c r="B11217" s="40"/>
    </row>
    <row r="11218" spans="1:2" x14ac:dyDescent="0.2">
      <c r="A11218" s="40"/>
      <c r="B11218" s="40"/>
    </row>
    <row r="11219" spans="1:2" x14ac:dyDescent="0.2">
      <c r="A11219" s="40"/>
      <c r="B11219" s="40"/>
    </row>
    <row r="11220" spans="1:2" x14ac:dyDescent="0.2">
      <c r="A11220" s="40"/>
      <c r="B11220" s="40"/>
    </row>
    <row r="11221" spans="1:2" x14ac:dyDescent="0.2">
      <c r="A11221" s="40"/>
      <c r="B11221" s="40"/>
    </row>
    <row r="11222" spans="1:2" x14ac:dyDescent="0.2">
      <c r="A11222" s="40"/>
      <c r="B11222" s="40"/>
    </row>
    <row r="11223" spans="1:2" x14ac:dyDescent="0.2">
      <c r="A11223" s="40"/>
      <c r="B11223" s="40"/>
    </row>
    <row r="11224" spans="1:2" x14ac:dyDescent="0.2">
      <c r="A11224" s="40"/>
      <c r="B11224" s="40"/>
    </row>
    <row r="11225" spans="1:2" x14ac:dyDescent="0.2">
      <c r="A11225" s="40"/>
      <c r="B11225" s="40"/>
    </row>
    <row r="11226" spans="1:2" x14ac:dyDescent="0.2">
      <c r="A11226" s="40"/>
      <c r="B11226" s="40"/>
    </row>
    <row r="11227" spans="1:2" x14ac:dyDescent="0.2">
      <c r="A11227" s="40"/>
      <c r="B11227" s="40"/>
    </row>
    <row r="11228" spans="1:2" x14ac:dyDescent="0.2">
      <c r="A11228" s="40"/>
      <c r="B11228" s="40"/>
    </row>
    <row r="11229" spans="1:2" x14ac:dyDescent="0.2">
      <c r="A11229" s="40"/>
      <c r="B11229" s="40"/>
    </row>
    <row r="11230" spans="1:2" x14ac:dyDescent="0.2">
      <c r="A11230" s="40"/>
      <c r="B11230" s="40"/>
    </row>
    <row r="11231" spans="1:2" x14ac:dyDescent="0.2">
      <c r="A11231" s="40"/>
      <c r="B11231" s="40"/>
    </row>
    <row r="11232" spans="1:2" x14ac:dyDescent="0.2">
      <c r="A11232" s="40"/>
      <c r="B11232" s="40"/>
    </row>
    <row r="11233" spans="1:2" x14ac:dyDescent="0.2">
      <c r="A11233" s="40"/>
      <c r="B11233" s="40"/>
    </row>
    <row r="11234" spans="1:2" x14ac:dyDescent="0.2">
      <c r="A11234" s="40"/>
      <c r="B11234" s="40"/>
    </row>
    <row r="11235" spans="1:2" x14ac:dyDescent="0.2">
      <c r="A11235" s="40"/>
      <c r="B11235" s="40"/>
    </row>
    <row r="11236" spans="1:2" x14ac:dyDescent="0.2">
      <c r="A11236" s="40"/>
      <c r="B11236" s="40"/>
    </row>
    <row r="11237" spans="1:2" x14ac:dyDescent="0.2">
      <c r="A11237" s="40"/>
      <c r="B11237" s="40"/>
    </row>
    <row r="11238" spans="1:2" x14ac:dyDescent="0.2">
      <c r="A11238" s="40"/>
      <c r="B11238" s="40"/>
    </row>
    <row r="11239" spans="1:2" x14ac:dyDescent="0.2">
      <c r="A11239" s="40"/>
      <c r="B11239" s="40"/>
    </row>
    <row r="11240" spans="1:2" x14ac:dyDescent="0.2">
      <c r="A11240" s="40"/>
      <c r="B11240" s="40"/>
    </row>
    <row r="11241" spans="1:2" x14ac:dyDescent="0.2">
      <c r="A11241" s="40"/>
      <c r="B11241" s="40"/>
    </row>
    <row r="11242" spans="1:2" x14ac:dyDescent="0.2">
      <c r="A11242" s="40"/>
      <c r="B11242" s="40"/>
    </row>
    <row r="11243" spans="1:2" x14ac:dyDescent="0.2">
      <c r="A11243" s="40"/>
      <c r="B11243" s="40"/>
    </row>
    <row r="11244" spans="1:2" x14ac:dyDescent="0.2">
      <c r="A11244" s="40"/>
      <c r="B11244" s="40"/>
    </row>
    <row r="11245" spans="1:2" x14ac:dyDescent="0.2">
      <c r="A11245" s="40"/>
      <c r="B11245" s="40"/>
    </row>
    <row r="11246" spans="1:2" x14ac:dyDescent="0.2">
      <c r="A11246" s="40"/>
      <c r="B11246" s="40"/>
    </row>
    <row r="11247" spans="1:2" x14ac:dyDescent="0.2">
      <c r="A11247" s="40"/>
      <c r="B11247" s="40"/>
    </row>
    <row r="11248" spans="1:2" x14ac:dyDescent="0.2">
      <c r="A11248" s="40"/>
      <c r="B11248" s="40"/>
    </row>
    <row r="11249" spans="1:2" x14ac:dyDescent="0.2">
      <c r="A11249" s="40"/>
      <c r="B11249" s="40"/>
    </row>
    <row r="11250" spans="1:2" x14ac:dyDescent="0.2">
      <c r="A11250" s="40"/>
      <c r="B11250" s="40"/>
    </row>
    <row r="11251" spans="1:2" x14ac:dyDescent="0.2">
      <c r="A11251" s="40"/>
      <c r="B11251" s="40"/>
    </row>
    <row r="11252" spans="1:2" x14ac:dyDescent="0.2">
      <c r="A11252" s="40"/>
      <c r="B11252" s="40"/>
    </row>
    <row r="11253" spans="1:2" x14ac:dyDescent="0.2">
      <c r="A11253" s="40"/>
      <c r="B11253" s="40"/>
    </row>
    <row r="11254" spans="1:2" x14ac:dyDescent="0.2">
      <c r="A11254" s="40"/>
      <c r="B11254" s="40"/>
    </row>
    <row r="11255" spans="1:2" x14ac:dyDescent="0.2">
      <c r="A11255" s="40"/>
      <c r="B11255" s="40"/>
    </row>
    <row r="11256" spans="1:2" x14ac:dyDescent="0.2">
      <c r="A11256" s="40"/>
      <c r="B11256" s="40"/>
    </row>
    <row r="11257" spans="1:2" x14ac:dyDescent="0.2">
      <c r="A11257" s="40"/>
      <c r="B11257" s="40"/>
    </row>
    <row r="11258" spans="1:2" x14ac:dyDescent="0.2">
      <c r="A11258" s="40"/>
      <c r="B11258" s="40"/>
    </row>
    <row r="11259" spans="1:2" x14ac:dyDescent="0.2">
      <c r="A11259" s="40"/>
      <c r="B11259" s="40"/>
    </row>
    <row r="11260" spans="1:2" x14ac:dyDescent="0.2">
      <c r="A11260" s="40"/>
      <c r="B11260" s="40"/>
    </row>
    <row r="11261" spans="1:2" x14ac:dyDescent="0.2">
      <c r="A11261" s="40"/>
      <c r="B11261" s="40"/>
    </row>
    <row r="11262" spans="1:2" x14ac:dyDescent="0.2">
      <c r="A11262" s="40"/>
      <c r="B11262" s="40"/>
    </row>
    <row r="11263" spans="1:2" x14ac:dyDescent="0.2">
      <c r="A11263" s="40"/>
      <c r="B11263" s="40"/>
    </row>
    <row r="11264" spans="1:2" x14ac:dyDescent="0.2">
      <c r="A11264" s="40"/>
      <c r="B11264" s="40"/>
    </row>
    <row r="11265" spans="1:2" x14ac:dyDescent="0.2">
      <c r="A11265" s="40"/>
      <c r="B11265" s="40"/>
    </row>
    <row r="11266" spans="1:2" x14ac:dyDescent="0.2">
      <c r="A11266" s="40"/>
      <c r="B11266" s="40"/>
    </row>
    <row r="11267" spans="1:2" x14ac:dyDescent="0.2">
      <c r="A11267" s="40"/>
      <c r="B11267" s="40"/>
    </row>
    <row r="11268" spans="1:2" x14ac:dyDescent="0.2">
      <c r="A11268" s="40"/>
      <c r="B11268" s="40"/>
    </row>
    <row r="11269" spans="1:2" x14ac:dyDescent="0.2">
      <c r="A11269" s="40"/>
      <c r="B11269" s="40"/>
    </row>
    <row r="11270" spans="1:2" x14ac:dyDescent="0.2">
      <c r="A11270" s="40"/>
      <c r="B11270" s="40"/>
    </row>
    <row r="11271" spans="1:2" x14ac:dyDescent="0.2">
      <c r="A11271" s="40"/>
      <c r="B11271" s="40"/>
    </row>
    <row r="11272" spans="1:2" x14ac:dyDescent="0.2">
      <c r="A11272" s="40"/>
      <c r="B11272" s="40"/>
    </row>
    <row r="11273" spans="1:2" x14ac:dyDescent="0.2">
      <c r="A11273" s="40"/>
      <c r="B11273" s="40"/>
    </row>
    <row r="11274" spans="1:2" x14ac:dyDescent="0.2">
      <c r="A11274" s="40"/>
      <c r="B11274" s="40"/>
    </row>
    <row r="11275" spans="1:2" x14ac:dyDescent="0.2">
      <c r="A11275" s="40"/>
      <c r="B11275" s="40"/>
    </row>
    <row r="11276" spans="1:2" x14ac:dyDescent="0.2">
      <c r="A11276" s="40"/>
      <c r="B11276" s="40"/>
    </row>
    <row r="11277" spans="1:2" x14ac:dyDescent="0.2">
      <c r="A11277" s="40"/>
      <c r="B11277" s="40"/>
    </row>
    <row r="11278" spans="1:2" x14ac:dyDescent="0.2">
      <c r="A11278" s="40"/>
      <c r="B11278" s="40"/>
    </row>
    <row r="11279" spans="1:2" x14ac:dyDescent="0.2">
      <c r="A11279" s="40"/>
      <c r="B11279" s="40"/>
    </row>
    <row r="11280" spans="1:2" x14ac:dyDescent="0.2">
      <c r="A11280" s="40"/>
      <c r="B11280" s="40"/>
    </row>
    <row r="11281" spans="1:2" x14ac:dyDescent="0.2">
      <c r="A11281" s="40"/>
      <c r="B11281" s="40"/>
    </row>
    <row r="11282" spans="1:2" x14ac:dyDescent="0.2">
      <c r="A11282" s="40"/>
      <c r="B11282" s="40"/>
    </row>
    <row r="11283" spans="1:2" x14ac:dyDescent="0.2">
      <c r="A11283" s="40"/>
      <c r="B11283" s="40"/>
    </row>
    <row r="11284" spans="1:2" x14ac:dyDescent="0.2">
      <c r="A11284" s="40"/>
      <c r="B11284" s="40"/>
    </row>
    <row r="11285" spans="1:2" x14ac:dyDescent="0.2">
      <c r="A11285" s="40"/>
      <c r="B11285" s="40"/>
    </row>
    <row r="11286" spans="1:2" x14ac:dyDescent="0.2">
      <c r="A11286" s="40"/>
      <c r="B11286" s="40"/>
    </row>
    <row r="11287" spans="1:2" x14ac:dyDescent="0.2">
      <c r="A11287" s="40"/>
      <c r="B11287" s="40"/>
    </row>
    <row r="11288" spans="1:2" x14ac:dyDescent="0.2">
      <c r="A11288" s="40"/>
      <c r="B11288" s="40"/>
    </row>
    <row r="11289" spans="1:2" x14ac:dyDescent="0.2">
      <c r="A11289" s="40"/>
      <c r="B11289" s="40"/>
    </row>
    <row r="11290" spans="1:2" x14ac:dyDescent="0.2">
      <c r="A11290" s="40"/>
      <c r="B11290" s="40"/>
    </row>
    <row r="11291" spans="1:2" x14ac:dyDescent="0.2">
      <c r="A11291" s="40"/>
      <c r="B11291" s="40"/>
    </row>
    <row r="11292" spans="1:2" x14ac:dyDescent="0.2">
      <c r="A11292" s="40"/>
      <c r="B11292" s="40"/>
    </row>
    <row r="11293" spans="1:2" x14ac:dyDescent="0.2">
      <c r="A11293" s="40"/>
      <c r="B11293" s="40"/>
    </row>
    <row r="11294" spans="1:2" x14ac:dyDescent="0.2">
      <c r="A11294" s="40"/>
      <c r="B11294" s="40"/>
    </row>
    <row r="11295" spans="1:2" x14ac:dyDescent="0.2">
      <c r="A11295" s="40"/>
      <c r="B11295" s="40"/>
    </row>
    <row r="11296" spans="1:2" x14ac:dyDescent="0.2">
      <c r="A11296" s="40"/>
      <c r="B11296" s="40"/>
    </row>
    <row r="11297" spans="1:2" x14ac:dyDescent="0.2">
      <c r="A11297" s="40"/>
      <c r="B11297" s="40"/>
    </row>
    <row r="11298" spans="1:2" x14ac:dyDescent="0.2">
      <c r="A11298" s="40"/>
      <c r="B11298" s="40"/>
    </row>
    <row r="11299" spans="1:2" x14ac:dyDescent="0.2">
      <c r="A11299" s="40"/>
      <c r="B11299" s="40"/>
    </row>
    <row r="11300" spans="1:2" x14ac:dyDescent="0.2">
      <c r="A11300" s="40"/>
      <c r="B11300" s="40"/>
    </row>
    <row r="11301" spans="1:2" x14ac:dyDescent="0.2">
      <c r="A11301" s="40"/>
      <c r="B11301" s="40"/>
    </row>
    <row r="11302" spans="1:2" x14ac:dyDescent="0.2">
      <c r="A11302" s="40"/>
      <c r="B11302" s="40"/>
    </row>
    <row r="11303" spans="1:2" x14ac:dyDescent="0.2">
      <c r="A11303" s="40"/>
      <c r="B11303" s="40"/>
    </row>
    <row r="11304" spans="1:2" x14ac:dyDescent="0.2">
      <c r="A11304" s="40"/>
      <c r="B11304" s="40"/>
    </row>
    <row r="11305" spans="1:2" x14ac:dyDescent="0.2">
      <c r="A11305" s="40"/>
      <c r="B11305" s="40"/>
    </row>
    <row r="11306" spans="1:2" x14ac:dyDescent="0.2">
      <c r="A11306" s="40"/>
      <c r="B11306" s="40"/>
    </row>
    <row r="11307" spans="1:2" x14ac:dyDescent="0.2">
      <c r="A11307" s="40"/>
      <c r="B11307" s="40"/>
    </row>
    <row r="11308" spans="1:2" x14ac:dyDescent="0.2">
      <c r="A11308" s="40"/>
      <c r="B11308" s="40"/>
    </row>
    <row r="11309" spans="1:2" x14ac:dyDescent="0.2">
      <c r="A11309" s="40"/>
      <c r="B11309" s="40"/>
    </row>
    <row r="11310" spans="1:2" x14ac:dyDescent="0.2">
      <c r="A11310" s="40"/>
      <c r="B11310" s="40"/>
    </row>
    <row r="11311" spans="1:2" x14ac:dyDescent="0.2">
      <c r="A11311" s="40"/>
      <c r="B11311" s="40"/>
    </row>
    <row r="11312" spans="1:2" x14ac:dyDescent="0.2">
      <c r="A11312" s="40"/>
      <c r="B11312" s="40"/>
    </row>
    <row r="11313" spans="1:2" x14ac:dyDescent="0.2">
      <c r="A11313" s="40"/>
      <c r="B11313" s="40"/>
    </row>
    <row r="11314" spans="1:2" x14ac:dyDescent="0.2">
      <c r="A11314" s="40"/>
      <c r="B11314" s="40"/>
    </row>
    <row r="11315" spans="1:2" x14ac:dyDescent="0.2">
      <c r="A11315" s="40"/>
      <c r="B11315" s="40"/>
    </row>
    <row r="11316" spans="1:2" x14ac:dyDescent="0.2">
      <c r="A11316" s="40"/>
      <c r="B11316" s="40"/>
    </row>
    <row r="11317" spans="1:2" x14ac:dyDescent="0.2">
      <c r="A11317" s="40"/>
      <c r="B11317" s="40"/>
    </row>
    <row r="11318" spans="1:2" x14ac:dyDescent="0.2">
      <c r="A11318" s="40"/>
      <c r="B11318" s="40"/>
    </row>
    <row r="11319" spans="1:2" x14ac:dyDescent="0.2">
      <c r="A11319" s="40"/>
      <c r="B11319" s="40"/>
    </row>
    <row r="11320" spans="1:2" x14ac:dyDescent="0.2">
      <c r="A11320" s="40"/>
      <c r="B11320" s="40"/>
    </row>
    <row r="11321" spans="1:2" x14ac:dyDescent="0.2">
      <c r="A11321" s="40"/>
      <c r="B11321" s="40"/>
    </row>
    <row r="11322" spans="1:2" x14ac:dyDescent="0.2">
      <c r="A11322" s="40"/>
      <c r="B11322" s="40"/>
    </row>
    <row r="11323" spans="1:2" x14ac:dyDescent="0.2">
      <c r="A11323" s="40"/>
      <c r="B11323" s="40"/>
    </row>
    <row r="11324" spans="1:2" x14ac:dyDescent="0.2">
      <c r="A11324" s="40"/>
      <c r="B11324" s="40"/>
    </row>
    <row r="11325" spans="1:2" x14ac:dyDescent="0.2">
      <c r="A11325" s="40"/>
      <c r="B11325" s="40"/>
    </row>
    <row r="11326" spans="1:2" x14ac:dyDescent="0.2">
      <c r="A11326" s="40"/>
      <c r="B11326" s="40"/>
    </row>
    <row r="11327" spans="1:2" x14ac:dyDescent="0.2">
      <c r="A11327" s="40"/>
      <c r="B11327" s="40"/>
    </row>
    <row r="11328" spans="1:2" x14ac:dyDescent="0.2">
      <c r="A11328" s="40"/>
      <c r="B11328" s="40"/>
    </row>
    <row r="11329" spans="1:2" x14ac:dyDescent="0.2">
      <c r="A11329" s="40"/>
      <c r="B11329" s="40"/>
    </row>
    <row r="11330" spans="1:2" x14ac:dyDescent="0.2">
      <c r="A11330" s="40"/>
      <c r="B11330" s="40"/>
    </row>
    <row r="11331" spans="1:2" x14ac:dyDescent="0.2">
      <c r="A11331" s="40"/>
      <c r="B11331" s="40"/>
    </row>
    <row r="11332" spans="1:2" x14ac:dyDescent="0.2">
      <c r="A11332" s="40"/>
      <c r="B11332" s="40"/>
    </row>
    <row r="11333" spans="1:2" x14ac:dyDescent="0.2">
      <c r="A11333" s="40"/>
      <c r="B11333" s="40"/>
    </row>
    <row r="11334" spans="1:2" x14ac:dyDescent="0.2">
      <c r="A11334" s="40"/>
      <c r="B11334" s="40"/>
    </row>
    <row r="11335" spans="1:2" x14ac:dyDescent="0.2">
      <c r="A11335" s="40"/>
      <c r="B11335" s="40"/>
    </row>
    <row r="11336" spans="1:2" x14ac:dyDescent="0.2">
      <c r="A11336" s="40"/>
      <c r="B11336" s="40"/>
    </row>
    <row r="11337" spans="1:2" x14ac:dyDescent="0.2">
      <c r="A11337" s="40"/>
      <c r="B11337" s="40"/>
    </row>
    <row r="11338" spans="1:2" x14ac:dyDescent="0.2">
      <c r="A11338" s="40"/>
      <c r="B11338" s="40"/>
    </row>
    <row r="11339" spans="1:2" x14ac:dyDescent="0.2">
      <c r="A11339" s="40"/>
      <c r="B11339" s="40"/>
    </row>
    <row r="11340" spans="1:2" x14ac:dyDescent="0.2">
      <c r="A11340" s="40"/>
      <c r="B11340" s="40"/>
    </row>
    <row r="11341" spans="1:2" x14ac:dyDescent="0.2">
      <c r="A11341" s="40"/>
      <c r="B11341" s="40"/>
    </row>
    <row r="11342" spans="1:2" x14ac:dyDescent="0.2">
      <c r="A11342" s="40"/>
      <c r="B11342" s="40"/>
    </row>
    <row r="11343" spans="1:2" x14ac:dyDescent="0.2">
      <c r="A11343" s="40"/>
      <c r="B11343" s="40"/>
    </row>
    <row r="11344" spans="1:2" x14ac:dyDescent="0.2">
      <c r="A11344" s="40"/>
      <c r="B11344" s="40"/>
    </row>
    <row r="11345" spans="1:2" x14ac:dyDescent="0.2">
      <c r="A11345" s="40"/>
      <c r="B11345" s="40"/>
    </row>
    <row r="11346" spans="1:2" x14ac:dyDescent="0.2">
      <c r="A11346" s="40"/>
      <c r="B11346" s="40"/>
    </row>
    <row r="11347" spans="1:2" x14ac:dyDescent="0.2">
      <c r="A11347" s="40"/>
      <c r="B11347" s="40"/>
    </row>
    <row r="11348" spans="1:2" x14ac:dyDescent="0.2">
      <c r="A11348" s="40"/>
      <c r="B11348" s="40"/>
    </row>
    <row r="11349" spans="1:2" x14ac:dyDescent="0.2">
      <c r="A11349" s="40"/>
      <c r="B11349" s="40"/>
    </row>
    <row r="11350" spans="1:2" x14ac:dyDescent="0.2">
      <c r="A11350" s="40"/>
      <c r="B11350" s="40"/>
    </row>
    <row r="11351" spans="1:2" x14ac:dyDescent="0.2">
      <c r="A11351" s="40"/>
      <c r="B11351" s="40"/>
    </row>
    <row r="11352" spans="1:2" x14ac:dyDescent="0.2">
      <c r="A11352" s="40"/>
      <c r="B11352" s="40"/>
    </row>
    <row r="11353" spans="1:2" x14ac:dyDescent="0.2">
      <c r="A11353" s="40"/>
      <c r="B11353" s="40"/>
    </row>
    <row r="11354" spans="1:2" x14ac:dyDescent="0.2">
      <c r="A11354" s="40"/>
      <c r="B11354" s="40"/>
    </row>
    <row r="11355" spans="1:2" x14ac:dyDescent="0.2">
      <c r="A11355" s="40"/>
      <c r="B11355" s="40"/>
    </row>
    <row r="11356" spans="1:2" x14ac:dyDescent="0.2">
      <c r="A11356" s="40"/>
      <c r="B11356" s="40"/>
    </row>
    <row r="11357" spans="1:2" x14ac:dyDescent="0.2">
      <c r="A11357" s="40"/>
      <c r="B11357" s="40"/>
    </row>
    <row r="11358" spans="1:2" x14ac:dyDescent="0.2">
      <c r="A11358" s="40"/>
      <c r="B11358" s="40"/>
    </row>
    <row r="11359" spans="1:2" x14ac:dyDescent="0.2">
      <c r="A11359" s="40"/>
      <c r="B11359" s="40"/>
    </row>
    <row r="11360" spans="1:2" x14ac:dyDescent="0.2">
      <c r="A11360" s="40"/>
      <c r="B11360" s="40"/>
    </row>
    <row r="11361" spans="1:2" x14ac:dyDescent="0.2">
      <c r="A11361" s="40"/>
      <c r="B11361" s="40"/>
    </row>
    <row r="11362" spans="1:2" x14ac:dyDescent="0.2">
      <c r="A11362" s="40"/>
      <c r="B11362" s="40"/>
    </row>
    <row r="11363" spans="1:2" x14ac:dyDescent="0.2">
      <c r="A11363" s="40"/>
      <c r="B11363" s="40"/>
    </row>
    <row r="11364" spans="1:2" x14ac:dyDescent="0.2">
      <c r="A11364" s="40"/>
      <c r="B11364" s="40"/>
    </row>
    <row r="11365" spans="1:2" x14ac:dyDescent="0.2">
      <c r="A11365" s="40"/>
      <c r="B11365" s="40"/>
    </row>
    <row r="11366" spans="1:2" x14ac:dyDescent="0.2">
      <c r="A11366" s="40"/>
      <c r="B11366" s="40"/>
    </row>
    <row r="11367" spans="1:2" x14ac:dyDescent="0.2">
      <c r="A11367" s="40"/>
      <c r="B11367" s="40"/>
    </row>
    <row r="11368" spans="1:2" x14ac:dyDescent="0.2">
      <c r="A11368" s="40"/>
      <c r="B11368" s="40"/>
    </row>
    <row r="11369" spans="1:2" x14ac:dyDescent="0.2">
      <c r="A11369" s="40"/>
      <c r="B11369" s="40"/>
    </row>
    <row r="11370" spans="1:2" x14ac:dyDescent="0.2">
      <c r="A11370" s="40"/>
      <c r="B11370" s="40"/>
    </row>
    <row r="11371" spans="1:2" x14ac:dyDescent="0.2">
      <c r="A11371" s="40"/>
      <c r="B11371" s="40"/>
    </row>
    <row r="11372" spans="1:2" x14ac:dyDescent="0.2">
      <c r="A11372" s="40"/>
      <c r="B11372" s="40"/>
    </row>
    <row r="11373" spans="1:2" x14ac:dyDescent="0.2">
      <c r="A11373" s="40"/>
      <c r="B11373" s="40"/>
    </row>
    <row r="11374" spans="1:2" x14ac:dyDescent="0.2">
      <c r="A11374" s="40"/>
      <c r="B11374" s="40"/>
    </row>
    <row r="11375" spans="1:2" x14ac:dyDescent="0.2">
      <c r="A11375" s="40"/>
      <c r="B11375" s="40"/>
    </row>
    <row r="11376" spans="1:2" x14ac:dyDescent="0.2">
      <c r="A11376" s="40"/>
      <c r="B11376" s="40"/>
    </row>
    <row r="11377" spans="1:2" x14ac:dyDescent="0.2">
      <c r="A11377" s="40"/>
      <c r="B11377" s="40"/>
    </row>
    <row r="11378" spans="1:2" x14ac:dyDescent="0.2">
      <c r="A11378" s="40"/>
      <c r="B11378" s="40"/>
    </row>
    <row r="11379" spans="1:2" x14ac:dyDescent="0.2">
      <c r="A11379" s="40"/>
      <c r="B11379" s="40"/>
    </row>
    <row r="11380" spans="1:2" x14ac:dyDescent="0.2">
      <c r="A11380" s="40"/>
      <c r="B11380" s="40"/>
    </row>
    <row r="11381" spans="1:2" x14ac:dyDescent="0.2">
      <c r="A11381" s="40"/>
      <c r="B11381" s="40"/>
    </row>
    <row r="11382" spans="1:2" x14ac:dyDescent="0.2">
      <c r="A11382" s="40"/>
      <c r="B11382" s="40"/>
    </row>
    <row r="11383" spans="1:2" x14ac:dyDescent="0.2">
      <c r="A11383" s="40"/>
      <c r="B11383" s="40"/>
    </row>
    <row r="11384" spans="1:2" x14ac:dyDescent="0.2">
      <c r="A11384" s="40"/>
      <c r="B11384" s="40"/>
    </row>
    <row r="11385" spans="1:2" x14ac:dyDescent="0.2">
      <c r="A11385" s="40"/>
      <c r="B11385" s="40"/>
    </row>
    <row r="11386" spans="1:2" x14ac:dyDescent="0.2">
      <c r="A11386" s="40"/>
      <c r="B11386" s="40"/>
    </row>
    <row r="11387" spans="1:2" x14ac:dyDescent="0.2">
      <c r="A11387" s="40"/>
      <c r="B11387" s="40"/>
    </row>
    <row r="11388" spans="1:2" x14ac:dyDescent="0.2">
      <c r="A11388" s="40"/>
      <c r="B11388" s="40"/>
    </row>
    <row r="11389" spans="1:2" x14ac:dyDescent="0.2">
      <c r="A11389" s="40"/>
      <c r="B11389" s="40"/>
    </row>
    <row r="11390" spans="1:2" x14ac:dyDescent="0.2">
      <c r="A11390" s="40"/>
      <c r="B11390" s="40"/>
    </row>
    <row r="11391" spans="1:2" x14ac:dyDescent="0.2">
      <c r="A11391" s="40"/>
      <c r="B11391" s="40"/>
    </row>
    <row r="11392" spans="1:2" x14ac:dyDescent="0.2">
      <c r="A11392" s="40"/>
      <c r="B11392" s="40"/>
    </row>
    <row r="11393" spans="1:2" x14ac:dyDescent="0.2">
      <c r="A11393" s="40"/>
      <c r="B11393" s="40"/>
    </row>
    <row r="11394" spans="1:2" x14ac:dyDescent="0.2">
      <c r="A11394" s="40"/>
      <c r="B11394" s="40"/>
    </row>
    <row r="11395" spans="1:2" x14ac:dyDescent="0.2">
      <c r="A11395" s="40"/>
      <c r="B11395" s="40"/>
    </row>
    <row r="11396" spans="1:2" x14ac:dyDescent="0.2">
      <c r="A11396" s="40"/>
      <c r="B11396" s="40"/>
    </row>
    <row r="11397" spans="1:2" x14ac:dyDescent="0.2">
      <c r="A11397" s="40"/>
      <c r="B11397" s="40"/>
    </row>
    <row r="11398" spans="1:2" x14ac:dyDescent="0.2">
      <c r="A11398" s="40"/>
      <c r="B11398" s="40"/>
    </row>
    <row r="11399" spans="1:2" x14ac:dyDescent="0.2">
      <c r="A11399" s="40"/>
      <c r="B11399" s="40"/>
    </row>
    <row r="11400" spans="1:2" x14ac:dyDescent="0.2">
      <c r="A11400" s="40"/>
      <c r="B11400" s="40"/>
    </row>
    <row r="11401" spans="1:2" x14ac:dyDescent="0.2">
      <c r="A11401" s="40"/>
      <c r="B11401" s="40"/>
    </row>
    <row r="11402" spans="1:2" x14ac:dyDescent="0.2">
      <c r="A11402" s="40"/>
      <c r="B11402" s="40"/>
    </row>
    <row r="11403" spans="1:2" x14ac:dyDescent="0.2">
      <c r="A11403" s="40"/>
      <c r="B11403" s="40"/>
    </row>
    <row r="11404" spans="1:2" x14ac:dyDescent="0.2">
      <c r="A11404" s="40"/>
      <c r="B11404" s="40"/>
    </row>
    <row r="11405" spans="1:2" x14ac:dyDescent="0.2">
      <c r="A11405" s="40"/>
      <c r="B11405" s="40"/>
    </row>
    <row r="11406" spans="1:2" x14ac:dyDescent="0.2">
      <c r="A11406" s="40"/>
      <c r="B11406" s="40"/>
    </row>
    <row r="11407" spans="1:2" x14ac:dyDescent="0.2">
      <c r="A11407" s="40"/>
      <c r="B11407" s="40"/>
    </row>
    <row r="11408" spans="1:2" x14ac:dyDescent="0.2">
      <c r="A11408" s="40"/>
      <c r="B11408" s="40"/>
    </row>
    <row r="11409" spans="1:2" x14ac:dyDescent="0.2">
      <c r="A11409" s="40"/>
      <c r="B11409" s="40"/>
    </row>
    <row r="11410" spans="1:2" x14ac:dyDescent="0.2">
      <c r="A11410" s="40"/>
      <c r="B11410" s="40"/>
    </row>
    <row r="11411" spans="1:2" x14ac:dyDescent="0.2">
      <c r="A11411" s="40"/>
      <c r="B11411" s="40"/>
    </row>
    <row r="11412" spans="1:2" x14ac:dyDescent="0.2">
      <c r="A11412" s="40"/>
      <c r="B11412" s="40"/>
    </row>
    <row r="11413" spans="1:2" x14ac:dyDescent="0.2">
      <c r="A11413" s="40"/>
      <c r="B11413" s="40"/>
    </row>
    <row r="11414" spans="1:2" x14ac:dyDescent="0.2">
      <c r="A11414" s="40"/>
      <c r="B11414" s="40"/>
    </row>
    <row r="11415" spans="1:2" x14ac:dyDescent="0.2">
      <c r="A11415" s="40"/>
      <c r="B11415" s="40"/>
    </row>
    <row r="11416" spans="1:2" x14ac:dyDescent="0.2">
      <c r="A11416" s="40"/>
      <c r="B11416" s="40"/>
    </row>
    <row r="11417" spans="1:2" x14ac:dyDescent="0.2">
      <c r="A11417" s="40"/>
      <c r="B11417" s="40"/>
    </row>
    <row r="11418" spans="1:2" x14ac:dyDescent="0.2">
      <c r="A11418" s="40"/>
      <c r="B11418" s="40"/>
    </row>
    <row r="11419" spans="1:2" x14ac:dyDescent="0.2">
      <c r="A11419" s="40"/>
      <c r="B11419" s="40"/>
    </row>
    <row r="11420" spans="1:2" x14ac:dyDescent="0.2">
      <c r="A11420" s="40"/>
      <c r="B11420" s="40"/>
    </row>
    <row r="11421" spans="1:2" x14ac:dyDescent="0.2">
      <c r="A11421" s="40"/>
      <c r="B11421" s="40"/>
    </row>
    <row r="11422" spans="1:2" x14ac:dyDescent="0.2">
      <c r="A11422" s="40"/>
      <c r="B11422" s="40"/>
    </row>
    <row r="11423" spans="1:2" x14ac:dyDescent="0.2">
      <c r="A11423" s="40"/>
      <c r="B11423" s="40"/>
    </row>
    <row r="11424" spans="1:2" x14ac:dyDescent="0.2">
      <c r="A11424" s="40"/>
      <c r="B11424" s="40"/>
    </row>
    <row r="11425" spans="1:2" x14ac:dyDescent="0.2">
      <c r="A11425" s="40"/>
      <c r="B11425" s="40"/>
    </row>
    <row r="11426" spans="1:2" x14ac:dyDescent="0.2">
      <c r="A11426" s="40"/>
      <c r="B11426" s="40"/>
    </row>
    <row r="11427" spans="1:2" x14ac:dyDescent="0.2">
      <c r="A11427" s="40"/>
      <c r="B11427" s="40"/>
    </row>
    <row r="11428" spans="1:2" x14ac:dyDescent="0.2">
      <c r="A11428" s="40"/>
      <c r="B11428" s="40"/>
    </row>
    <row r="11429" spans="1:2" x14ac:dyDescent="0.2">
      <c r="A11429" s="40"/>
      <c r="B11429" s="40"/>
    </row>
    <row r="11430" spans="1:2" x14ac:dyDescent="0.2">
      <c r="A11430" s="40"/>
      <c r="B11430" s="40"/>
    </row>
    <row r="11431" spans="1:2" x14ac:dyDescent="0.2">
      <c r="A11431" s="40"/>
      <c r="B11431" s="40"/>
    </row>
    <row r="11432" spans="1:2" x14ac:dyDescent="0.2">
      <c r="A11432" s="40"/>
      <c r="B11432" s="40"/>
    </row>
    <row r="11433" spans="1:2" x14ac:dyDescent="0.2">
      <c r="A11433" s="40"/>
      <c r="B11433" s="40"/>
    </row>
    <row r="11434" spans="1:2" x14ac:dyDescent="0.2">
      <c r="A11434" s="40"/>
      <c r="B11434" s="40"/>
    </row>
    <row r="11435" spans="1:2" x14ac:dyDescent="0.2">
      <c r="A11435" s="40"/>
      <c r="B11435" s="40"/>
    </row>
    <row r="11436" spans="1:2" x14ac:dyDescent="0.2">
      <c r="A11436" s="40"/>
      <c r="B11436" s="40"/>
    </row>
    <row r="11437" spans="1:2" x14ac:dyDescent="0.2">
      <c r="A11437" s="40"/>
      <c r="B11437" s="40"/>
    </row>
    <row r="11438" spans="1:2" x14ac:dyDescent="0.2">
      <c r="A11438" s="40"/>
      <c r="B11438" s="40"/>
    </row>
    <row r="11439" spans="1:2" x14ac:dyDescent="0.2">
      <c r="A11439" s="40"/>
      <c r="B11439" s="40"/>
    </row>
    <row r="11440" spans="1:2" x14ac:dyDescent="0.2">
      <c r="A11440" s="40"/>
      <c r="B11440" s="40"/>
    </row>
    <row r="11441" spans="1:2" x14ac:dyDescent="0.2">
      <c r="A11441" s="40"/>
      <c r="B11441" s="40"/>
    </row>
    <row r="11442" spans="1:2" x14ac:dyDescent="0.2">
      <c r="A11442" s="40"/>
      <c r="B11442" s="40"/>
    </row>
    <row r="11443" spans="1:2" x14ac:dyDescent="0.2">
      <c r="A11443" s="40"/>
      <c r="B11443" s="40"/>
    </row>
    <row r="11444" spans="1:2" x14ac:dyDescent="0.2">
      <c r="A11444" s="40"/>
      <c r="B11444" s="40"/>
    </row>
    <row r="11445" spans="1:2" x14ac:dyDescent="0.2">
      <c r="A11445" s="40"/>
      <c r="B11445" s="40"/>
    </row>
    <row r="11446" spans="1:2" x14ac:dyDescent="0.2">
      <c r="A11446" s="40"/>
      <c r="B11446" s="40"/>
    </row>
    <row r="11447" spans="1:2" x14ac:dyDescent="0.2">
      <c r="A11447" s="40"/>
      <c r="B11447" s="40"/>
    </row>
    <row r="11448" spans="1:2" x14ac:dyDescent="0.2">
      <c r="A11448" s="40"/>
      <c r="B11448" s="40"/>
    </row>
    <row r="11449" spans="1:2" x14ac:dyDescent="0.2">
      <c r="A11449" s="40"/>
      <c r="B11449" s="40"/>
    </row>
    <row r="11450" spans="1:2" x14ac:dyDescent="0.2">
      <c r="A11450" s="40"/>
      <c r="B11450" s="40"/>
    </row>
    <row r="11451" spans="1:2" x14ac:dyDescent="0.2">
      <c r="A11451" s="40"/>
      <c r="B11451" s="40"/>
    </row>
    <row r="11452" spans="1:2" x14ac:dyDescent="0.2">
      <c r="A11452" s="40"/>
      <c r="B11452" s="40"/>
    </row>
    <row r="11453" spans="1:2" x14ac:dyDescent="0.2">
      <c r="A11453" s="40"/>
      <c r="B11453" s="40"/>
    </row>
    <row r="11454" spans="1:2" x14ac:dyDescent="0.2">
      <c r="A11454" s="40"/>
      <c r="B11454" s="40"/>
    </row>
    <row r="11455" spans="1:2" x14ac:dyDescent="0.2">
      <c r="A11455" s="40"/>
      <c r="B11455" s="40"/>
    </row>
    <row r="11456" spans="1:2" x14ac:dyDescent="0.2">
      <c r="A11456" s="40"/>
      <c r="B11456" s="40"/>
    </row>
    <row r="11457" spans="1:2" x14ac:dyDescent="0.2">
      <c r="A11457" s="40"/>
      <c r="B11457" s="40"/>
    </row>
    <row r="11458" spans="1:2" x14ac:dyDescent="0.2">
      <c r="A11458" s="40"/>
      <c r="B11458" s="40"/>
    </row>
    <row r="11459" spans="1:2" x14ac:dyDescent="0.2">
      <c r="A11459" s="40"/>
      <c r="B11459" s="40"/>
    </row>
    <row r="11460" spans="1:2" x14ac:dyDescent="0.2">
      <c r="A11460" s="40"/>
      <c r="B11460" s="40"/>
    </row>
    <row r="11461" spans="1:2" x14ac:dyDescent="0.2">
      <c r="A11461" s="40"/>
      <c r="B11461" s="40"/>
    </row>
    <row r="11462" spans="1:2" x14ac:dyDescent="0.2">
      <c r="A11462" s="40"/>
      <c r="B11462" s="40"/>
    </row>
    <row r="11463" spans="1:2" x14ac:dyDescent="0.2">
      <c r="A11463" s="40"/>
      <c r="B11463" s="40"/>
    </row>
    <row r="11464" spans="1:2" x14ac:dyDescent="0.2">
      <c r="A11464" s="40"/>
      <c r="B11464" s="40"/>
    </row>
    <row r="11465" spans="1:2" x14ac:dyDescent="0.2">
      <c r="A11465" s="40"/>
      <c r="B11465" s="40"/>
    </row>
    <row r="11466" spans="1:2" x14ac:dyDescent="0.2">
      <c r="A11466" s="40"/>
      <c r="B11466" s="40"/>
    </row>
    <row r="11467" spans="1:2" x14ac:dyDescent="0.2">
      <c r="A11467" s="40"/>
      <c r="B11467" s="40"/>
    </row>
    <row r="11468" spans="1:2" x14ac:dyDescent="0.2">
      <c r="A11468" s="40"/>
      <c r="B11468" s="40"/>
    </row>
    <row r="11469" spans="1:2" x14ac:dyDescent="0.2">
      <c r="A11469" s="40"/>
      <c r="B11469" s="40"/>
    </row>
    <row r="11470" spans="1:2" x14ac:dyDescent="0.2">
      <c r="A11470" s="40"/>
      <c r="B11470" s="40"/>
    </row>
    <row r="11471" spans="1:2" x14ac:dyDescent="0.2">
      <c r="A11471" s="40"/>
      <c r="B11471" s="40"/>
    </row>
    <row r="11472" spans="1:2" x14ac:dyDescent="0.2">
      <c r="A11472" s="40"/>
      <c r="B11472" s="40"/>
    </row>
    <row r="11473" spans="1:2" x14ac:dyDescent="0.2">
      <c r="A11473" s="40"/>
      <c r="B11473" s="40"/>
    </row>
    <row r="11474" spans="1:2" x14ac:dyDescent="0.2">
      <c r="A11474" s="40"/>
      <c r="B11474" s="40"/>
    </row>
    <row r="11475" spans="1:2" x14ac:dyDescent="0.2">
      <c r="A11475" s="40"/>
      <c r="B11475" s="40"/>
    </row>
    <row r="11476" spans="1:2" x14ac:dyDescent="0.2">
      <c r="A11476" s="40"/>
      <c r="B11476" s="40"/>
    </row>
    <row r="11477" spans="1:2" x14ac:dyDescent="0.2">
      <c r="A11477" s="40"/>
      <c r="B11477" s="40"/>
    </row>
    <row r="11478" spans="1:2" x14ac:dyDescent="0.2">
      <c r="A11478" s="40"/>
      <c r="B11478" s="40"/>
    </row>
    <row r="11479" spans="1:2" x14ac:dyDescent="0.2">
      <c r="A11479" s="40"/>
      <c r="B11479" s="40"/>
    </row>
    <row r="11480" spans="1:2" x14ac:dyDescent="0.2">
      <c r="A11480" s="40"/>
      <c r="B11480" s="40"/>
    </row>
    <row r="11481" spans="1:2" x14ac:dyDescent="0.2">
      <c r="A11481" s="40"/>
      <c r="B11481" s="40"/>
    </row>
    <row r="11482" spans="1:2" x14ac:dyDescent="0.2">
      <c r="A11482" s="40"/>
      <c r="B11482" s="40"/>
    </row>
    <row r="11483" spans="1:2" x14ac:dyDescent="0.2">
      <c r="A11483" s="40"/>
      <c r="B11483" s="40"/>
    </row>
    <row r="11484" spans="1:2" x14ac:dyDescent="0.2">
      <c r="A11484" s="40"/>
      <c r="B11484" s="40"/>
    </row>
    <row r="11485" spans="1:2" x14ac:dyDescent="0.2">
      <c r="A11485" s="40"/>
      <c r="B11485" s="40"/>
    </row>
    <row r="11486" spans="1:2" x14ac:dyDescent="0.2">
      <c r="A11486" s="40"/>
      <c r="B11486" s="40"/>
    </row>
    <row r="11487" spans="1:2" x14ac:dyDescent="0.2">
      <c r="A11487" s="40"/>
      <c r="B11487" s="40"/>
    </row>
    <row r="11488" spans="1:2" x14ac:dyDescent="0.2">
      <c r="A11488" s="40"/>
      <c r="B11488" s="40"/>
    </row>
    <row r="11489" spans="1:2" x14ac:dyDescent="0.2">
      <c r="A11489" s="40"/>
      <c r="B11489" s="40"/>
    </row>
    <row r="11490" spans="1:2" x14ac:dyDescent="0.2">
      <c r="A11490" s="40"/>
      <c r="B11490" s="40"/>
    </row>
    <row r="11491" spans="1:2" x14ac:dyDescent="0.2">
      <c r="A11491" s="40"/>
      <c r="B11491" s="40"/>
    </row>
    <row r="11492" spans="1:2" x14ac:dyDescent="0.2">
      <c r="A11492" s="40"/>
      <c r="B11492" s="40"/>
    </row>
    <row r="11493" spans="1:2" x14ac:dyDescent="0.2">
      <c r="A11493" s="40"/>
      <c r="B11493" s="40"/>
    </row>
    <row r="11494" spans="1:2" x14ac:dyDescent="0.2">
      <c r="A11494" s="40"/>
      <c r="B11494" s="40"/>
    </row>
    <row r="11495" spans="1:2" x14ac:dyDescent="0.2">
      <c r="A11495" s="40"/>
      <c r="B11495" s="40"/>
    </row>
    <row r="11496" spans="1:2" x14ac:dyDescent="0.2">
      <c r="A11496" s="40"/>
      <c r="B11496" s="40"/>
    </row>
    <row r="11497" spans="1:2" x14ac:dyDescent="0.2">
      <c r="A11497" s="40"/>
      <c r="B11497" s="40"/>
    </row>
    <row r="11498" spans="1:2" x14ac:dyDescent="0.2">
      <c r="A11498" s="40"/>
      <c r="B11498" s="40"/>
    </row>
    <row r="11499" spans="1:2" x14ac:dyDescent="0.2">
      <c r="A11499" s="40"/>
      <c r="B11499" s="40"/>
    </row>
    <row r="11500" spans="1:2" x14ac:dyDescent="0.2">
      <c r="A11500" s="40"/>
      <c r="B11500" s="40"/>
    </row>
    <row r="11501" spans="1:2" x14ac:dyDescent="0.2">
      <c r="A11501" s="40"/>
      <c r="B11501" s="40"/>
    </row>
    <row r="11502" spans="1:2" x14ac:dyDescent="0.2">
      <c r="A11502" s="40"/>
      <c r="B11502" s="40"/>
    </row>
    <row r="11503" spans="1:2" x14ac:dyDescent="0.2">
      <c r="A11503" s="40"/>
      <c r="B11503" s="40"/>
    </row>
    <row r="11504" spans="1:2" x14ac:dyDescent="0.2">
      <c r="A11504" s="40"/>
      <c r="B11504" s="40"/>
    </row>
    <row r="11505" spans="1:2" x14ac:dyDescent="0.2">
      <c r="A11505" s="40"/>
      <c r="B11505" s="40"/>
    </row>
    <row r="11506" spans="1:2" x14ac:dyDescent="0.2">
      <c r="A11506" s="40"/>
      <c r="B11506" s="40"/>
    </row>
    <row r="11507" spans="1:2" x14ac:dyDescent="0.2">
      <c r="A11507" s="40"/>
      <c r="B11507" s="40"/>
    </row>
    <row r="11508" spans="1:2" x14ac:dyDescent="0.2">
      <c r="A11508" s="40"/>
      <c r="B11508" s="40"/>
    </row>
    <row r="11509" spans="1:2" x14ac:dyDescent="0.2">
      <c r="A11509" s="40"/>
      <c r="B11509" s="40"/>
    </row>
    <row r="11510" spans="1:2" x14ac:dyDescent="0.2">
      <c r="A11510" s="40"/>
      <c r="B11510" s="40"/>
    </row>
    <row r="11511" spans="1:2" x14ac:dyDescent="0.2">
      <c r="A11511" s="40"/>
      <c r="B11511" s="40"/>
    </row>
    <row r="11512" spans="1:2" x14ac:dyDescent="0.2">
      <c r="A11512" s="40"/>
      <c r="B11512" s="40"/>
    </row>
    <row r="11513" spans="1:2" x14ac:dyDescent="0.2">
      <c r="A11513" s="40"/>
      <c r="B11513" s="40"/>
    </row>
    <row r="11514" spans="1:2" x14ac:dyDescent="0.2">
      <c r="A11514" s="40"/>
      <c r="B11514" s="40"/>
    </row>
    <row r="11515" spans="1:2" x14ac:dyDescent="0.2">
      <c r="A11515" s="40"/>
      <c r="B11515" s="40"/>
    </row>
    <row r="11516" spans="1:2" x14ac:dyDescent="0.2">
      <c r="A11516" s="40"/>
      <c r="B11516" s="40"/>
    </row>
    <row r="11517" spans="1:2" x14ac:dyDescent="0.2">
      <c r="A11517" s="40"/>
      <c r="B11517" s="40"/>
    </row>
    <row r="11518" spans="1:2" x14ac:dyDescent="0.2">
      <c r="A11518" s="40"/>
      <c r="B11518" s="40"/>
    </row>
    <row r="11519" spans="1:2" x14ac:dyDescent="0.2">
      <c r="A11519" s="40"/>
      <c r="B11519" s="40"/>
    </row>
    <row r="11520" spans="1:2" x14ac:dyDescent="0.2">
      <c r="A11520" s="40"/>
      <c r="B11520" s="40"/>
    </row>
    <row r="11521" spans="1:2" x14ac:dyDescent="0.2">
      <c r="A11521" s="40"/>
      <c r="B11521" s="40"/>
    </row>
    <row r="11522" spans="1:2" x14ac:dyDescent="0.2">
      <c r="A11522" s="40"/>
      <c r="B11522" s="40"/>
    </row>
    <row r="11523" spans="1:2" x14ac:dyDescent="0.2">
      <c r="A11523" s="40"/>
      <c r="B11523" s="40"/>
    </row>
    <row r="11524" spans="1:2" x14ac:dyDescent="0.2">
      <c r="A11524" s="40"/>
      <c r="B11524" s="40"/>
    </row>
    <row r="11525" spans="1:2" x14ac:dyDescent="0.2">
      <c r="A11525" s="40"/>
      <c r="B11525" s="40"/>
    </row>
    <row r="11526" spans="1:2" x14ac:dyDescent="0.2">
      <c r="A11526" s="40"/>
      <c r="B11526" s="40"/>
    </row>
    <row r="11527" spans="1:2" x14ac:dyDescent="0.2">
      <c r="A11527" s="40"/>
      <c r="B11527" s="40"/>
    </row>
    <row r="11528" spans="1:2" x14ac:dyDescent="0.2">
      <c r="A11528" s="40"/>
      <c r="B11528" s="40"/>
    </row>
    <row r="11529" spans="1:2" x14ac:dyDescent="0.2">
      <c r="A11529" s="40"/>
      <c r="B11529" s="40"/>
    </row>
    <row r="11530" spans="1:2" x14ac:dyDescent="0.2">
      <c r="A11530" s="40"/>
      <c r="B11530" s="40"/>
    </row>
    <row r="11531" spans="1:2" x14ac:dyDescent="0.2">
      <c r="A11531" s="40"/>
      <c r="B11531" s="40"/>
    </row>
    <row r="11532" spans="1:2" x14ac:dyDescent="0.2">
      <c r="A11532" s="40"/>
      <c r="B11532" s="40"/>
    </row>
    <row r="11533" spans="1:2" x14ac:dyDescent="0.2">
      <c r="A11533" s="40"/>
      <c r="B11533" s="40"/>
    </row>
    <row r="11534" spans="1:2" x14ac:dyDescent="0.2">
      <c r="A11534" s="40"/>
      <c r="B11534" s="40"/>
    </row>
    <row r="11535" spans="1:2" x14ac:dyDescent="0.2">
      <c r="A11535" s="40"/>
      <c r="B11535" s="40"/>
    </row>
    <row r="11536" spans="1:2" x14ac:dyDescent="0.2">
      <c r="A11536" s="40"/>
      <c r="B11536" s="40"/>
    </row>
    <row r="11537" spans="1:2" x14ac:dyDescent="0.2">
      <c r="A11537" s="40"/>
      <c r="B11537" s="40"/>
    </row>
    <row r="11538" spans="1:2" x14ac:dyDescent="0.2">
      <c r="A11538" s="40"/>
      <c r="B11538" s="40"/>
    </row>
    <row r="11539" spans="1:2" x14ac:dyDescent="0.2">
      <c r="A11539" s="40"/>
      <c r="B11539" s="40"/>
    </row>
    <row r="11540" spans="1:2" x14ac:dyDescent="0.2">
      <c r="A11540" s="40"/>
      <c r="B11540" s="40"/>
    </row>
    <row r="11541" spans="1:2" x14ac:dyDescent="0.2">
      <c r="A11541" s="40"/>
      <c r="B11541" s="40"/>
    </row>
    <row r="11542" spans="1:2" x14ac:dyDescent="0.2">
      <c r="A11542" s="40"/>
      <c r="B11542" s="40"/>
    </row>
    <row r="11543" spans="1:2" x14ac:dyDescent="0.2">
      <c r="A11543" s="40"/>
      <c r="B11543" s="40"/>
    </row>
    <row r="11544" spans="1:2" x14ac:dyDescent="0.2">
      <c r="A11544" s="40"/>
      <c r="B11544" s="40"/>
    </row>
    <row r="11545" spans="1:2" x14ac:dyDescent="0.2">
      <c r="A11545" s="40"/>
      <c r="B11545" s="40"/>
    </row>
    <row r="11546" spans="1:2" x14ac:dyDescent="0.2">
      <c r="A11546" s="40"/>
      <c r="B11546" s="40"/>
    </row>
    <row r="11547" spans="1:2" x14ac:dyDescent="0.2">
      <c r="A11547" s="40"/>
      <c r="B11547" s="40"/>
    </row>
    <row r="11548" spans="1:2" x14ac:dyDescent="0.2">
      <c r="A11548" s="40"/>
      <c r="B11548" s="40"/>
    </row>
    <row r="11549" spans="1:2" x14ac:dyDescent="0.2">
      <c r="A11549" s="40"/>
      <c r="B11549" s="40"/>
    </row>
    <row r="11550" spans="1:2" x14ac:dyDescent="0.2">
      <c r="A11550" s="40"/>
      <c r="B11550" s="40"/>
    </row>
    <row r="11551" spans="1:2" x14ac:dyDescent="0.2">
      <c r="A11551" s="40"/>
      <c r="B11551" s="40"/>
    </row>
    <row r="11552" spans="1:2" x14ac:dyDescent="0.2">
      <c r="A11552" s="40"/>
      <c r="B11552" s="40"/>
    </row>
    <row r="11553" spans="1:2" x14ac:dyDescent="0.2">
      <c r="A11553" s="40"/>
      <c r="B11553" s="40"/>
    </row>
    <row r="11554" spans="1:2" x14ac:dyDescent="0.2">
      <c r="A11554" s="40"/>
      <c r="B11554" s="40"/>
    </row>
    <row r="11555" spans="1:2" x14ac:dyDescent="0.2">
      <c r="A11555" s="40"/>
      <c r="B11555" s="40"/>
    </row>
    <row r="11556" spans="1:2" x14ac:dyDescent="0.2">
      <c r="A11556" s="40"/>
      <c r="B11556" s="40"/>
    </row>
    <row r="11557" spans="1:2" x14ac:dyDescent="0.2">
      <c r="A11557" s="40"/>
      <c r="B11557" s="40"/>
    </row>
    <row r="11558" spans="1:2" x14ac:dyDescent="0.2">
      <c r="A11558" s="40"/>
      <c r="B11558" s="40"/>
    </row>
    <row r="11559" spans="1:2" x14ac:dyDescent="0.2">
      <c r="A11559" s="40"/>
      <c r="B11559" s="40"/>
    </row>
    <row r="11560" spans="1:2" x14ac:dyDescent="0.2">
      <c r="A11560" s="40"/>
      <c r="B11560" s="40"/>
    </row>
    <row r="11561" spans="1:2" x14ac:dyDescent="0.2">
      <c r="A11561" s="40"/>
      <c r="B11561" s="40"/>
    </row>
    <row r="11562" spans="1:2" x14ac:dyDescent="0.2">
      <c r="A11562" s="40"/>
      <c r="B11562" s="40"/>
    </row>
    <row r="11563" spans="1:2" x14ac:dyDescent="0.2">
      <c r="A11563" s="40"/>
      <c r="B11563" s="40"/>
    </row>
    <row r="11564" spans="1:2" x14ac:dyDescent="0.2">
      <c r="A11564" s="40"/>
      <c r="B11564" s="40"/>
    </row>
    <row r="11565" spans="1:2" x14ac:dyDescent="0.2">
      <c r="A11565" s="40"/>
      <c r="B11565" s="40"/>
    </row>
    <row r="11566" spans="1:2" x14ac:dyDescent="0.2">
      <c r="A11566" s="40"/>
      <c r="B11566" s="40"/>
    </row>
    <row r="11567" spans="1:2" x14ac:dyDescent="0.2">
      <c r="A11567" s="40"/>
      <c r="B11567" s="40"/>
    </row>
    <row r="11568" spans="1:2" x14ac:dyDescent="0.2">
      <c r="A11568" s="40"/>
      <c r="B11568" s="40"/>
    </row>
    <row r="11569" spans="1:2" x14ac:dyDescent="0.2">
      <c r="A11569" s="40"/>
      <c r="B11569" s="40"/>
    </row>
    <row r="11570" spans="1:2" x14ac:dyDescent="0.2">
      <c r="A11570" s="40"/>
      <c r="B11570" s="40"/>
    </row>
    <row r="11571" spans="1:2" x14ac:dyDescent="0.2">
      <c r="A11571" s="40"/>
      <c r="B11571" s="40"/>
    </row>
    <row r="11572" spans="1:2" x14ac:dyDescent="0.2">
      <c r="A11572" s="40"/>
      <c r="B11572" s="40"/>
    </row>
    <row r="11573" spans="1:2" x14ac:dyDescent="0.2">
      <c r="A11573" s="40"/>
      <c r="B11573" s="40"/>
    </row>
    <row r="11574" spans="1:2" x14ac:dyDescent="0.2">
      <c r="A11574" s="40"/>
      <c r="B11574" s="40"/>
    </row>
    <row r="11575" spans="1:2" x14ac:dyDescent="0.2">
      <c r="A11575" s="40"/>
      <c r="B11575" s="40"/>
    </row>
    <row r="11576" spans="1:2" x14ac:dyDescent="0.2">
      <c r="A11576" s="40"/>
      <c r="B11576" s="40"/>
    </row>
    <row r="11577" spans="1:2" x14ac:dyDescent="0.2">
      <c r="A11577" s="40"/>
      <c r="B11577" s="40"/>
    </row>
    <row r="11578" spans="1:2" x14ac:dyDescent="0.2">
      <c r="A11578" s="40"/>
      <c r="B11578" s="40"/>
    </row>
    <row r="11579" spans="1:2" x14ac:dyDescent="0.2">
      <c r="A11579" s="40"/>
      <c r="B11579" s="40"/>
    </row>
    <row r="11580" spans="1:2" x14ac:dyDescent="0.2">
      <c r="A11580" s="40"/>
      <c r="B11580" s="40"/>
    </row>
    <row r="11581" spans="1:2" x14ac:dyDescent="0.2">
      <c r="A11581" s="40"/>
      <c r="B11581" s="40"/>
    </row>
    <row r="11582" spans="1:2" x14ac:dyDescent="0.2">
      <c r="A11582" s="40"/>
      <c r="B11582" s="40"/>
    </row>
    <row r="11583" spans="1:2" x14ac:dyDescent="0.2">
      <c r="A11583" s="40"/>
      <c r="B11583" s="40"/>
    </row>
    <row r="11584" spans="1:2" x14ac:dyDescent="0.2">
      <c r="A11584" s="40"/>
      <c r="B11584" s="40"/>
    </row>
    <row r="11585" spans="1:2" x14ac:dyDescent="0.2">
      <c r="A11585" s="40"/>
      <c r="B11585" s="40"/>
    </row>
    <row r="11586" spans="1:2" x14ac:dyDescent="0.2">
      <c r="A11586" s="40"/>
      <c r="B11586" s="40"/>
    </row>
    <row r="11587" spans="1:2" x14ac:dyDescent="0.2">
      <c r="A11587" s="40"/>
      <c r="B11587" s="40"/>
    </row>
    <row r="11588" spans="1:2" x14ac:dyDescent="0.2">
      <c r="A11588" s="40"/>
      <c r="B11588" s="40"/>
    </row>
    <row r="11589" spans="1:2" x14ac:dyDescent="0.2">
      <c r="A11589" s="40"/>
      <c r="B11589" s="40"/>
    </row>
    <row r="11590" spans="1:2" x14ac:dyDescent="0.2">
      <c r="A11590" s="40"/>
      <c r="B11590" s="40"/>
    </row>
    <row r="11591" spans="1:2" x14ac:dyDescent="0.2">
      <c r="A11591" s="40"/>
      <c r="B11591" s="40"/>
    </row>
    <row r="11592" spans="1:2" x14ac:dyDescent="0.2">
      <c r="A11592" s="40"/>
      <c r="B11592" s="40"/>
    </row>
    <row r="11593" spans="1:2" x14ac:dyDescent="0.2">
      <c r="A11593" s="40"/>
      <c r="B11593" s="40"/>
    </row>
    <row r="11594" spans="1:2" x14ac:dyDescent="0.2">
      <c r="A11594" s="40"/>
      <c r="B11594" s="40"/>
    </row>
    <row r="11595" spans="1:2" x14ac:dyDescent="0.2">
      <c r="A11595" s="40"/>
      <c r="B11595" s="40"/>
    </row>
    <row r="11596" spans="1:2" x14ac:dyDescent="0.2">
      <c r="A11596" s="40"/>
      <c r="B11596" s="40"/>
    </row>
    <row r="11597" spans="1:2" x14ac:dyDescent="0.2">
      <c r="A11597" s="40"/>
      <c r="B11597" s="40"/>
    </row>
    <row r="11598" spans="1:2" x14ac:dyDescent="0.2">
      <c r="A11598" s="40"/>
      <c r="B11598" s="40"/>
    </row>
    <row r="11599" spans="1:2" x14ac:dyDescent="0.2">
      <c r="A11599" s="40"/>
      <c r="B11599" s="40"/>
    </row>
    <row r="11600" spans="1:2" x14ac:dyDescent="0.2">
      <c r="A11600" s="40"/>
      <c r="B11600" s="40"/>
    </row>
    <row r="11601" spans="1:2" x14ac:dyDescent="0.2">
      <c r="A11601" s="40"/>
      <c r="B11601" s="40"/>
    </row>
  </sheetData>
  <autoFilter ref="A1:B279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B7B7B7"/>
    <outlinePr summaryBelow="0" summaryRight="0"/>
  </sheetPr>
  <dimension ref="A1:E988"/>
  <sheetViews>
    <sheetView workbookViewId="0"/>
  </sheetViews>
  <sheetFormatPr defaultColWidth="12.5703125" defaultRowHeight="15.75" customHeight="1" x14ac:dyDescent="0.2"/>
  <cols>
    <col min="1" max="1" width="4.7109375" customWidth="1"/>
    <col min="2" max="2" width="6.42578125" customWidth="1"/>
    <col min="3" max="3" width="51.85546875" customWidth="1"/>
    <col min="4" max="4" width="16.42578125" customWidth="1"/>
    <col min="5" max="5" width="17.140625" customWidth="1"/>
  </cols>
  <sheetData>
    <row r="1" spans="1:5" x14ac:dyDescent="0.2">
      <c r="A1" s="42" t="s">
        <v>357</v>
      </c>
      <c r="B1" s="42" t="s">
        <v>358</v>
      </c>
      <c r="C1" s="43" t="s">
        <v>359</v>
      </c>
      <c r="D1" s="43" t="s">
        <v>360</v>
      </c>
      <c r="E1" s="43" t="s">
        <v>361</v>
      </c>
    </row>
    <row r="2" spans="1:5" x14ac:dyDescent="0.2">
      <c r="A2" s="44" t="str">
        <f t="shared" ref="A2:A256" si="0">MID(C2,FIND("REPLAY: ",C2)+LEN("REPLAY: "),LEN(C2))</f>
        <v>DRVN, MCW, VVV: Servicing Autos in Q3</v>
      </c>
      <c r="B2" s="44" t="str">
        <f>IF(ISNUMBER(MATCH(A2,'Calls without notes'!A:A,0)),A2,"")</f>
        <v>DRVN, MCW, VVV: Servicing Autos in Q3</v>
      </c>
      <c r="C2" s="45" t="s">
        <v>362</v>
      </c>
      <c r="D2" s="46">
        <v>45588</v>
      </c>
      <c r="E2" s="47"/>
    </row>
    <row r="3" spans="1:5" x14ac:dyDescent="0.2">
      <c r="A3" s="44" t="str">
        <f t="shared" si="0"/>
        <v>Cosmetics: Glow Up for the Holidays?</v>
      </c>
      <c r="B3" s="44" t="str">
        <f>IF(ISNUMBER(MATCH(A3,'Calls without notes'!A:A,0)),A3,"")</f>
        <v>Cosmetics: Glow Up for the Holidays?</v>
      </c>
      <c r="C3" s="48" t="s">
        <v>363</v>
      </c>
      <c r="D3" s="49">
        <v>45588</v>
      </c>
      <c r="E3" s="50"/>
    </row>
    <row r="4" spans="1:5" x14ac:dyDescent="0.2">
      <c r="A4" s="44" t="str">
        <f t="shared" si="0"/>
        <v>CROX, YETI &amp; Q3 Discretionary Spend</v>
      </c>
      <c r="B4" s="44" t="str">
        <f>IF(ISNUMBER(MATCH(A4,'Calls without notes'!A:A,0)),A4,"")</f>
        <v>CROX, YETI &amp; Q3 Discretionary Spend</v>
      </c>
      <c r="C4" s="48" t="s">
        <v>364</v>
      </c>
      <c r="D4" s="49">
        <v>45588</v>
      </c>
      <c r="E4" s="51"/>
    </row>
    <row r="5" spans="1:5" x14ac:dyDescent="0.2">
      <c r="A5" s="44" t="str">
        <f t="shared" si="0"/>
        <v>Foodservice Distribution: Looking for Traffic in Q3?</v>
      </c>
      <c r="B5" s="44" t="str">
        <f>IF(ISNUMBER(MATCH(A5,'Calls without notes'!A:A,0)),A5,"")</f>
        <v>Foodservice Distribution: Looking for Traffic in Q3?</v>
      </c>
      <c r="C5" s="48" t="s">
        <v>365</v>
      </c>
      <c r="D5" s="49">
        <v>45586</v>
      </c>
      <c r="E5" s="50"/>
    </row>
    <row r="6" spans="1:5" x14ac:dyDescent="0.2">
      <c r="A6" s="44" t="str">
        <f t="shared" si="0"/>
        <v>Cybersecurity Securing Deals in Q3?</v>
      </c>
      <c r="B6" s="44" t="str">
        <f>IF(ISNUMBER(MATCH(A6,'Calls without notes'!A:A,0)),A6,"")</f>
        <v>Cybersecurity Securing Deals in Q3?</v>
      </c>
      <c r="C6" s="48" t="s">
        <v>366</v>
      </c>
      <c r="D6" s="49">
        <v>45586</v>
      </c>
      <c r="E6" s="50"/>
    </row>
    <row r="7" spans="1:5" x14ac:dyDescent="0.2">
      <c r="A7" s="44" t="str">
        <f t="shared" si="0"/>
        <v>TEAM &amp; GTLB: Q3’24 Update</v>
      </c>
      <c r="B7" s="44" t="str">
        <f>IF(ISNUMBER(MATCH(A7,'Calls without notes'!A:A,0)),A7,"")</f>
        <v>TEAM &amp; GTLB: Q3’24 Update</v>
      </c>
      <c r="C7" s="48" t="s">
        <v>367</v>
      </c>
      <c r="D7" s="49">
        <v>45583</v>
      </c>
      <c r="E7" s="50"/>
    </row>
    <row r="8" spans="1:5" x14ac:dyDescent="0.2">
      <c r="A8" s="44" t="str">
        <f t="shared" si="0"/>
        <v>Tequila: Take a Shot on Q3?</v>
      </c>
      <c r="B8" s="44" t="str">
        <f>IF(ISNUMBER(MATCH(A8,'Calls without notes'!A:A,0)),A8,"")</f>
        <v>Tequila: Take a Shot on Q3?</v>
      </c>
      <c r="C8" s="52" t="s">
        <v>368</v>
      </c>
      <c r="D8" s="53">
        <v>45583</v>
      </c>
      <c r="E8" s="54"/>
    </row>
    <row r="9" spans="1:5" x14ac:dyDescent="0.2">
      <c r="A9" s="44" t="str">
        <f t="shared" si="0"/>
        <v>Building Products: Rates Down, Demand Up?</v>
      </c>
      <c r="B9" s="44" t="str">
        <f>IF(ISNUMBER(MATCH(A9,'Calls without notes'!A:A,0)),A9,"")</f>
        <v>Building Products: Rates Down, Demand Up?</v>
      </c>
      <c r="C9" s="48" t="s">
        <v>369</v>
      </c>
      <c r="D9" s="49">
        <v>45582</v>
      </c>
      <c r="E9" s="50"/>
    </row>
    <row r="10" spans="1:5" x14ac:dyDescent="0.2">
      <c r="A10" s="44" t="str">
        <f t="shared" si="0"/>
        <v>Theme Parks in for a Halloween Scare?</v>
      </c>
      <c r="B10" s="44" t="str">
        <f>IF(ISNUMBER(MATCH(A10,'Calls without notes'!A:A,0)),A10,"")</f>
        <v>Theme Parks in for a Halloween Scare?</v>
      </c>
      <c r="C10" s="48" t="s">
        <v>370</v>
      </c>
      <c r="D10" s="49">
        <v>45582</v>
      </c>
      <c r="E10" s="50"/>
    </row>
    <row r="11" spans="1:5" x14ac:dyDescent="0.2">
      <c r="A11" s="44" t="str">
        <f t="shared" si="0"/>
        <v>DHI, LEN, TOL: Laying Foundations in Q3</v>
      </c>
      <c r="B11" s="44" t="str">
        <f>IF(ISNUMBER(MATCH(A11,'Calls without notes'!A:A,0)),A11,"")</f>
        <v>DHI, LEN, TOL: Laying Foundations in Q3</v>
      </c>
      <c r="C11" s="48" t="s">
        <v>371</v>
      </c>
      <c r="D11" s="49">
        <v>45581</v>
      </c>
      <c r="E11" s="50"/>
    </row>
    <row r="12" spans="1:5" x14ac:dyDescent="0.2">
      <c r="A12" s="44" t="str">
        <f t="shared" si="0"/>
        <v>MHK &amp; Flooring: Laying a Base in Q3?</v>
      </c>
      <c r="B12" s="44" t="str">
        <f>IF(ISNUMBER(MATCH(A12,'Calls without notes'!A:A,0)),A12,"")</f>
        <v>MHK &amp; Flooring: Laying a Base in Q3?</v>
      </c>
      <c r="C12" s="48" t="s">
        <v>372</v>
      </c>
      <c r="D12" s="49">
        <v>45581</v>
      </c>
      <c r="E12" s="50"/>
    </row>
    <row r="13" spans="1:5" x14ac:dyDescent="0.2">
      <c r="A13" s="44" t="str">
        <f t="shared" si="0"/>
        <v>Wayfair &amp; Furniture Retail in Q3</v>
      </c>
      <c r="B13" s="44" t="str">
        <f>IF(ISNUMBER(MATCH(A13,'Calls without notes'!A:A,0)),A13,"")</f>
        <v>Wayfair &amp; Furniture Retail in Q3</v>
      </c>
      <c r="C13" s="48" t="s">
        <v>373</v>
      </c>
      <c r="D13" s="49">
        <v>45580</v>
      </c>
      <c r="E13" s="50"/>
    </row>
    <row r="14" spans="1:5" x14ac:dyDescent="0.2">
      <c r="A14" s="44" t="str">
        <f t="shared" si="0"/>
        <v>DDOG: Bits AI Driving Growth?</v>
      </c>
      <c r="B14" s="44" t="str">
        <f>IF(ISNUMBER(MATCH(A14,'Calls without notes'!A:A,0)),A14,"")</f>
        <v>DDOG: Bits AI Driving Growth?</v>
      </c>
      <c r="C14" s="48" t="s">
        <v>374</v>
      </c>
      <c r="D14" s="49">
        <v>45580</v>
      </c>
      <c r="E14" s="50"/>
    </row>
    <row r="15" spans="1:5" x14ac:dyDescent="0.2">
      <c r="A15" s="44" t="str">
        <f t="shared" si="0"/>
        <v>Regional Casinos &amp; Rate Cut Roulette</v>
      </c>
      <c r="B15" s="44" t="str">
        <f>IF(ISNUMBER(MATCH(A15,'Calls without notes'!A:A,0)),A15,"")</f>
        <v>Regional Casinos &amp; Rate Cut Roulette</v>
      </c>
      <c r="C15" s="48" t="s">
        <v>375</v>
      </c>
      <c r="D15" s="49">
        <v>45580</v>
      </c>
      <c r="E15" s="50"/>
    </row>
    <row r="16" spans="1:5" x14ac:dyDescent="0.2">
      <c r="A16" s="44" t="str">
        <f t="shared" si="0"/>
        <v>BC: Navigating Rocky Boat Demand</v>
      </c>
      <c r="B16" s="44" t="str">
        <f>IF(ISNUMBER(MATCH(A16,'Calls without notes'!A:A,0)),A16,"")</f>
        <v>BC: Navigating Rocky Boat Demand</v>
      </c>
      <c r="C16" s="48" t="s">
        <v>376</v>
      </c>
      <c r="D16" s="49">
        <v>45579</v>
      </c>
      <c r="E16" s="50"/>
    </row>
    <row r="17" spans="1:5" x14ac:dyDescent="0.2">
      <c r="A17" s="44" t="str">
        <f t="shared" si="0"/>
        <v>TTD's Inventory &amp; Demand in Q3'24</v>
      </c>
      <c r="B17" s="44" t="str">
        <f>IF(ISNUMBER(MATCH(A17,'Calls without notes'!A:A,0)),A17,"")</f>
        <v>TTD's Inventory &amp; Demand in Q3'24</v>
      </c>
      <c r="C17" s="48" t="s">
        <v>377</v>
      </c>
      <c r="D17" s="49">
        <v>45579</v>
      </c>
      <c r="E17" s="50"/>
    </row>
    <row r="18" spans="1:5" x14ac:dyDescent="0.2">
      <c r="A18" s="44" t="str">
        <f t="shared" si="0"/>
        <v>ONON, DECK &amp; NKE: Competition in 2H’24 &amp; 2025</v>
      </c>
      <c r="B18" s="44" t="str">
        <f>IF(ISNUMBER(MATCH(A18,'Calls without notes'!A:A,0)),A18,"")</f>
        <v>ONON, DECK &amp; NKE: Competition in 2H’24 &amp; 2025</v>
      </c>
      <c r="C18" s="48" t="s">
        <v>378</v>
      </c>
      <c r="D18" s="49">
        <v>45576</v>
      </c>
      <c r="E18" s="50"/>
    </row>
    <row r="19" spans="1:5" x14ac:dyDescent="0.2">
      <c r="A19" s="44" t="str">
        <f t="shared" si="0"/>
        <v>Residential Solar: Are the Clouds Clearing?</v>
      </c>
      <c r="B19" s="44" t="str">
        <f>IF(ISNUMBER(MATCH(A19,'Calls without notes'!A:A,0)),A19,"")</f>
        <v>Residential Solar: Are the Clouds Clearing?</v>
      </c>
      <c r="C19" s="48" t="s">
        <v>379</v>
      </c>
      <c r="D19" s="49">
        <v>45575</v>
      </c>
      <c r="E19" s="50"/>
    </row>
    <row r="20" spans="1:5" x14ac:dyDescent="0.2">
      <c r="A20" s="44" t="str">
        <f t="shared" si="0"/>
        <v>Hasbro Stacking the Deck for 2025?</v>
      </c>
      <c r="B20" s="44" t="str">
        <f>IF(ISNUMBER(MATCH(A20,'Calls without notes'!A:A,0)),A20,"")</f>
        <v>Hasbro Stacking the Deck for 2025?</v>
      </c>
      <c r="C20" s="48" t="s">
        <v>380</v>
      </c>
      <c r="D20" s="49">
        <v>45575</v>
      </c>
      <c r="E20" s="50"/>
    </row>
    <row r="21" spans="1:5" x14ac:dyDescent="0.2">
      <c r="A21" s="44" t="str">
        <f t="shared" si="0"/>
        <v>Q3 Review and Outlook with ServiceNow Elite Partner</v>
      </c>
      <c r="B21" s="44" t="str">
        <f>IF(ISNUMBER(MATCH(A21,'Calls without notes'!A:A,0)),A21,"")</f>
        <v>Q3 Review and Outlook with ServiceNow Elite Partner</v>
      </c>
      <c r="C21" s="48" t="s">
        <v>381</v>
      </c>
      <c r="D21" s="49">
        <v>45575</v>
      </c>
      <c r="E21" s="50"/>
    </row>
    <row r="22" spans="1:5" x14ac:dyDescent="0.2">
      <c r="A22" s="44" t="str">
        <f t="shared" si="0"/>
        <v>Q3'24 Social Ad Spend Shifts</v>
      </c>
      <c r="B22" s="44" t="str">
        <f>IF(ISNUMBER(MATCH(A22,'Calls without notes'!A:A,0)),A22,"")</f>
        <v>Q3'24 Social Ad Spend Shifts</v>
      </c>
      <c r="C22" s="48" t="s">
        <v>382</v>
      </c>
      <c r="D22" s="49">
        <v>45574</v>
      </c>
      <c r="E22" s="50"/>
    </row>
    <row r="23" spans="1:5" x14ac:dyDescent="0.2">
      <c r="A23" s="44" t="str">
        <f t="shared" si="0"/>
        <v>Aerospace MRO: Keeping Engines Running?</v>
      </c>
      <c r="B23" s="44" t="str">
        <f>IF(ISNUMBER(MATCH(A23,'Calls without notes'!A:A,0)),A23,"")</f>
        <v>Aerospace MRO: Keeping Engines Running?</v>
      </c>
      <c r="C23" s="48" t="s">
        <v>383</v>
      </c>
      <c r="D23" s="49">
        <v>45573</v>
      </c>
      <c r="E23" s="50"/>
    </row>
    <row r="24" spans="1:5" x14ac:dyDescent="0.2">
      <c r="A24" s="44" t="str">
        <f t="shared" si="0"/>
        <v>ABNB &amp; Vacation Rentals: Q3’24 Bookings</v>
      </c>
      <c r="B24" s="44" t="str">
        <f>IF(ISNUMBER(MATCH(A24,'Calls without notes'!A:A,0)),A24,"")</f>
        <v>ABNB &amp; Vacation Rentals: Q3’24 Bookings</v>
      </c>
      <c r="C24" s="48" t="s">
        <v>384</v>
      </c>
      <c r="D24" s="49">
        <v>45573</v>
      </c>
      <c r="E24" s="50"/>
    </row>
    <row r="25" spans="1:5" x14ac:dyDescent="0.2">
      <c r="A25" s="44" t="str">
        <f t="shared" si="0"/>
        <v>PPG &amp; SHW: Painting the Town Red?</v>
      </c>
      <c r="B25" s="44" t="str">
        <f>IF(ISNUMBER(MATCH(A25,'Calls without notes'!A:A,0)),A25,"")</f>
        <v>PPG &amp; SHW: Painting the Town Red?</v>
      </c>
      <c r="C25" s="48" t="s">
        <v>385</v>
      </c>
      <c r="D25" s="49">
        <v>45573</v>
      </c>
      <c r="E25" s="50"/>
    </row>
    <row r="26" spans="1:5" x14ac:dyDescent="0.2">
      <c r="A26" s="44" t="str">
        <f t="shared" si="0"/>
        <v>Q3'24 Software Update with $500M IT Integrator</v>
      </c>
      <c r="B26" s="44" t="str">
        <f>IF(ISNUMBER(MATCH(A26,'Calls without notes'!A:A,0)),A26,"")</f>
        <v>Q3'24 Software Update with $500M IT Integrator</v>
      </c>
      <c r="C26" s="48" t="s">
        <v>386</v>
      </c>
      <c r="D26" s="49">
        <v>45572</v>
      </c>
      <c r="E26" s="50"/>
    </row>
    <row r="27" spans="1:5" x14ac:dyDescent="0.2">
      <c r="A27" s="44" t="str">
        <f t="shared" si="0"/>
        <v>ROL, RTO LN: Who You Gonna Call?</v>
      </c>
      <c r="B27" s="44" t="str">
        <f>IF(ISNUMBER(MATCH(A27,'Calls without notes'!A:A,0)),A27,"")</f>
        <v>ROL, RTO LN: Who You Gonna Call?</v>
      </c>
      <c r="C27" s="48" t="s">
        <v>387</v>
      </c>
      <c r="D27" s="49">
        <v>45572</v>
      </c>
      <c r="E27" s="50"/>
    </row>
    <row r="28" spans="1:5" x14ac:dyDescent="0.2">
      <c r="A28" s="44" t="str">
        <f t="shared" si="0"/>
        <v>Macau Stumbles with Chinese Economy</v>
      </c>
      <c r="B28" s="44" t="str">
        <f>IF(ISNUMBER(MATCH(A28,'Calls without notes'!A:A,0)),A28,"")</f>
        <v>Macau Stumbles with Chinese Economy</v>
      </c>
      <c r="C28" s="48" t="s">
        <v>388</v>
      </c>
      <c r="D28" s="49">
        <v>45572</v>
      </c>
      <c r="E28" s="50"/>
    </row>
    <row r="29" spans="1:5" x14ac:dyDescent="0.2">
      <c r="A29" s="44" t="str">
        <f t="shared" si="0"/>
        <v>Used Car Affordability &amp; Q3 Demand</v>
      </c>
      <c r="B29" s="44" t="str">
        <f>IF(ISNUMBER(MATCH(A29,'Calls without notes'!A:A,0)),A29,"")</f>
        <v>Used Car Affordability &amp; Q3 Demand</v>
      </c>
      <c r="C29" s="48" t="s">
        <v>389</v>
      </c>
      <c r="D29" s="49">
        <v>45568</v>
      </c>
      <c r="E29" s="50"/>
    </row>
    <row r="30" spans="1:5" x14ac:dyDescent="0.2">
      <c r="A30" s="44" t="str">
        <f t="shared" si="0"/>
        <v>Q3 2024 Digital Advertising Update</v>
      </c>
      <c r="B30" s="44" t="str">
        <f>IF(ISNUMBER(MATCH(A30,'Calls without notes'!A:A,0)),A30,"")</f>
        <v>Q3 2024 Digital Advertising Update</v>
      </c>
      <c r="C30" s="48" t="s">
        <v>390</v>
      </c>
      <c r="D30" s="49">
        <v>45567</v>
      </c>
      <c r="E30" s="50"/>
    </row>
    <row r="31" spans="1:5" x14ac:dyDescent="0.2">
      <c r="A31" s="44" t="str">
        <f t="shared" si="0"/>
        <v>POOL, LESL: Rate Cuts to the Rescue?</v>
      </c>
      <c r="B31" s="44" t="str">
        <f>IF(ISNUMBER(MATCH(A31,'Calls without notes'!A:A,0)),A31,"")</f>
        <v>POOL, LESL: Rate Cuts to the Rescue?</v>
      </c>
      <c r="C31" s="48" t="s">
        <v>391</v>
      </c>
      <c r="D31" s="49">
        <v>45567</v>
      </c>
      <c r="E31" s="50"/>
    </row>
    <row r="32" spans="1:5" x14ac:dyDescent="0.2">
      <c r="A32" s="44" t="str">
        <f t="shared" si="0"/>
        <v>Utility Solar: Tariffs &amp; Growing Power Needs</v>
      </c>
      <c r="B32" s="44" t="str">
        <f>IF(ISNUMBER(MATCH(A32,'Calls without notes'!A:A,0)),A32,"")</f>
        <v>Utility Solar: Tariffs &amp; Growing Power Needs</v>
      </c>
      <c r="C32" s="48" t="s">
        <v>392</v>
      </c>
      <c r="D32" s="49">
        <v>45566</v>
      </c>
      <c r="E32" s="50"/>
    </row>
    <row r="33" spans="1:5" x14ac:dyDescent="0.2">
      <c r="A33" s="44" t="str">
        <f t="shared" si="0"/>
        <v>WillScot &amp; Modular Storage Demand</v>
      </c>
      <c r="B33" s="44" t="str">
        <f>IF(ISNUMBER(MATCH(A33,'Calls without notes'!A:A,0)),A33,"")</f>
        <v>WillScot &amp; Modular Storage Demand</v>
      </c>
      <c r="C33" s="48" t="s">
        <v>393</v>
      </c>
      <c r="D33" s="49">
        <v>45566</v>
      </c>
      <c r="E33" s="50"/>
    </row>
    <row r="34" spans="1:5" x14ac:dyDescent="0.2">
      <c r="A34" s="44" t="str">
        <f t="shared" si="0"/>
        <v>AI &amp; Enterprise IT Spending</v>
      </c>
      <c r="B34" s="44" t="str">
        <f>IF(ISNUMBER(MATCH(A34,'Calls without notes'!A:A,0)),A34,"")</f>
        <v>AI &amp; Enterprise IT Spending</v>
      </c>
      <c r="C34" s="48" t="s">
        <v>394</v>
      </c>
      <c r="D34" s="49">
        <v>45561</v>
      </c>
      <c r="E34" s="50"/>
    </row>
    <row r="35" spans="1:5" x14ac:dyDescent="0.2">
      <c r="A35" s="44" t="str">
        <f t="shared" si="0"/>
        <v>AI Market Dynamics with Former Microsoft Director</v>
      </c>
      <c r="B35" s="44" t="str">
        <f>IF(ISNUMBER(MATCH(A35,'Calls without notes'!A:A,0)),A35,"")</f>
        <v>AI Market Dynamics with Former Microsoft Director</v>
      </c>
      <c r="C35" s="48" t="s">
        <v>395</v>
      </c>
      <c r="D35" s="49">
        <v>45554</v>
      </c>
      <c r="E35" s="50"/>
    </row>
    <row r="36" spans="1:5" x14ac:dyDescent="0.2">
      <c r="A36" s="44" t="str">
        <f t="shared" si="0"/>
        <v>Vail Resorts: Smooth Trails or Rough Terrain?</v>
      </c>
      <c r="B36" s="44" t="str">
        <f>IF(ISNUMBER(MATCH(A36,'Calls without notes'!A:A,0)),A36,"")</f>
        <v>Vail Resorts: Smooth Trails or Rough Terrain?</v>
      </c>
      <c r="C36" s="48" t="s">
        <v>396</v>
      </c>
      <c r="D36" s="49">
        <v>45553</v>
      </c>
      <c r="E36" s="50"/>
    </row>
    <row r="37" spans="1:5" x14ac:dyDescent="0.2">
      <c r="A37" s="44" t="str">
        <f t="shared" si="0"/>
        <v>Q3’24 CTV/OTT &amp; Digital Ad Demand</v>
      </c>
      <c r="B37" s="44" t="str">
        <f>IF(ISNUMBER(MATCH(A37,'Calls without notes'!A:A,0)),A37,"")</f>
        <v>Q3’24 CTV/OTT &amp; Digital Ad Demand</v>
      </c>
      <c r="C37" s="48" t="s">
        <v>397</v>
      </c>
      <c r="D37" s="49">
        <v>45552</v>
      </c>
      <c r="E37" s="50"/>
    </row>
    <row r="38" spans="1:5" x14ac:dyDescent="0.2">
      <c r="A38" s="44" t="str">
        <f t="shared" si="0"/>
        <v>Navigating the Trucking Cycle</v>
      </c>
      <c r="B38" s="44" t="str">
        <f>IF(ISNUMBER(MATCH(A38,'Calls without notes'!A:A,0)),A38,"")</f>
        <v>Navigating the Trucking Cycle</v>
      </c>
      <c r="C38" s="48" t="s">
        <v>398</v>
      </c>
      <c r="D38" s="49">
        <v>45545</v>
      </c>
      <c r="E38" s="50"/>
    </row>
    <row r="39" spans="1:5" x14ac:dyDescent="0.2">
      <c r="A39" s="44" t="str">
        <f t="shared" si="0"/>
        <v>LW’s Q1’25: French Fry Price War?</v>
      </c>
      <c r="B39" s="44" t="str">
        <f>IF(ISNUMBER(MATCH(A39,'Calls without notes'!A:A,0)),A39,"")</f>
        <v>LW’s Q1’25: French Fry Price War?</v>
      </c>
      <c r="C39" s="48" t="s">
        <v>399</v>
      </c>
      <c r="D39" s="49">
        <v>45545</v>
      </c>
      <c r="E39" s="50"/>
    </row>
    <row r="40" spans="1:5" x14ac:dyDescent="0.2">
      <c r="A40" s="44" t="str">
        <f t="shared" si="0"/>
        <v>FERG &amp; Pending Rate Cuts</v>
      </c>
      <c r="B40" s="44" t="str">
        <f>IF(ISNUMBER(MATCH(A40,'Calls without notes'!A:A,0)),A40,"")</f>
        <v>FERG &amp; Pending Rate Cuts</v>
      </c>
      <c r="C40" s="48" t="s">
        <v>400</v>
      </c>
      <c r="D40" s="49">
        <v>45540</v>
      </c>
      <c r="E40" s="50"/>
    </row>
    <row r="41" spans="1:5" x14ac:dyDescent="0.2">
      <c r="A41" s="44" t="str">
        <f t="shared" si="0"/>
        <v>LW: More Spuds or a Dud?</v>
      </c>
      <c r="B41" s="44" t="str">
        <f>IF(ISNUMBER(MATCH(A41,'Calls without notes'!A:A,0)),A41,"")</f>
        <v/>
      </c>
      <c r="C41" s="48" t="s">
        <v>401</v>
      </c>
      <c r="D41" s="49">
        <v>45530</v>
      </c>
      <c r="E41" s="50"/>
    </row>
    <row r="42" spans="1:5" x14ac:dyDescent="0.2">
      <c r="A42" s="44" t="str">
        <f t="shared" si="0"/>
        <v>CRWD, OKTA: Securing the Enterprise in Q2</v>
      </c>
      <c r="B42" s="44" t="str">
        <f>IF(ISNUMBER(MATCH(A42,'Calls without notes'!A:A,0)),A42,"")</f>
        <v>CRWD, OKTA: Securing the Enterprise in Q2</v>
      </c>
      <c r="C42" s="48" t="s">
        <v>402</v>
      </c>
      <c r="D42" s="49">
        <v>45527</v>
      </c>
      <c r="E42" s="50"/>
    </row>
    <row r="43" spans="1:5" x14ac:dyDescent="0.2">
      <c r="A43" s="44" t="str">
        <f t="shared" si="0"/>
        <v>Luxury Fashion Autumn Preview with CEO of Erdem</v>
      </c>
      <c r="B43" s="44" t="str">
        <f>IF(ISNUMBER(MATCH(A43,'Calls without notes'!A:A,0)),A43,"")</f>
        <v/>
      </c>
      <c r="C43" s="48" t="s">
        <v>403</v>
      </c>
      <c r="D43" s="49">
        <v>45519</v>
      </c>
      <c r="E43" s="50"/>
    </row>
    <row r="44" spans="1:5" x14ac:dyDescent="0.2">
      <c r="A44" s="44" t="str">
        <f t="shared" si="0"/>
        <v>Engagement Rings: Diamond in the Rough?</v>
      </c>
      <c r="B44" s="44" t="str">
        <f>IF(ISNUMBER(MATCH(A44,'Calls without notes'!A:A,0)),A44,"")</f>
        <v/>
      </c>
      <c r="C44" s="48" t="s">
        <v>404</v>
      </c>
      <c r="D44" s="49">
        <v>45518</v>
      </c>
      <c r="E44" s="50"/>
    </row>
    <row r="45" spans="1:5" x14ac:dyDescent="0.2">
      <c r="A45" s="44" t="str">
        <f t="shared" si="0"/>
        <v>Deciphering CRM's Q2 Performance</v>
      </c>
      <c r="B45" s="44" t="str">
        <f>IF(ISNUMBER(MATCH(A45,'Calls without notes'!A:A,0)),A45,"")</f>
        <v>Deciphering CRM's Q2 Performance</v>
      </c>
      <c r="C45" s="48" t="s">
        <v>405</v>
      </c>
      <c r="D45" s="49">
        <v>45518</v>
      </c>
      <c r="E45" s="50"/>
    </row>
    <row r="46" spans="1:5" x14ac:dyDescent="0.2">
      <c r="A46" s="44" t="str">
        <f t="shared" si="0"/>
        <v>Q2’24 Grocery &amp; Consumer Health</v>
      </c>
      <c r="B46" s="44" t="str">
        <f>IF(ISNUMBER(MATCH(A46,'Calls without notes'!A:A,0)),A46,"")</f>
        <v>Q2’24 Grocery &amp; Consumer Health</v>
      </c>
      <c r="C46" s="48" t="s">
        <v>406</v>
      </c>
      <c r="D46" s="49">
        <v>45511</v>
      </c>
      <c r="E46" s="50"/>
    </row>
    <row r="47" spans="1:5" x14ac:dyDescent="0.2">
      <c r="A47" s="44" t="str">
        <f t="shared" si="0"/>
        <v>CALM &amp; VITL: Premium Eggs Getting Pricey?</v>
      </c>
      <c r="B47" s="44" t="str">
        <f>IF(ISNUMBER(MATCH(A47,'Calls without notes'!A:A,0)),A47,"")</f>
        <v>CALM &amp; VITL: Premium Eggs Getting Pricey?</v>
      </c>
      <c r="C47" s="48" t="s">
        <v>407</v>
      </c>
      <c r="D47" s="49">
        <v>45506</v>
      </c>
      <c r="E47" s="50" t="s">
        <v>294</v>
      </c>
    </row>
    <row r="48" spans="1:5" x14ac:dyDescent="0.2">
      <c r="A48" s="44" t="str">
        <f t="shared" si="0"/>
        <v>Can Off-Price Continue Upbeat Trends?</v>
      </c>
      <c r="B48" s="44" t="str">
        <f>IF(ISNUMBER(MATCH(A48,'Calls without notes'!A:A,0)),A48,"")</f>
        <v>Can Off-Price Continue Upbeat Trends?</v>
      </c>
      <c r="C48" s="48" t="s">
        <v>408</v>
      </c>
      <c r="D48" s="49">
        <v>45505</v>
      </c>
      <c r="E48" s="50"/>
    </row>
    <row r="49" spans="1:5" x14ac:dyDescent="0.2">
      <c r="A49" s="44" t="str">
        <f t="shared" si="0"/>
        <v>ATKR: Q2’24 Distributor Update</v>
      </c>
      <c r="B49" s="44" t="str">
        <f>IF(ISNUMBER(MATCH(A49,'Calls without notes'!A:A,0)),A49,"")</f>
        <v>ATKR: Q2’24 Distributor Update</v>
      </c>
      <c r="C49" s="48" t="s">
        <v>409</v>
      </c>
      <c r="D49" s="49">
        <v>45503</v>
      </c>
      <c r="E49" s="50"/>
    </row>
    <row r="50" spans="1:5" x14ac:dyDescent="0.2">
      <c r="A50" s="44" t="str">
        <f t="shared" si="0"/>
        <v>Can PLNT Build on Strength?</v>
      </c>
      <c r="B50" s="44" t="str">
        <f>IF(ISNUMBER(MATCH(A50,'Calls without notes'!A:A,0)),A50,"")</f>
        <v>Can PLNT Build on Strength?</v>
      </c>
      <c r="C50" s="48" t="s">
        <v>410</v>
      </c>
      <c r="D50" s="49">
        <v>45499</v>
      </c>
      <c r="E50" s="50"/>
    </row>
    <row r="51" spans="1:5" x14ac:dyDescent="0.2">
      <c r="A51" s="44" t="str">
        <f t="shared" si="0"/>
        <v>ASO, DKS: Apparel, Footwear, and Accessories in Q2’24</v>
      </c>
      <c r="B51" s="44" t="str">
        <f>IF(ISNUMBER(MATCH(A51,'Calls without notes'!A:A,0)),A51,"")</f>
        <v>ASO, DKS: Apparel, Footwear, and Accessories in Q2’24</v>
      </c>
      <c r="C51" s="48" t="s">
        <v>411</v>
      </c>
      <c r="D51" s="49">
        <v>45498</v>
      </c>
      <c r="E51" s="50"/>
    </row>
    <row r="52" spans="1:5" x14ac:dyDescent="0.2">
      <c r="A52" s="44" t="str">
        <f t="shared" si="0"/>
        <v>ZoomInfo: Q2'24, Copilot &amp; Demand Growth</v>
      </c>
      <c r="B52" s="44" t="str">
        <f>IF(ISNUMBER(MATCH(A52,'Calls without notes'!A:A,0)),A52,"")</f>
        <v>ZoomInfo: Q2'24, Copilot &amp; Demand Growth</v>
      </c>
      <c r="C52" s="48" t="s">
        <v>412</v>
      </c>
      <c r="D52" s="49">
        <v>45498</v>
      </c>
      <c r="E52" s="50"/>
    </row>
    <row r="53" spans="1:5" x14ac:dyDescent="0.2">
      <c r="A53" s="44" t="str">
        <f t="shared" si="0"/>
        <v>TEAM &amp; GTLB: Q2’24 Update</v>
      </c>
      <c r="B53" s="44" t="str">
        <f>IF(ISNUMBER(MATCH(A53,'Calls without notes'!A:A,0)),A53,"")</f>
        <v>TEAM &amp; GTLB: Q2’24 Update</v>
      </c>
      <c r="C53" s="48" t="s">
        <v>413</v>
      </c>
      <c r="D53" s="49">
        <v>45498</v>
      </c>
      <c r="E53" s="50"/>
    </row>
    <row r="54" spans="1:5" x14ac:dyDescent="0.2">
      <c r="A54" s="44" t="str">
        <f t="shared" si="0"/>
        <v>TPX: No Rest for the Weary?</v>
      </c>
      <c r="B54" s="44" t="str">
        <f>IF(ISNUMBER(MATCH(A54,'Calls without notes'!A:A,0)),A54,"")</f>
        <v>TPX: No Rest for the Weary?</v>
      </c>
      <c r="C54" s="48" t="s">
        <v>414</v>
      </c>
      <c r="D54" s="49">
        <v>45498</v>
      </c>
      <c r="E54" s="50"/>
    </row>
    <row r="55" spans="1:5" x14ac:dyDescent="0.2">
      <c r="A55" s="44" t="str">
        <f t="shared" si="0"/>
        <v>Auto Services: Oil Changes &amp; Car Washes in Q2'24</v>
      </c>
      <c r="B55" s="44" t="str">
        <f>IF(ISNUMBER(MATCH(A55,'Calls without notes'!A:A,0)),A55,"")</f>
        <v>Auto Services: Oil Changes &amp; Car Washes in Q2'24</v>
      </c>
      <c r="C55" s="48" t="s">
        <v>415</v>
      </c>
      <c r="D55" s="49">
        <v>45498</v>
      </c>
      <c r="E55" s="50"/>
    </row>
    <row r="56" spans="1:5" x14ac:dyDescent="0.2">
      <c r="A56" s="44" t="str">
        <f t="shared" si="0"/>
        <v>Q2'24 Self-Storage: Rates, Retention &amp; Demand</v>
      </c>
      <c r="B56" s="44" t="str">
        <f>IF(ISNUMBER(MATCH(A56,'Calls without notes'!A:A,0)),A56,"")</f>
        <v>Q2'24 Self-Storage: Rates, Retention &amp; Demand</v>
      </c>
      <c r="C56" s="48" t="s">
        <v>416</v>
      </c>
      <c r="D56" s="49">
        <v>45497</v>
      </c>
      <c r="E56" s="50"/>
    </row>
    <row r="57" spans="1:5" x14ac:dyDescent="0.2">
      <c r="A57" s="44" t="str">
        <f t="shared" si="0"/>
        <v>Data Center Photonics: Insights From LITE Former</v>
      </c>
      <c r="B57" s="44" t="str">
        <f>IF(ISNUMBER(MATCH(A57,'Calls without notes'!A:A,0)),A57,"")</f>
        <v>Data Center Photonics: Insights From LITE Former</v>
      </c>
      <c r="C57" s="48" t="s">
        <v>417</v>
      </c>
      <c r="D57" s="49">
        <v>45496</v>
      </c>
      <c r="E57" s="50"/>
    </row>
    <row r="58" spans="1:5" x14ac:dyDescent="0.2">
      <c r="A58" s="44" t="str">
        <f t="shared" si="0"/>
        <v>Building Products Gearing Up for Better Demand?</v>
      </c>
      <c r="B58" s="44" t="str">
        <f>IF(ISNUMBER(MATCH(A58,'Calls without notes'!A:A,0)),A58,"")</f>
        <v>Building Products Gearing Up for Better Demand?</v>
      </c>
      <c r="C58" s="48" t="s">
        <v>418</v>
      </c>
      <c r="D58" s="49">
        <v>45496</v>
      </c>
      <c r="E58" s="50"/>
    </row>
    <row r="59" spans="1:5" x14ac:dyDescent="0.2">
      <c r="A59" s="44" t="str">
        <f t="shared" si="0"/>
        <v>Cosmetics: Can They Makeup Growth?</v>
      </c>
      <c r="B59" s="44" t="str">
        <f>IF(ISNUMBER(MATCH(A59,'Calls without notes'!A:A,0)),A59,"")</f>
        <v>Cosmetics: Can They Makeup Growth?</v>
      </c>
      <c r="C59" s="48" t="s">
        <v>419</v>
      </c>
      <c r="D59" s="49">
        <v>45496</v>
      </c>
      <c r="E59" s="50"/>
    </row>
    <row r="60" spans="1:5" x14ac:dyDescent="0.2">
      <c r="A60" s="44" t="str">
        <f t="shared" si="0"/>
        <v>Foodservice: Q2’24 Private Label &amp; Volume Growth</v>
      </c>
      <c r="B60" s="44" t="str">
        <f>IF(ISNUMBER(MATCH(A60,'Calls without notes'!A:A,0)),A60,"")</f>
        <v>Foodservice: Q2’24 Private Label &amp; Volume Growth</v>
      </c>
      <c r="C60" s="48" t="s">
        <v>420</v>
      </c>
      <c r="D60" s="49">
        <v>45495</v>
      </c>
      <c r="E60" s="50"/>
    </row>
    <row r="61" spans="1:5" x14ac:dyDescent="0.2">
      <c r="A61" s="44" t="str">
        <f t="shared" si="0"/>
        <v>TTD's Inventory &amp; Demand in Q2'24</v>
      </c>
      <c r="B61" s="44" t="str">
        <f>IF(ISNUMBER(MATCH(A61,'Calls without notes'!A:A,0)),A61,"")</f>
        <v>TTD's Inventory &amp; Demand in Q2'24</v>
      </c>
      <c r="C61" s="48" t="s">
        <v>421</v>
      </c>
      <c r="D61" s="49">
        <v>45495</v>
      </c>
      <c r="E61" s="50"/>
    </row>
    <row r="62" spans="1:5" x14ac:dyDescent="0.2">
      <c r="A62" s="44" t="str">
        <f t="shared" si="0"/>
        <v>CROX &amp; YETI: Sales on Ice?</v>
      </c>
      <c r="B62" s="44" t="str">
        <f>IF(ISNUMBER(MATCH(A62,'Calls without notes'!A:A,0)),A62,"")</f>
        <v>CROX &amp; YETI: Sales on Ice?</v>
      </c>
      <c r="C62" s="48" t="s">
        <v>422</v>
      </c>
      <c r="D62" s="49">
        <v>45495</v>
      </c>
      <c r="E62" s="50"/>
    </row>
    <row r="63" spans="1:5" x14ac:dyDescent="0.2">
      <c r="A63" s="44" t="str">
        <f t="shared" si="0"/>
        <v>ABNB, Vacation Rentals &amp; Summer Demand</v>
      </c>
      <c r="B63" s="44" t="str">
        <f>IF(ISNUMBER(MATCH(A63,'Calls without notes'!A:A,0)),A63,"")</f>
        <v>ABNB, Vacation Rentals &amp; Summer Demand</v>
      </c>
      <c r="C63" s="48" t="s">
        <v>423</v>
      </c>
      <c r="D63" s="49">
        <v>45492</v>
      </c>
      <c r="E63" s="50"/>
    </row>
    <row r="64" spans="1:5" x14ac:dyDescent="0.2">
      <c r="A64" s="44" t="str">
        <f t="shared" si="0"/>
        <v>ONON, DECK &amp; NKE: Lapping Weak Results</v>
      </c>
      <c r="B64" s="44" t="str">
        <f>IF(ISNUMBER(MATCH(A64,'Calls without notes'!A:A,0)),A64,"")</f>
        <v>ONON, DECK &amp; NKE: Lapping Weak Results</v>
      </c>
      <c r="C64" s="48" t="s">
        <v>424</v>
      </c>
      <c r="D64" s="49">
        <v>45492</v>
      </c>
      <c r="E64" s="50"/>
    </row>
    <row r="65" spans="1:5" x14ac:dyDescent="0.2">
      <c r="A65" s="44" t="str">
        <f t="shared" si="0"/>
        <v>Regional Casinos: Limping into Q2?</v>
      </c>
      <c r="B65" s="44" t="str">
        <f>IF(ISNUMBER(MATCH(A65,'Calls without notes'!A:A,0)),A65,"")</f>
        <v>Regional Casinos: Limping into Q2?</v>
      </c>
      <c r="C65" s="48" t="s">
        <v>425</v>
      </c>
      <c r="D65" s="49">
        <v>45491</v>
      </c>
      <c r="E65" s="50"/>
    </row>
    <row r="66" spans="1:5" x14ac:dyDescent="0.2">
      <c r="A66" s="44" t="str">
        <f t="shared" si="0"/>
        <v>ROL, RTO LN: Exterminating the Competition?</v>
      </c>
      <c r="B66" s="44" t="str">
        <f>IF(ISNUMBER(MATCH(A66,'Calls without notes'!A:A,0)),A66,"")</f>
        <v>ROL, RTO LN: Exterminating the Competition?</v>
      </c>
      <c r="C66" s="48" t="s">
        <v>426</v>
      </c>
      <c r="D66" s="49">
        <v>45491</v>
      </c>
      <c r="E66" s="50"/>
    </row>
    <row r="67" spans="1:5" x14ac:dyDescent="0.2">
      <c r="A67" s="44" t="str">
        <f t="shared" si="0"/>
        <v>BC: Boat Demand Staying Afloat?</v>
      </c>
      <c r="B67" s="44" t="str">
        <f>IF(ISNUMBER(MATCH(A67,'Calls without notes'!A:A,0)),A67,"")</f>
        <v>BC: Boat Demand Staying Afloat?</v>
      </c>
      <c r="C67" s="48" t="s">
        <v>427</v>
      </c>
      <c r="D67" s="49">
        <v>45490</v>
      </c>
      <c r="E67" s="50"/>
    </row>
    <row r="68" spans="1:5" x14ac:dyDescent="0.2">
      <c r="A68" s="44" t="str">
        <f t="shared" si="0"/>
        <v>2Q’24 HUBS, KVYO &amp; Martech Demand</v>
      </c>
      <c r="B68" s="44" t="str">
        <f>IF(ISNUMBER(MATCH(A68,'Calls without notes'!A:A,0)),A68,"")</f>
        <v>2Q’24 HUBS, KVYO &amp; Martech Demand</v>
      </c>
      <c r="C68" s="48" t="s">
        <v>428</v>
      </c>
      <c r="D68" s="49">
        <v>45490</v>
      </c>
      <c r="E68" s="50"/>
    </row>
    <row r="69" spans="1:5" x14ac:dyDescent="0.2">
      <c r="A69" s="44" t="str">
        <f t="shared" si="0"/>
        <v>Theme Parks: Rain or Shine in Q2?</v>
      </c>
      <c r="B69" s="44" t="str">
        <f>IF(ISNUMBER(MATCH(A69,'Calls without notes'!A:A,0)),A69,"")</f>
        <v>Theme Parks: Rain or Shine in Q2?</v>
      </c>
      <c r="C69" s="48" t="s">
        <v>429</v>
      </c>
      <c r="D69" s="49">
        <v>45490</v>
      </c>
      <c r="E69" s="50"/>
    </row>
    <row r="70" spans="1:5" x14ac:dyDescent="0.2">
      <c r="A70" s="44" t="str">
        <f t="shared" si="0"/>
        <v>Residential Solar Looking a bit Cloudy?</v>
      </c>
      <c r="B70" s="44" t="str">
        <f>IF(ISNUMBER(MATCH(A70,'Calls without notes'!A:A,0)),A70,"")</f>
        <v>Residential Solar Looking a bit Cloudy?</v>
      </c>
      <c r="C70" s="48" t="s">
        <v>430</v>
      </c>
      <c r="D70" s="49">
        <v>45489</v>
      </c>
      <c r="E70" s="50"/>
    </row>
    <row r="71" spans="1:5" x14ac:dyDescent="0.2">
      <c r="A71" s="44" t="str">
        <f t="shared" si="0"/>
        <v>DDOG: Q2’24 Growth Prospects</v>
      </c>
      <c r="B71" s="44" t="str">
        <f>IF(ISNUMBER(MATCH(A71,'Calls without notes'!A:A,0)),A71,"")</f>
        <v>DDOG: Q2’24 Growth Prospects</v>
      </c>
      <c r="C71" s="48" t="s">
        <v>431</v>
      </c>
      <c r="D71" s="49">
        <v>45489</v>
      </c>
      <c r="E71" s="50"/>
    </row>
    <row r="72" spans="1:5" x14ac:dyDescent="0.2">
      <c r="A72" s="44" t="str">
        <f t="shared" si="0"/>
        <v>Has Hasbro lost the Magic?</v>
      </c>
      <c r="B72" s="44" t="str">
        <f>IF(ISNUMBER(MATCH(A72,'Calls without notes'!A:A,0)),A72,"")</f>
        <v>Has Hasbro lost the Magic?</v>
      </c>
      <c r="C72" s="48" t="s">
        <v>432</v>
      </c>
      <c r="D72" s="49">
        <v>45488</v>
      </c>
      <c r="E72" s="50"/>
    </row>
    <row r="73" spans="1:5" x14ac:dyDescent="0.2">
      <c r="A73" s="44" t="str">
        <f t="shared" si="0"/>
        <v>Diabetes Tools: Monitoring CGM &amp; Pump Demand</v>
      </c>
      <c r="B73" s="44" t="str">
        <f>IF(ISNUMBER(MATCH(A73,'Calls without notes'!A:A,0)),A73,"")</f>
        <v>Diabetes Tools: Monitoring CGM &amp; Pump Demand</v>
      </c>
      <c r="C73" s="48" t="s">
        <v>433</v>
      </c>
      <c r="D73" s="49">
        <v>45488</v>
      </c>
      <c r="E73" s="50"/>
    </row>
    <row r="74" spans="1:5" x14ac:dyDescent="0.2">
      <c r="A74" s="44" t="str">
        <f t="shared" si="0"/>
        <v>ServiceNow: Q2'24 Review w/ Elite Partner</v>
      </c>
      <c r="B74" s="44" t="str">
        <f>IF(ISNUMBER(MATCH(A74,'Calls without notes'!A:A,0)),A74,"")</f>
        <v>ServiceNow: Q2'24 Review w/ Elite Partner</v>
      </c>
      <c r="C74" s="48" t="s">
        <v>434</v>
      </c>
      <c r="D74" s="49">
        <v>45488</v>
      </c>
      <c r="E74" s="50"/>
    </row>
    <row r="75" spans="1:5" x14ac:dyDescent="0.2">
      <c r="A75" s="44" t="str">
        <f t="shared" si="0"/>
        <v>Aerospace MRO Demand in Q2'24</v>
      </c>
      <c r="B75" s="44" t="str">
        <f>IF(ISNUMBER(MATCH(A75,'Calls without notes'!A:A,0)),A75,"")</f>
        <v>Aerospace MRO Demand in Q2'24</v>
      </c>
      <c r="C75" s="48" t="s">
        <v>435</v>
      </c>
      <c r="D75" s="49">
        <v>45485</v>
      </c>
      <c r="E75" s="50"/>
    </row>
    <row r="76" spans="1:5" x14ac:dyDescent="0.2">
      <c r="A76" s="44" t="str">
        <f t="shared" si="0"/>
        <v>Trucking Demand: LTL vs TL Outlook</v>
      </c>
      <c r="B76" s="44" t="str">
        <f>IF(ISNUMBER(MATCH(A76,'Calls without notes'!A:A,0)),A76,"")</f>
        <v>Trucking Demand: LTL vs TL Outlook</v>
      </c>
      <c r="C76" s="48" t="s">
        <v>436</v>
      </c>
      <c r="D76" s="49">
        <v>45485</v>
      </c>
      <c r="E76" s="50"/>
    </row>
    <row r="77" spans="1:5" x14ac:dyDescent="0.2">
      <c r="A77" s="44" t="str">
        <f t="shared" si="0"/>
        <v>Q2'24 Social Ad Spend Shifts</v>
      </c>
      <c r="B77" s="44" t="str">
        <f>IF(ISNUMBER(MATCH(A77,'Calls without notes'!A:A,0)),A77,"")</f>
        <v>Q2'24 Social Ad Spend Shifts</v>
      </c>
      <c r="C77" s="48" t="s">
        <v>437</v>
      </c>
      <c r="D77" s="49">
        <v>45484</v>
      </c>
      <c r="E77" s="50"/>
    </row>
    <row r="78" spans="1:5" x14ac:dyDescent="0.2">
      <c r="A78" s="44" t="str">
        <f t="shared" si="0"/>
        <v>Auto Auctions Searching for Inventory</v>
      </c>
      <c r="B78" s="44" t="str">
        <f>IF(ISNUMBER(MATCH(A78,'Calls without notes'!A:A,0)),A78,"")</f>
        <v>Auto Auctions Searching for Inventory</v>
      </c>
      <c r="C78" s="48" t="s">
        <v>438</v>
      </c>
      <c r="D78" s="49">
        <v>45483</v>
      </c>
      <c r="E78" s="50"/>
    </row>
    <row r="79" spans="1:5" x14ac:dyDescent="0.2">
      <c r="A79" s="44" t="str">
        <f t="shared" si="0"/>
        <v>Q2'24 Software Update with $500M IT Integrator</v>
      </c>
      <c r="B79" s="44" t="str">
        <f>IF(ISNUMBER(MATCH(A79,'Calls without notes'!A:A,0)),A79,"")</f>
        <v>Q2'24 Software Update with $500M IT Integrator</v>
      </c>
      <c r="C79" s="48" t="s">
        <v>439</v>
      </c>
      <c r="D79" s="49">
        <v>45483</v>
      </c>
      <c r="E79" s="50"/>
    </row>
    <row r="80" spans="1:5" x14ac:dyDescent="0.2">
      <c r="A80" s="44" t="str">
        <f t="shared" si="0"/>
        <v>Macau: Summer Upswing?</v>
      </c>
      <c r="B80" s="44" t="str">
        <f>IF(ISNUMBER(MATCH(A80,'Calls without notes'!A:A,0)),A80,"")</f>
        <v>Macau: Summer Upswing?</v>
      </c>
      <c r="C80" s="48" t="s">
        <v>440</v>
      </c>
      <c r="D80" s="49">
        <v>45482</v>
      </c>
      <c r="E80" s="50"/>
    </row>
    <row r="81" spans="1:5" x14ac:dyDescent="0.2">
      <c r="A81" s="44" t="str">
        <f t="shared" si="0"/>
        <v>Q2’24 Flooring Industry Update</v>
      </c>
      <c r="B81" s="44" t="str">
        <f>IF(ISNUMBER(MATCH(A81,'Calls without notes'!A:A,0)),A81,"")</f>
        <v/>
      </c>
      <c r="C81" s="48" t="s">
        <v>441</v>
      </c>
      <c r="D81" s="49">
        <v>45482</v>
      </c>
      <c r="E81" s="50"/>
    </row>
    <row r="82" spans="1:5" x14ac:dyDescent="0.2">
      <c r="A82" s="44" t="str">
        <f t="shared" si="0"/>
        <v>French Fry Supply &amp; Demand w/ Simplot</v>
      </c>
      <c r="B82" s="44" t="str">
        <f>IF(ISNUMBER(MATCH(A82,'Calls without notes'!A:A,0)),A82,"")</f>
        <v/>
      </c>
      <c r="C82" s="48" t="s">
        <v>442</v>
      </c>
      <c r="D82" s="49">
        <v>45482</v>
      </c>
      <c r="E82" s="50"/>
    </row>
    <row r="83" spans="1:5" x14ac:dyDescent="0.2">
      <c r="A83" s="44" t="str">
        <f t="shared" si="0"/>
        <v>Q2 2024 Digital Advertising Update</v>
      </c>
      <c r="B83" s="44" t="str">
        <f>IF(ISNUMBER(MATCH(A83,'Calls without notes'!A:A,0)),A83,"")</f>
        <v>Q2 2024 Digital Advertising Update</v>
      </c>
      <c r="C83" s="48" t="s">
        <v>443</v>
      </c>
      <c r="D83" s="49">
        <v>45475</v>
      </c>
      <c r="E83" s="50"/>
    </row>
    <row r="84" spans="1:5" x14ac:dyDescent="0.2">
      <c r="A84" s="44" t="str">
        <f t="shared" si="0"/>
        <v>POOL, LESL: Summer Demand Heating Up?</v>
      </c>
      <c r="B84" s="44" t="str">
        <f>IF(ISNUMBER(MATCH(A84,'Calls without notes'!A:A,0)),A84,"")</f>
        <v>POOL, LESL: Summer Demand Heating Up?</v>
      </c>
      <c r="C84" s="48" t="s">
        <v>444</v>
      </c>
      <c r="D84" s="49">
        <v>45475</v>
      </c>
      <c r="E84" s="50"/>
    </row>
    <row r="85" spans="1:5" x14ac:dyDescent="0.2">
      <c r="A85" s="44" t="str">
        <f t="shared" si="0"/>
        <v>Q2'24 Used Autos: Where's The Supply?</v>
      </c>
      <c r="B85" s="44" t="str">
        <f>IF(ISNUMBER(MATCH(A85,'Calls without notes'!A:A,0)),A85,"")</f>
        <v>Q2'24 Used Autos: Where's The Supply?</v>
      </c>
      <c r="C85" s="48" t="s">
        <v>445</v>
      </c>
      <c r="D85" s="49">
        <v>45475</v>
      </c>
      <c r="E85" s="50"/>
    </row>
    <row r="86" spans="1:5" x14ac:dyDescent="0.2">
      <c r="A86" s="44" t="str">
        <f t="shared" si="0"/>
        <v>Is Mobile Game Demand Picking Up?</v>
      </c>
      <c r="B86" s="44" t="str">
        <f>IF(ISNUMBER(MATCH(A86,'Calls without notes'!A:A,0)),A86,"")</f>
        <v>Is Mobile Game Demand Picking Up?</v>
      </c>
      <c r="C86" s="48" t="s">
        <v>446</v>
      </c>
      <c r="D86" s="49">
        <v>45474</v>
      </c>
      <c r="E86" s="50"/>
    </row>
    <row r="87" spans="1:5" x14ac:dyDescent="0.2">
      <c r="A87" s="44" t="str">
        <f t="shared" si="0"/>
        <v>DLTR &amp; the Scenarios for Family Dollar</v>
      </c>
      <c r="B87" s="44" t="str">
        <f>IF(ISNUMBER(MATCH(A87,'Calls without notes'!A:A,0)),A87,"")</f>
        <v>DLTR &amp; the Scenarios for Family Dollar</v>
      </c>
      <c r="C87" s="48" t="s">
        <v>447</v>
      </c>
      <c r="D87" s="49">
        <v>45471</v>
      </c>
      <c r="E87" s="50"/>
    </row>
    <row r="88" spans="1:5" x14ac:dyDescent="0.2">
      <c r="A88" s="44" t="str">
        <f t="shared" si="0"/>
        <v>Home Building Demand in Q2’24</v>
      </c>
      <c r="B88" s="44" t="str">
        <f>IF(ISNUMBER(MATCH(A88,'Calls without notes'!A:A,0)),A88,"")</f>
        <v/>
      </c>
      <c r="C88" s="48" t="s">
        <v>448</v>
      </c>
      <c r="D88" s="49">
        <v>45470</v>
      </c>
      <c r="E88" s="50"/>
    </row>
    <row r="89" spans="1:5" x14ac:dyDescent="0.2">
      <c r="A89" s="44" t="str">
        <f t="shared" si="0"/>
        <v>Sports Media Rights: Winners and Losers</v>
      </c>
      <c r="B89" s="44" t="str">
        <f>IF(ISNUMBER(MATCH(A89,'Calls without notes'!A:A,0)),A89,"")</f>
        <v>Sports Media Rights: Winners and Losers</v>
      </c>
      <c r="C89" s="48" t="s">
        <v>449</v>
      </c>
      <c r="D89" s="49">
        <v>45470</v>
      </c>
      <c r="E89" s="50"/>
    </row>
    <row r="90" spans="1:5" x14ac:dyDescent="0.2">
      <c r="A90" s="44" t="str">
        <f t="shared" si="0"/>
        <v>Q2 Enterprise IT Spend Update</v>
      </c>
      <c r="B90" s="44" t="str">
        <f>IF(ISNUMBER(MATCH(A90,'Calls without notes'!A:A,0)),A90,"")</f>
        <v>Q2 Enterprise IT Spend Update</v>
      </c>
      <c r="C90" s="48" t="s">
        <v>450</v>
      </c>
      <c r="D90" s="49">
        <v>45467</v>
      </c>
      <c r="E90" s="50"/>
    </row>
    <row r="91" spans="1:5" x14ac:dyDescent="0.2">
      <c r="A91" s="44" t="str">
        <f t="shared" si="0"/>
        <v>Q2’24 CTV/OTT &amp; Digital Ad Demand</v>
      </c>
      <c r="B91" s="44" t="str">
        <f>IF(ISNUMBER(MATCH(A91,'Calls without notes'!A:A,0)),A91,"")</f>
        <v>Q2’24 CTV/OTT &amp; Digital Ad Demand</v>
      </c>
      <c r="C91" s="48" t="s">
        <v>451</v>
      </c>
      <c r="D91" s="49">
        <v>45467</v>
      </c>
      <c r="E91" s="50"/>
    </row>
    <row r="92" spans="1:5" x14ac:dyDescent="0.2">
      <c r="A92" s="44" t="str">
        <f t="shared" si="0"/>
        <v>Tobacco Demand &amp; Vape Ban Impacts</v>
      </c>
      <c r="B92" s="44" t="str">
        <f>IF(ISNUMBER(MATCH(A92,'Calls without notes'!A:A,0)),A92,"")</f>
        <v>Tobacco Demand &amp; Vape Ban Impacts</v>
      </c>
      <c r="C92" s="48" t="s">
        <v>452</v>
      </c>
      <c r="D92" s="49">
        <v>45463</v>
      </c>
      <c r="E92" s="50"/>
    </row>
    <row r="93" spans="1:5" x14ac:dyDescent="0.2">
      <c r="A93" s="44" t="str">
        <f t="shared" si="0"/>
        <v>LW: Can Volumes Recover?</v>
      </c>
      <c r="B93" s="44" t="str">
        <f>IF(ISNUMBER(MATCH(A93,'Calls without notes'!A:A,0)),A93,"")</f>
        <v/>
      </c>
      <c r="C93" s="48" t="s">
        <v>453</v>
      </c>
      <c r="D93" s="49">
        <v>45461</v>
      </c>
      <c r="E93" s="50"/>
    </row>
    <row r="94" spans="1:5" x14ac:dyDescent="0.2">
      <c r="A94" s="44" t="str">
        <f t="shared" si="0"/>
        <v>Furniture's Growing E-Comm Presence</v>
      </c>
      <c r="B94" s="44" t="str">
        <f>IF(ISNUMBER(MATCH(A94,'Calls without notes'!A:A,0)),A94,"")</f>
        <v/>
      </c>
      <c r="C94" s="48" t="s">
        <v>454</v>
      </c>
      <c r="D94" s="49">
        <v>45456</v>
      </c>
      <c r="E94" s="50"/>
    </row>
    <row r="95" spans="1:5" x14ac:dyDescent="0.2">
      <c r="A95" s="44" t="str">
        <f t="shared" si="0"/>
        <v>R&amp;R Industry Insights and Updates</v>
      </c>
      <c r="B95" s="44" t="str">
        <f>IF(ISNUMBER(MATCH(A95,'Calls without notes'!A:A,0)),A95,"")</f>
        <v>R&amp;R Industry Insights and Updates</v>
      </c>
      <c r="C95" s="48" t="s">
        <v>455</v>
      </c>
      <c r="D95" s="49">
        <v>45454</v>
      </c>
      <c r="E95" s="50"/>
    </row>
    <row r="96" spans="1:5" x14ac:dyDescent="0.2">
      <c r="A96" s="44" t="str">
        <f t="shared" si="0"/>
        <v>Utility Solar &amp; AI Power Demand</v>
      </c>
      <c r="B96" s="44" t="str">
        <f>IF(ISNUMBER(MATCH(A96,'Calls without notes'!A:A,0)),A96,"")</f>
        <v/>
      </c>
      <c r="C96" s="48" t="s">
        <v>456</v>
      </c>
      <c r="D96" s="49">
        <v>45449</v>
      </c>
      <c r="E96" s="50"/>
    </row>
    <row r="97" spans="1:5" x14ac:dyDescent="0.2">
      <c r="A97" s="44" t="str">
        <f t="shared" si="0"/>
        <v>Cruise Demand: Smooth Sailing or Rough Seas?</v>
      </c>
      <c r="B97" s="44" t="str">
        <f>IF(ISNUMBER(MATCH(A97,'Calls without notes'!A:A,0)),A97,"")</f>
        <v/>
      </c>
      <c r="C97" s="48" t="s">
        <v>457</v>
      </c>
      <c r="D97" s="49">
        <v>45447</v>
      </c>
      <c r="E97" s="50"/>
    </row>
    <row r="98" spans="1:5" x14ac:dyDescent="0.2">
      <c r="A98" s="44" t="str">
        <f t="shared" si="0"/>
        <v>Vail Resorts: Pass Sales Sliding Downhill?</v>
      </c>
      <c r="B98" s="44" t="str">
        <f>IF(ISNUMBER(MATCH(A98,'Calls without notes'!A:A,0)),A98,"")</f>
        <v>Vail Resorts: Pass Sales Sliding Downhill?</v>
      </c>
      <c r="C98" s="48" t="s">
        <v>458</v>
      </c>
      <c r="D98" s="49">
        <v>45441</v>
      </c>
      <c r="E98" s="50"/>
    </row>
    <row r="99" spans="1:5" x14ac:dyDescent="0.2">
      <c r="A99" s="44" t="str">
        <f t="shared" si="0"/>
        <v>VITL &amp; CALM: Pricing &amp; Bird Flu Impacts</v>
      </c>
      <c r="B99" s="44" t="str">
        <f>IF(ISNUMBER(MATCH(A99,'Calls without notes'!A:A,0)),A99,"")</f>
        <v>VITL &amp; CALM: Pricing &amp; Bird Flu Impacts</v>
      </c>
      <c r="C99" s="48" t="s">
        <v>459</v>
      </c>
      <c r="D99" s="49">
        <v>45440</v>
      </c>
      <c r="E99" s="50"/>
    </row>
    <row r="100" spans="1:5" x14ac:dyDescent="0.2">
      <c r="A100" s="44" t="str">
        <f t="shared" si="0"/>
        <v>Okta &amp; Q1’24 Identity Access Management Demand</v>
      </c>
      <c r="B100" s="44" t="str">
        <f>IF(ISNUMBER(MATCH(A100,'Calls without notes'!A:A,0)),A100,"")</f>
        <v>Okta &amp; Q1’24 Identity Access Management Demand</v>
      </c>
      <c r="C100" s="48" t="s">
        <v>460</v>
      </c>
      <c r="D100" s="49">
        <v>45434</v>
      </c>
      <c r="E100" s="50"/>
    </row>
    <row r="101" spans="1:5" x14ac:dyDescent="0.2">
      <c r="A101" s="44" t="str">
        <f t="shared" si="0"/>
        <v>FERG: Turning on the Demand Spigot?</v>
      </c>
      <c r="B101" s="44" t="str">
        <f>IF(ISNUMBER(MATCH(A101,'Calls without notes'!A:A,0)),A101,"")</f>
        <v>FERG: Turning on the Demand Spigot?</v>
      </c>
      <c r="C101" s="48" t="s">
        <v>461</v>
      </c>
      <c r="D101" s="49">
        <v>45434</v>
      </c>
      <c r="E101" s="50"/>
    </row>
    <row r="102" spans="1:5" x14ac:dyDescent="0.2">
      <c r="A102" s="44" t="str">
        <f t="shared" si="0"/>
        <v>Q1 Review with Salesforce Summit Partner</v>
      </c>
      <c r="B102" s="44" t="str">
        <f>IF(ISNUMBER(MATCH(A102,'Calls without notes'!A:A,0)),A102,"")</f>
        <v>Q1 Review with Salesforce Summit Partner</v>
      </c>
      <c r="C102" s="48" t="s">
        <v>462</v>
      </c>
      <c r="D102" s="49">
        <v>45429</v>
      </c>
      <c r="E102" s="50"/>
    </row>
    <row r="103" spans="1:5" x14ac:dyDescent="0.2">
      <c r="A103" s="44" t="str">
        <f t="shared" si="0"/>
        <v>2024 Beauty Growth &amp; E-Commerce Outlook</v>
      </c>
      <c r="B103" s="44" t="str">
        <f>IF(ISNUMBER(MATCH(A103,'Calls without notes'!A:A,0)),A103,"")</f>
        <v>2024 Beauty Growth &amp; E-Commerce Outlook</v>
      </c>
      <c r="C103" s="48" t="s">
        <v>463</v>
      </c>
      <c r="D103" s="49">
        <v>45428</v>
      </c>
      <c r="E103" s="50"/>
    </row>
    <row r="104" spans="1:5" x14ac:dyDescent="0.2">
      <c r="A104" s="44" t="str">
        <f t="shared" si="0"/>
        <v>Athleisure &amp; Growth Outside the Gym</v>
      </c>
      <c r="B104" s="44" t="str">
        <f>IF(ISNUMBER(MATCH(A104,'Calls without notes'!A:A,0)),A104,"")</f>
        <v>Athleisure &amp; Growth Outside the Gym</v>
      </c>
      <c r="C104" s="48" t="s">
        <v>464</v>
      </c>
      <c r="D104" s="49">
        <v>45421</v>
      </c>
      <c r="E104" s="50" t="s">
        <v>465</v>
      </c>
    </row>
    <row r="105" spans="1:5" x14ac:dyDescent="0.2">
      <c r="A105" s="44" t="str">
        <f t="shared" si="0"/>
        <v>Off-Price Retail &amp; Q1 Consumer Demand</v>
      </c>
      <c r="B105" s="44" t="str">
        <f>IF(ISNUMBER(MATCH(A105,'Calls without notes'!A:A,0)),A105,"")</f>
        <v/>
      </c>
      <c r="C105" s="48" t="s">
        <v>466</v>
      </c>
      <c r="D105" s="49">
        <v>45415</v>
      </c>
      <c r="E105" s="50"/>
    </row>
    <row r="106" spans="1:5" x14ac:dyDescent="0.2">
      <c r="A106" s="44" t="str">
        <f t="shared" si="0"/>
        <v>Coupang and the Southeast Asia E-commerce Boom</v>
      </c>
      <c r="B106" s="44" t="str">
        <f>IF(ISNUMBER(MATCH(A106,'Calls without notes'!A:A,0)),A106,"")</f>
        <v>Coupang and the Southeast Asia E-commerce Boom</v>
      </c>
      <c r="C106" s="48" t="s">
        <v>467</v>
      </c>
      <c r="D106" s="49">
        <v>45414</v>
      </c>
      <c r="E106" s="50"/>
    </row>
    <row r="107" spans="1:5" x14ac:dyDescent="0.2">
      <c r="A107" s="44" t="str">
        <f t="shared" si="0"/>
        <v>ATKR Distributor: Meeting Market Demand</v>
      </c>
      <c r="B107" s="44" t="str">
        <f>IF(ISNUMBER(MATCH(A107,'Calls without notes'!A:A,0)),A107,"")</f>
        <v/>
      </c>
      <c r="C107" s="48" t="s">
        <v>468</v>
      </c>
      <c r="D107" s="49">
        <v>45413</v>
      </c>
      <c r="E107" s="50"/>
    </row>
    <row r="108" spans="1:5" x14ac:dyDescent="0.2">
      <c r="A108" s="44" t="str">
        <f t="shared" si="0"/>
        <v>Security Software’s Q1 &amp; 2024 Growth</v>
      </c>
      <c r="B108" s="44" t="str">
        <f>IF(ISNUMBER(MATCH(A108,'Calls without notes'!A:A,0)),A108,"")</f>
        <v>Security Software’s Q1 &amp; 2024 Growth</v>
      </c>
      <c r="C108" s="48" t="s">
        <v>469</v>
      </c>
      <c r="D108" s="49">
        <v>45412</v>
      </c>
      <c r="E108" s="50"/>
    </row>
    <row r="109" spans="1:5" x14ac:dyDescent="0.2">
      <c r="A109" s="44" t="str">
        <f t="shared" si="0"/>
        <v>Q1’24 Grocery &amp; Food At Home Demand</v>
      </c>
      <c r="B109" s="44" t="str">
        <f>IF(ISNUMBER(MATCH(A109,'Calls without notes'!A:A,0)),A109,"")</f>
        <v>Q1’24 Grocery &amp; Food At Home Demand</v>
      </c>
      <c r="C109" s="48" t="s">
        <v>470</v>
      </c>
      <c r="D109" s="49">
        <v>45412</v>
      </c>
      <c r="E109" s="50"/>
    </row>
    <row r="110" spans="1:5" x14ac:dyDescent="0.2">
      <c r="A110" s="44" t="str">
        <f t="shared" si="0"/>
        <v>ABNB &amp; Vacation Rentals: Q1’24 Bookings</v>
      </c>
      <c r="B110" s="44" t="str">
        <f>IF(ISNUMBER(MATCH(A110,'Calls without notes'!A:A,0)),A110,"")</f>
        <v>ABNB &amp; Vacation Rentals: Q1’24 Bookings</v>
      </c>
      <c r="C110" s="48" t="s">
        <v>471</v>
      </c>
      <c r="D110" s="49">
        <v>45412</v>
      </c>
      <c r="E110" s="50"/>
    </row>
    <row r="111" spans="1:5" x14ac:dyDescent="0.2">
      <c r="A111" s="44" t="str">
        <f t="shared" si="0"/>
        <v>TTD &amp; Growing CTV Ad Inventories</v>
      </c>
      <c r="B111" s="44" t="str">
        <f>IF(ISNUMBER(MATCH(A111,'Calls without notes'!A:A,0)),A111,"")</f>
        <v/>
      </c>
      <c r="C111" s="48" t="s">
        <v>472</v>
      </c>
      <c r="D111" s="49">
        <v>45411</v>
      </c>
      <c r="E111" s="50"/>
    </row>
    <row r="112" spans="1:5" x14ac:dyDescent="0.2">
      <c r="A112" s="44" t="str">
        <f t="shared" si="0"/>
        <v>Q1'24 Mattresses &amp; TPX's Dominance</v>
      </c>
      <c r="B112" s="44" t="str">
        <f>IF(ISNUMBER(MATCH(A112,'Calls without notes'!A:A,0)),A112,"")</f>
        <v>Q1'24 Mattresses &amp; TPX's Dominance</v>
      </c>
      <c r="C112" s="48" t="s">
        <v>473</v>
      </c>
      <c r="D112" s="49">
        <v>45411</v>
      </c>
      <c r="E112" s="50"/>
    </row>
    <row r="113" spans="1:5" x14ac:dyDescent="0.2">
      <c r="A113" s="44" t="str">
        <f t="shared" si="0"/>
        <v>PLNT: Getting Back in Shape?</v>
      </c>
      <c r="B113" s="44" t="str">
        <f>IF(ISNUMBER(MATCH(A113,'Calls without notes'!A:A,0)),A113,"")</f>
        <v>PLNT: Getting Back in Shape?</v>
      </c>
      <c r="C113" s="48" t="s">
        <v>474</v>
      </c>
      <c r="D113" s="49">
        <v>45408</v>
      </c>
      <c r="E113" s="50"/>
    </row>
    <row r="114" spans="1:5" x14ac:dyDescent="0.2">
      <c r="A114" s="44" t="str">
        <f t="shared" si="0"/>
        <v>Wayfair: Playing House in 2H’24</v>
      </c>
      <c r="B114" s="44" t="str">
        <f>IF(ISNUMBER(MATCH(A114,'Calls without notes'!A:A,0)),A114,"")</f>
        <v/>
      </c>
      <c r="C114" s="48" t="s">
        <v>475</v>
      </c>
      <c r="D114" s="49">
        <v>45407</v>
      </c>
      <c r="E114" s="50"/>
    </row>
    <row r="115" spans="1:5" x14ac:dyDescent="0.2">
      <c r="A115" s="44" t="str">
        <f t="shared" si="0"/>
        <v>DDOG Q1 Growth &amp; AI Impacts</v>
      </c>
      <c r="B115" s="44" t="str">
        <f>IF(ISNUMBER(MATCH(A115,'Calls without notes'!A:A,0)),A115,"")</f>
        <v>DDOG Q1 Growth &amp; AI Impacts</v>
      </c>
      <c r="C115" s="48" t="s">
        <v>476</v>
      </c>
      <c r="D115" s="49">
        <v>45407</v>
      </c>
      <c r="E115" s="50"/>
    </row>
    <row r="116" spans="1:5" x14ac:dyDescent="0.2">
      <c r="A116" s="44" t="str">
        <f t="shared" si="0"/>
        <v>Q1'24 Self-Storage Growth &amp; Competition</v>
      </c>
      <c r="B116" s="44" t="str">
        <f>IF(ISNUMBER(MATCH(A116,'Calls without notes'!A:A,0)),A116,"")</f>
        <v>Q1'24 Self-Storage Growth &amp; Competition</v>
      </c>
      <c r="C116" s="48" t="s">
        <v>477</v>
      </c>
      <c r="D116" s="49">
        <v>45407</v>
      </c>
      <c r="E116" s="50"/>
    </row>
    <row r="117" spans="1:5" x14ac:dyDescent="0.2">
      <c r="A117" s="44" t="str">
        <f t="shared" si="0"/>
        <v>Foodservice Distribution &amp; Restaurant Volumes – Q1’24</v>
      </c>
      <c r="B117" s="44" t="str">
        <f>IF(ISNUMBER(MATCH(A117,'Calls without notes'!A:A,0)),A117,"")</f>
        <v>Foodservice Distribution &amp; Restaurant Volumes – Q1’24</v>
      </c>
      <c r="C117" s="48" t="s">
        <v>478</v>
      </c>
      <c r="D117" s="49">
        <v>45405</v>
      </c>
      <c r="E117" s="50"/>
    </row>
    <row r="118" spans="1:5" x14ac:dyDescent="0.2">
      <c r="A118" s="44" t="str">
        <f t="shared" si="0"/>
        <v>ZoomInfo: Time to Get in Contact?</v>
      </c>
      <c r="B118" s="44" t="str">
        <f>IF(ISNUMBER(MATCH(A118,'Calls without notes'!A:A,0)),A118,"")</f>
        <v>ZoomInfo: Time to Get in Contact?</v>
      </c>
      <c r="C118" s="48" t="s">
        <v>479</v>
      </c>
      <c r="D118" s="49">
        <v>45404</v>
      </c>
      <c r="E118" s="50"/>
    </row>
    <row r="119" spans="1:5" x14ac:dyDescent="0.2">
      <c r="A119" s="44" t="str">
        <f t="shared" si="0"/>
        <v>ONON, DECK &amp; NKE: Time for a Run?</v>
      </c>
      <c r="B119" s="44" t="str">
        <f>IF(ISNUMBER(MATCH(A119,'Calls without notes'!A:A,0)),A119,"")</f>
        <v>ONON, DECK &amp; NKE: Time for a Run?</v>
      </c>
      <c r="C119" s="48" t="s">
        <v>480</v>
      </c>
      <c r="D119" s="49">
        <v>45401</v>
      </c>
      <c r="E119" s="50"/>
    </row>
    <row r="120" spans="1:5" x14ac:dyDescent="0.2">
      <c r="A120" s="44" t="str">
        <f t="shared" si="0"/>
        <v>APPF: Customer Insights</v>
      </c>
      <c r="B120" s="44" t="str">
        <f>IF(ISNUMBER(MATCH(A120,'Calls without notes'!A:A,0)),A120,"")</f>
        <v/>
      </c>
      <c r="C120" s="48" t="s">
        <v>481</v>
      </c>
      <c r="D120" s="49">
        <v>45401</v>
      </c>
      <c r="E120" s="50"/>
    </row>
    <row r="121" spans="1:5" x14ac:dyDescent="0.2">
      <c r="A121" s="44" t="str">
        <f t="shared" si="0"/>
        <v>Building Product Demand in Q1’24</v>
      </c>
      <c r="B121" s="44" t="str">
        <f>IF(ISNUMBER(MATCH(A121,'Calls without notes'!A:A,0)),A121,"")</f>
        <v/>
      </c>
      <c r="C121" s="48" t="s">
        <v>482</v>
      </c>
      <c r="D121" s="49">
        <v>45401</v>
      </c>
      <c r="E121" s="50"/>
    </row>
    <row r="122" spans="1:5" x14ac:dyDescent="0.2">
      <c r="A122" s="44" t="str">
        <f t="shared" si="0"/>
        <v>CROX &amp; YETI: Cooling Off?</v>
      </c>
      <c r="B122" s="44" t="str">
        <f>IF(ISNUMBER(MATCH(A122,'Calls without notes'!A:A,0)),A122,"")</f>
        <v/>
      </c>
      <c r="C122" s="48" t="s">
        <v>483</v>
      </c>
      <c r="D122" s="49">
        <v>45400</v>
      </c>
      <c r="E122" s="50"/>
    </row>
    <row r="123" spans="1:5" x14ac:dyDescent="0.2">
      <c r="A123" s="44" t="str">
        <f t="shared" si="0"/>
        <v>Theme Parks: New Rides, Weather &amp; Outlook</v>
      </c>
      <c r="B123" s="44" t="str">
        <f>IF(ISNUMBER(MATCH(A123,'Calls without notes'!A:A,0)),A123,"")</f>
        <v>Theme Parks: New Rides, Weather &amp; Outlook</v>
      </c>
      <c r="C123" s="48" t="s">
        <v>484</v>
      </c>
      <c r="D123" s="49">
        <v>45400</v>
      </c>
      <c r="E123" s="50"/>
    </row>
    <row r="124" spans="1:5" x14ac:dyDescent="0.2">
      <c r="A124" s="44" t="str">
        <f t="shared" si="0"/>
        <v>BC: Hitting the Water in Q1'24</v>
      </c>
      <c r="B124" s="44" t="str">
        <f>IF(ISNUMBER(MATCH(A124,'Calls without notes'!A:A,0)),A124,"")</f>
        <v>BC: Hitting the Water in Q1'24</v>
      </c>
      <c r="C124" s="48" t="s">
        <v>485</v>
      </c>
      <c r="D124" s="49">
        <v>45400</v>
      </c>
      <c r="E124" s="50"/>
    </row>
    <row r="125" spans="1:5" x14ac:dyDescent="0.2">
      <c r="A125" s="44" t="str">
        <f t="shared" si="0"/>
        <v>Oil Changes &amp; Car Washes Q1'24</v>
      </c>
      <c r="B125" s="44" t="str">
        <f>IF(ISNUMBER(MATCH(A125,'Calls without notes'!A:A,0)),A125,"")</f>
        <v>Oil Changes &amp; Car Washes Q1'24</v>
      </c>
      <c r="C125" s="48" t="s">
        <v>486</v>
      </c>
      <c r="D125" s="49">
        <v>45399</v>
      </c>
      <c r="E125" s="50"/>
    </row>
    <row r="126" spans="1:5" x14ac:dyDescent="0.2">
      <c r="A126" s="44" t="str">
        <f t="shared" si="0"/>
        <v>Q1’24 HUBS, KVYO &amp; Marketing Software Demand</v>
      </c>
      <c r="B126" s="44" t="str">
        <f>IF(ISNUMBER(MATCH(A126,'Calls without notes'!A:A,0)),A126,"")</f>
        <v>Q1’24 HUBS, KVYO &amp; Marketing Software Demand</v>
      </c>
      <c r="C126" s="48" t="s">
        <v>487</v>
      </c>
      <c r="D126" s="49">
        <v>45399</v>
      </c>
      <c r="E126" s="50"/>
    </row>
    <row r="127" spans="1:5" x14ac:dyDescent="0.2">
      <c r="A127" s="44" t="str">
        <f t="shared" si="0"/>
        <v>MHK: Is the Floor In?</v>
      </c>
      <c r="B127" s="44" t="str">
        <f>IF(ISNUMBER(MATCH(A127,'Calls without notes'!A:A,0)),A127,"")</f>
        <v/>
      </c>
      <c r="C127" s="48" t="s">
        <v>488</v>
      </c>
      <c r="D127" s="49">
        <v>45399</v>
      </c>
      <c r="E127" s="50"/>
    </row>
    <row r="128" spans="1:5" x14ac:dyDescent="0.2">
      <c r="A128" s="44" t="str">
        <f t="shared" si="0"/>
        <v>Regional Casinos: Get Your Bets In?</v>
      </c>
      <c r="B128" s="44" t="str">
        <f>IF(ISNUMBER(MATCH(A128,'Calls without notes'!A:A,0)),A128,"")</f>
        <v/>
      </c>
      <c r="C128" s="48" t="s">
        <v>489</v>
      </c>
      <c r="D128" s="49">
        <v>45398</v>
      </c>
      <c r="E128" s="50"/>
    </row>
    <row r="129" spans="1:5" x14ac:dyDescent="0.2">
      <c r="A129" s="44" t="str">
        <f t="shared" si="0"/>
        <v>Streaming Music &amp; the Search for Profitability</v>
      </c>
      <c r="B129" s="44" t="str">
        <f>IF(ISNUMBER(MATCH(A129,'Calls without notes'!A:A,0)),A129,"")</f>
        <v>Streaming Music &amp; the Search for Profitability</v>
      </c>
      <c r="C129" s="48" t="s">
        <v>490</v>
      </c>
      <c r="D129" s="49">
        <v>45398</v>
      </c>
      <c r="E129" s="50"/>
    </row>
    <row r="130" spans="1:5" x14ac:dyDescent="0.2">
      <c r="A130" s="44" t="str">
        <f t="shared" si="0"/>
        <v>2024 Solar: Is the Sun Shining Yet?</v>
      </c>
      <c r="B130" s="44" t="str">
        <f>IF(ISNUMBER(MATCH(A130,'Calls without notes'!A:A,0)),A130,"")</f>
        <v>2024 Solar: Is the Sun Shining Yet?</v>
      </c>
      <c r="C130" s="48" t="s">
        <v>491</v>
      </c>
      <c r="D130" s="49">
        <v>45397</v>
      </c>
      <c r="E130" s="50"/>
    </row>
    <row r="131" spans="1:5" x14ac:dyDescent="0.2">
      <c r="A131" s="44" t="str">
        <f t="shared" si="0"/>
        <v>ROL, RTO LN &amp; Q1’24 Pest Control Demand</v>
      </c>
      <c r="B131" s="44" t="str">
        <f>IF(ISNUMBER(MATCH(A131,'Calls without notes'!A:A,0)),A131,"")</f>
        <v>ROL, RTO LN &amp; Q1’24 Pest Control Demand</v>
      </c>
      <c r="C131" s="48" t="s">
        <v>492</v>
      </c>
      <c r="D131" s="49">
        <v>45394</v>
      </c>
      <c r="E131" s="50"/>
    </row>
    <row r="132" spans="1:5" x14ac:dyDescent="0.2">
      <c r="A132" s="44" t="str">
        <f t="shared" si="0"/>
        <v>Q1'24 Software Update with Large IT Integrator</v>
      </c>
      <c r="B132" s="44" t="str">
        <f>IF(ISNUMBER(MATCH(A132,'Calls without notes'!A:A,0)),A132,"")</f>
        <v>Q1'24 Software Update with Large IT Integrator</v>
      </c>
      <c r="C132" s="48" t="s">
        <v>493</v>
      </c>
      <c r="D132" s="49">
        <v>45392</v>
      </c>
      <c r="E132" s="50"/>
    </row>
    <row r="133" spans="1:5" x14ac:dyDescent="0.2">
      <c r="A133" s="44" t="str">
        <f t="shared" si="0"/>
        <v>Macau: Year of the Dragon</v>
      </c>
      <c r="B133" s="44" t="str">
        <f>IF(ISNUMBER(MATCH(A133,'Calls without notes'!A:A,0)),A133,"")</f>
        <v/>
      </c>
      <c r="C133" s="48" t="s">
        <v>494</v>
      </c>
      <c r="D133" s="49">
        <v>45392</v>
      </c>
      <c r="E133" s="50"/>
    </row>
    <row r="134" spans="1:5" x14ac:dyDescent="0.2">
      <c r="A134" s="44" t="str">
        <f t="shared" si="0"/>
        <v>Engagement Rings: Still Shining?</v>
      </c>
      <c r="B134" s="44" t="str">
        <f>IF(ISNUMBER(MATCH(A134,'Calls without notes'!A:A,0)),A134,"")</f>
        <v/>
      </c>
      <c r="C134" s="48" t="s">
        <v>495</v>
      </c>
      <c r="D134" s="49">
        <v>45391</v>
      </c>
      <c r="E134" s="50"/>
    </row>
    <row r="135" spans="1:5" x14ac:dyDescent="0.2">
      <c r="A135" s="44" t="str">
        <f t="shared" si="0"/>
        <v>2024 Cloud Consumption: AI &amp; Other Demand</v>
      </c>
      <c r="B135" s="44" t="str">
        <f>IF(ISNUMBER(MATCH(A135,'Calls without notes'!A:A,0)),A135,"")</f>
        <v>2024 Cloud Consumption: AI &amp; Other Demand</v>
      </c>
      <c r="C135" s="48" t="s">
        <v>496</v>
      </c>
      <c r="D135" s="49">
        <v>45390</v>
      </c>
      <c r="E135" s="50"/>
    </row>
    <row r="136" spans="1:5" x14ac:dyDescent="0.2">
      <c r="A136" s="44" t="str">
        <f t="shared" si="0"/>
        <v>Shipping Rates &amp; the Red Sea Debacle</v>
      </c>
      <c r="B136" s="44" t="str">
        <f>IF(ISNUMBER(MATCH(A136,'Calls without notes'!A:A,0)),A136,"")</f>
        <v>Shipping Rates &amp; the Red Sea Debacle</v>
      </c>
      <c r="C136" s="48" t="s">
        <v>497</v>
      </c>
      <c r="D136" s="49">
        <v>45385</v>
      </c>
      <c r="E136" s="50"/>
    </row>
    <row r="137" spans="1:5" x14ac:dyDescent="0.2">
      <c r="A137" s="44" t="str">
        <f t="shared" si="0"/>
        <v>Q1 2024 Digital Advertising Update</v>
      </c>
      <c r="B137" s="44" t="str">
        <f>IF(ISNUMBER(MATCH(A137,'Calls without notes'!A:A,0)),A137,"")</f>
        <v>Q1 2024 Digital Advertising Update</v>
      </c>
      <c r="C137" s="48" t="s">
        <v>498</v>
      </c>
      <c r="D137" s="49">
        <v>45384</v>
      </c>
      <c r="E137" s="50"/>
    </row>
    <row r="138" spans="1:5" x14ac:dyDescent="0.2">
      <c r="A138" s="44" t="str">
        <f t="shared" si="0"/>
        <v>POOL, LESL: Lapping a Weak 2023</v>
      </c>
      <c r="B138" s="44" t="str">
        <f>IF(ISNUMBER(MATCH(A138,'Calls without notes'!A:A,0)),A138,"")</f>
        <v>POOL, LESL: Lapping a Weak 2023</v>
      </c>
      <c r="C138" s="48" t="s">
        <v>499</v>
      </c>
      <c r="D138" s="49">
        <v>45384</v>
      </c>
      <c r="E138" s="50"/>
    </row>
    <row r="139" spans="1:5" x14ac:dyDescent="0.2">
      <c r="A139" s="44" t="str">
        <f t="shared" si="0"/>
        <v>F1: Ready to Race?</v>
      </c>
      <c r="B139" s="44" t="str">
        <f>IF(ISNUMBER(MATCH(A139,'Calls without notes'!A:A,0)),A139,"")</f>
        <v/>
      </c>
      <c r="C139" s="48" t="s">
        <v>500</v>
      </c>
      <c r="D139" s="49">
        <v>45379</v>
      </c>
      <c r="E139" s="50"/>
    </row>
    <row r="140" spans="1:5" x14ac:dyDescent="0.2">
      <c r="A140" s="44" t="str">
        <f t="shared" si="0"/>
        <v>Q1’24 CTV/OTT &amp; Digital Ad Demand</v>
      </c>
      <c r="B140" s="44" t="str">
        <f>IF(ISNUMBER(MATCH(A140,'Calls without notes'!A:A,0)),A140,"")</f>
        <v/>
      </c>
      <c r="C140" s="48" t="s">
        <v>501</v>
      </c>
      <c r="D140" s="49">
        <v>45378</v>
      </c>
      <c r="E140" s="50"/>
    </row>
    <row r="141" spans="1:5" x14ac:dyDescent="0.2">
      <c r="A141" s="44" t="str">
        <f t="shared" si="0"/>
        <v>Diabetes Tools: CGM &amp; Insulin Pump Demand</v>
      </c>
      <c r="B141" s="44" t="str">
        <f>IF(ISNUMBER(MATCH(A141,'Calls without notes'!A:A,0)),A141,"")</f>
        <v>Diabetes Tools: CGM &amp; Insulin Pump Demand</v>
      </c>
      <c r="C141" s="48" t="s">
        <v>502</v>
      </c>
      <c r="D141" s="49">
        <v>45377</v>
      </c>
      <c r="E141" s="50"/>
    </row>
    <row r="142" spans="1:5" x14ac:dyDescent="0.2">
      <c r="A142" s="44" t="str">
        <f t="shared" si="0"/>
        <v>Luxury Fashion Insights with CEO of Erdem</v>
      </c>
      <c r="B142" s="44" t="str">
        <f>IF(ISNUMBER(MATCH(A142,'Calls without notes'!A:A,0)),A142,"")</f>
        <v>Luxury Fashion Insights with CEO of Erdem</v>
      </c>
      <c r="C142" s="48" t="s">
        <v>503</v>
      </c>
      <c r="D142" s="49">
        <v>45377</v>
      </c>
      <c r="E142" s="50"/>
    </row>
    <row r="143" spans="1:5" x14ac:dyDescent="0.2">
      <c r="A143" s="44" t="str">
        <f t="shared" si="0"/>
        <v>Data Center Demand Outlook</v>
      </c>
      <c r="B143" s="44" t="str">
        <f>IF(ISNUMBER(MATCH(A143,'Calls without notes'!A:A,0)),A143,"")</f>
        <v>Data Center Demand Outlook</v>
      </c>
      <c r="C143" s="48" t="s">
        <v>504</v>
      </c>
      <c r="D143" s="49">
        <v>45372</v>
      </c>
      <c r="E143" s="50"/>
    </row>
    <row r="144" spans="1:5" x14ac:dyDescent="0.2">
      <c r="A144" s="44" t="str">
        <f t="shared" si="0"/>
        <v>Repair &amp; Remodel Industry Update</v>
      </c>
      <c r="B144" s="44" t="str">
        <f>IF(ISNUMBER(MATCH(A144,'Calls without notes'!A:A,0)),A144,"")</f>
        <v/>
      </c>
      <c r="C144" s="48" t="s">
        <v>505</v>
      </c>
      <c r="D144" s="49">
        <v>45372</v>
      </c>
      <c r="E144" s="50"/>
    </row>
    <row r="145" spans="1:5" x14ac:dyDescent="0.2">
      <c r="A145" s="44" t="str">
        <f t="shared" si="0"/>
        <v>LKNCY, SBUX: Coffee Growth in Asia</v>
      </c>
      <c r="B145" s="44" t="str">
        <f>IF(ISNUMBER(MATCH(A145,'Calls without notes'!A:A,0)),A145,"")</f>
        <v>LKNCY, SBUX: Coffee Growth in Asia</v>
      </c>
      <c r="C145" s="48" t="s">
        <v>506</v>
      </c>
      <c r="D145" s="49">
        <v>45370</v>
      </c>
      <c r="E145" s="50"/>
    </row>
    <row r="146" spans="1:5" x14ac:dyDescent="0.2">
      <c r="A146" s="44" t="str">
        <f t="shared" si="0"/>
        <v>Semiconductors &amp; Specialty Chemical Demand</v>
      </c>
      <c r="B146" s="44" t="str">
        <f>IF(ISNUMBER(MATCH(A146,'Calls without notes'!A:A,0)),A146,"")</f>
        <v>Semiconductors &amp; Specialty Chemical Demand</v>
      </c>
      <c r="C146" s="48" t="s">
        <v>507</v>
      </c>
      <c r="D146" s="49">
        <v>45357</v>
      </c>
      <c r="E146" s="50"/>
    </row>
    <row r="147" spans="1:5" x14ac:dyDescent="0.2">
      <c r="A147" s="44" t="str">
        <f t="shared" si="0"/>
        <v>LW: Major Concerns or Small Potatoes?</v>
      </c>
      <c r="B147" s="44" t="str">
        <f>IF(ISNUMBER(MATCH(A147,'Calls without notes'!A:A,0)),A147,"")</f>
        <v/>
      </c>
      <c r="C147" s="48" t="s">
        <v>508</v>
      </c>
      <c r="D147" s="49">
        <v>45356</v>
      </c>
      <c r="E147" s="50"/>
    </row>
    <row r="148" spans="1:5" x14ac:dyDescent="0.2">
      <c r="A148" s="44" t="str">
        <f t="shared" si="0"/>
        <v>Home Building Demand &amp; 2024 Rate Cuts</v>
      </c>
      <c r="B148" s="44" t="str">
        <f>IF(ISNUMBER(MATCH(A148,'Calls without notes'!A:A,0)),A148,"")</f>
        <v>Home Building Demand &amp; 2024 Rate Cuts</v>
      </c>
      <c r="C148" s="48" t="s">
        <v>509</v>
      </c>
      <c r="D148" s="49">
        <v>45350</v>
      </c>
      <c r="E148" s="50"/>
    </row>
    <row r="149" spans="1:5" x14ac:dyDescent="0.2">
      <c r="A149" s="44" t="str">
        <f t="shared" si="0"/>
        <v>Luxury Fashion Coming Back in 2024?</v>
      </c>
      <c r="B149" s="44" t="str">
        <f>IF(ISNUMBER(MATCH(A149,'Calls without notes'!A:A,0)),A149,"")</f>
        <v>Luxury Fashion Coming Back in 2024?</v>
      </c>
      <c r="C149" s="48" t="s">
        <v>510</v>
      </c>
      <c r="D149" s="49">
        <v>45348</v>
      </c>
      <c r="E149" s="50"/>
    </row>
    <row r="150" spans="1:5" x14ac:dyDescent="0.2">
      <c r="A150" s="44" t="str">
        <f t="shared" si="0"/>
        <v>FERG’s Demand Leakage</v>
      </c>
      <c r="B150" s="44" t="str">
        <f>IF(ISNUMBER(MATCH(A150,'Calls without notes'!A:A,0)),A150,"")</f>
        <v>FERG’s Demand Leakage</v>
      </c>
      <c r="C150" s="48" t="s">
        <v>511</v>
      </c>
      <c r="D150" s="49">
        <v>45345</v>
      </c>
      <c r="E150" s="50"/>
    </row>
    <row r="151" spans="1:5" x14ac:dyDescent="0.2">
      <c r="A151" s="44" t="str">
        <f t="shared" si="0"/>
        <v>Navigating Salesforce’s Trajectory</v>
      </c>
      <c r="B151" s="44" t="str">
        <f>IF(ISNUMBER(MATCH(A151,'Calls without notes'!A:A,0)),A151,"")</f>
        <v/>
      </c>
      <c r="C151" s="48" t="s">
        <v>512</v>
      </c>
      <c r="D151" s="49">
        <v>45344</v>
      </c>
      <c r="E151" s="50"/>
    </row>
    <row r="152" spans="1:5" x14ac:dyDescent="0.2">
      <c r="A152" s="44" t="str">
        <f t="shared" si="0"/>
        <v>MTN: More Snow, More Skiers?</v>
      </c>
      <c r="B152" s="44" t="str">
        <f>IF(ISNUMBER(MATCH(A152,'Calls without notes'!A:A,0)),A152,"")</f>
        <v>MTN: More Snow, More Skiers?</v>
      </c>
      <c r="C152" s="48" t="s">
        <v>513</v>
      </c>
      <c r="D152" s="49">
        <v>45343</v>
      </c>
      <c r="E152" s="50"/>
    </row>
    <row r="153" spans="1:5" x14ac:dyDescent="0.2">
      <c r="A153" s="44" t="str">
        <f t="shared" si="0"/>
        <v>Auto Sales &amp; Marketing: New Inventory Coming</v>
      </c>
      <c r="B153" s="44" t="str">
        <f>IF(ISNUMBER(MATCH(A153,'Calls without notes'!A:A,0)),A153,"")</f>
        <v>Auto Sales &amp; Marketing: New Inventory Coming</v>
      </c>
      <c r="C153" s="48" t="s">
        <v>514</v>
      </c>
      <c r="D153" s="49">
        <v>45342</v>
      </c>
      <c r="E153" s="50"/>
    </row>
    <row r="154" spans="1:5" x14ac:dyDescent="0.2">
      <c r="A154" s="44" t="str">
        <f t="shared" si="0"/>
        <v>IP &amp; Oversupply of Containerboard?</v>
      </c>
      <c r="B154" s="44" t="str">
        <f>IF(ISNUMBER(MATCH(A154,'Calls without notes'!A:A,0)),A154,"")</f>
        <v/>
      </c>
      <c r="C154" s="48" t="s">
        <v>515</v>
      </c>
      <c r="D154" s="49">
        <v>45342</v>
      </c>
      <c r="E154" s="50"/>
    </row>
    <row r="155" spans="1:5" x14ac:dyDescent="0.2">
      <c r="A155" s="44" t="str">
        <f t="shared" si="0"/>
        <v>PLNT: New Year, New Growth, New Sign-Ups</v>
      </c>
      <c r="B155" s="44" t="str">
        <f>IF(ISNUMBER(MATCH(A155,'Calls without notes'!A:A,0)),A155,"")</f>
        <v>PLNT: New Year, New Growth, New Sign-Ups</v>
      </c>
      <c r="C155" s="48" t="s">
        <v>516</v>
      </c>
      <c r="D155" s="49">
        <v>45337</v>
      </c>
      <c r="E155" s="50"/>
    </row>
    <row r="156" spans="1:5" x14ac:dyDescent="0.2">
      <c r="A156" s="44" t="str">
        <f t="shared" si="0"/>
        <v>2024 High End Furniture Outlook</v>
      </c>
      <c r="B156" s="44" t="str">
        <f>IF(ISNUMBER(MATCH(A156,'Calls without notes'!A:A,0)),A156,"")</f>
        <v>2024 High End Furniture Outlook</v>
      </c>
      <c r="C156" s="48" t="s">
        <v>517</v>
      </c>
      <c r="D156" s="49">
        <v>45337</v>
      </c>
      <c r="E156" s="50"/>
    </row>
    <row r="157" spans="1:5" x14ac:dyDescent="0.2">
      <c r="A157" s="44" t="str">
        <f t="shared" si="0"/>
        <v>Grocery Retail: Price Check in 2024</v>
      </c>
      <c r="B157" s="44" t="str">
        <f>IF(ISNUMBER(MATCH(A157,'Calls without notes'!A:A,0)),A157,"")</f>
        <v/>
      </c>
      <c r="C157" s="48" t="s">
        <v>518</v>
      </c>
      <c r="D157" s="49">
        <v>45335</v>
      </c>
      <c r="E157" s="50"/>
    </row>
    <row r="158" spans="1:5" x14ac:dyDescent="0.2">
      <c r="A158" s="44" t="str">
        <f t="shared" si="0"/>
        <v>CROX &amp; YETI: Fade the Fad?</v>
      </c>
      <c r="B158" s="44" t="str">
        <f>IF(ISNUMBER(MATCH(A158,'Calls without notes'!A:A,0)),A158,"")</f>
        <v/>
      </c>
      <c r="C158" s="48" t="s">
        <v>519</v>
      </c>
      <c r="D158" s="49">
        <v>45334</v>
      </c>
      <c r="E158" s="50"/>
    </row>
    <row r="159" spans="1:5" x14ac:dyDescent="0.2">
      <c r="A159" s="44" t="str">
        <f t="shared" si="0"/>
        <v>ROL, RTO LN &amp; 2024 Pest Control</v>
      </c>
      <c r="B159" s="44" t="str">
        <f>IF(ISNUMBER(MATCH(A159,'Calls without notes'!A:A,0)),A159,"")</f>
        <v>ROL, RTO LN &amp; 2024 Pest Control</v>
      </c>
      <c r="C159" s="48" t="s">
        <v>520</v>
      </c>
      <c r="D159" s="49">
        <v>45334</v>
      </c>
      <c r="E159" s="50"/>
    </row>
    <row r="160" spans="1:5" x14ac:dyDescent="0.2">
      <c r="A160" s="44" t="str">
        <f t="shared" si="0"/>
        <v>2024 Data Storage Outlook</v>
      </c>
      <c r="B160" s="44" t="str">
        <f>IF(ISNUMBER(MATCH(A160,'Calls without notes'!A:A,0)),A160,"")</f>
        <v>2024 Data Storage Outlook</v>
      </c>
      <c r="C160" s="48" t="s">
        <v>521</v>
      </c>
      <c r="D160" s="49">
        <v>45334</v>
      </c>
      <c r="E160" s="50"/>
    </row>
    <row r="161" spans="1:5" x14ac:dyDescent="0.2">
      <c r="A161" s="44" t="str">
        <f t="shared" si="0"/>
        <v>2024 Beauty Brands and Retail Outlook</v>
      </c>
      <c r="B161" s="44" t="str">
        <f>IF(ISNUMBER(MATCH(A161,'Calls without notes'!A:A,0)),A161,"")</f>
        <v/>
      </c>
      <c r="C161" s="48" t="s">
        <v>522</v>
      </c>
      <c r="D161" s="49">
        <v>45331</v>
      </c>
      <c r="E161" s="50"/>
    </row>
    <row r="162" spans="1:5" x14ac:dyDescent="0.2">
      <c r="A162" s="44" t="str">
        <f t="shared" si="0"/>
        <v>Off-Price Retail: Strong Close Out to 2023?</v>
      </c>
      <c r="B162" s="44" t="str">
        <f>IF(ISNUMBER(MATCH(A162,'Calls without notes'!A:A,0)),A162,"")</f>
        <v/>
      </c>
      <c r="C162" s="48" t="s">
        <v>523</v>
      </c>
      <c r="D162" s="49">
        <v>45331</v>
      </c>
      <c r="E162" s="50"/>
    </row>
    <row r="163" spans="1:5" x14ac:dyDescent="0.2">
      <c r="A163" s="44" t="str">
        <f t="shared" si="0"/>
        <v>CTV/OTT: Here Come the Ads</v>
      </c>
      <c r="B163" s="44" t="str">
        <f>IF(ISNUMBER(MATCH(A163,'Calls without notes'!A:A,0)),A163,"")</f>
        <v>CTV/OTT: Here Come the Ads</v>
      </c>
      <c r="C163" s="48" t="s">
        <v>524</v>
      </c>
      <c r="D163" s="49">
        <v>45330</v>
      </c>
      <c r="E163" s="50"/>
    </row>
    <row r="164" spans="1:5" x14ac:dyDescent="0.2">
      <c r="A164" s="44" t="str">
        <f t="shared" si="0"/>
        <v>TWLO &amp; 2024 CPaaS Growth</v>
      </c>
      <c r="B164" s="44" t="str">
        <f>IF(ISNUMBER(MATCH(A164,'Calls without notes'!A:A,0)),A164,"")</f>
        <v>TWLO &amp; 2024 CPaaS Growth</v>
      </c>
      <c r="C164" s="48" t="s">
        <v>525</v>
      </c>
      <c r="D164" s="49">
        <v>45329</v>
      </c>
      <c r="E164" s="50"/>
    </row>
    <row r="165" spans="1:5" x14ac:dyDescent="0.2">
      <c r="A165" s="44" t="str">
        <f t="shared" si="0"/>
        <v>TTD &amp; DSPs - At A Crossroads in 2024</v>
      </c>
      <c r="B165" s="44" t="str">
        <f>IF(ISNUMBER(MATCH(A165,'Calls without notes'!A:A,0)),A165,"")</f>
        <v/>
      </c>
      <c r="C165" s="48" t="s">
        <v>526</v>
      </c>
      <c r="D165" s="49">
        <v>45327</v>
      </c>
      <c r="E165" s="50"/>
    </row>
    <row r="166" spans="1:5" x14ac:dyDescent="0.2">
      <c r="A166" s="44" t="str">
        <f t="shared" si="0"/>
        <v>TPX Waking Up in 2024?</v>
      </c>
      <c r="B166" s="44" t="str">
        <f>IF(ISNUMBER(MATCH(A166,'Calls without notes'!A:A,0)),A166,"")</f>
        <v/>
      </c>
      <c r="C166" s="48" t="s">
        <v>527</v>
      </c>
      <c r="D166" s="49">
        <v>45324</v>
      </c>
      <c r="E166" s="50"/>
    </row>
    <row r="167" spans="1:5" x14ac:dyDescent="0.2">
      <c r="A167" s="44" t="str">
        <f t="shared" si="0"/>
        <v>Wayfair: Furnishing 2024</v>
      </c>
      <c r="B167" s="44" t="str">
        <f>IF(ISNUMBER(MATCH(A167,'Calls without notes'!A:A,0)),A167,"")</f>
        <v/>
      </c>
      <c r="C167" s="48" t="s">
        <v>528</v>
      </c>
      <c r="D167" s="49">
        <v>45323</v>
      </c>
      <c r="E167" s="50"/>
    </row>
    <row r="168" spans="1:5" x14ac:dyDescent="0.2">
      <c r="A168" s="44" t="str">
        <f t="shared" si="0"/>
        <v>HUBS, KVYO &amp; Marketing Software Demand</v>
      </c>
      <c r="B168" s="44" t="str">
        <f>IF(ISNUMBER(MATCH(A168,'Calls without notes'!A:A,0)),A168,"")</f>
        <v>HUBS, KVYO &amp; Marketing Software Demand</v>
      </c>
      <c r="C168" s="48" t="s">
        <v>529</v>
      </c>
      <c r="D168" s="49">
        <v>45323</v>
      </c>
      <c r="E168" s="50"/>
    </row>
    <row r="169" spans="1:5" x14ac:dyDescent="0.2">
      <c r="A169" s="44" t="str">
        <f t="shared" si="0"/>
        <v>Theme Parks Take a Ride in 2024?</v>
      </c>
      <c r="B169" s="44" t="str">
        <f>IF(ISNUMBER(MATCH(A169,'Calls without notes'!A:A,0)),A169,"")</f>
        <v>Theme Parks Take a Ride in 2024?</v>
      </c>
      <c r="C169" s="48" t="s">
        <v>530</v>
      </c>
      <c r="D169" s="49">
        <v>45321</v>
      </c>
      <c r="E169" s="50"/>
    </row>
    <row r="170" spans="1:5" x14ac:dyDescent="0.2">
      <c r="A170" s="44" t="str">
        <f t="shared" si="0"/>
        <v>Atkore and the 2024 Demand Pipeline</v>
      </c>
      <c r="B170" s="44" t="str">
        <f>IF(ISNUMBER(MATCH(A170,'Calls without notes'!A:A,0)),A170,"")</f>
        <v/>
      </c>
      <c r="C170" s="48" t="s">
        <v>531</v>
      </c>
      <c r="D170" s="49">
        <v>45320</v>
      </c>
      <c r="E170" s="50"/>
    </row>
    <row r="171" spans="1:5" x14ac:dyDescent="0.2">
      <c r="A171" s="44" t="str">
        <f t="shared" si="0"/>
        <v>ONON, DECK &amp; NKE: Getting On Track in 2024?</v>
      </c>
      <c r="B171" s="44" t="str">
        <f>IF(ISNUMBER(MATCH(A171,'Calls without notes'!A:A,0)),A171,"")</f>
        <v>ONON, DECK &amp; NKE: Getting On Track in 2024?</v>
      </c>
      <c r="C171" s="48" t="s">
        <v>532</v>
      </c>
      <c r="D171" s="49">
        <v>45317</v>
      </c>
      <c r="E171" s="50"/>
    </row>
    <row r="172" spans="1:5" x14ac:dyDescent="0.2">
      <c r="A172" s="44" t="str">
        <f t="shared" si="0"/>
        <v>Foodservice Distribution &amp; Case Volumes in 2024</v>
      </c>
      <c r="B172" s="44" t="str">
        <f>IF(ISNUMBER(MATCH(A172,'Calls without notes'!A:A,0)),A172,"")</f>
        <v>Foodservice Distribution &amp; Case Volumes in 2024</v>
      </c>
      <c r="C172" s="48" t="s">
        <v>533</v>
      </c>
      <c r="D172" s="49">
        <v>45315</v>
      </c>
      <c r="E172" s="50"/>
    </row>
    <row r="173" spans="1:5" x14ac:dyDescent="0.2">
      <c r="A173" s="44" t="str">
        <f t="shared" si="0"/>
        <v>DDOG Q4 &amp; 2024 Observability Outlook</v>
      </c>
      <c r="B173" s="44" t="str">
        <f>IF(ISNUMBER(MATCH(A173,'Calls without notes'!A:A,0)),A173,"")</f>
        <v>DDOG Q4 &amp; 2024 Observability Outlook</v>
      </c>
      <c r="C173" s="48" t="s">
        <v>534</v>
      </c>
      <c r="D173" s="49">
        <v>45315</v>
      </c>
      <c r="E173" s="50"/>
    </row>
    <row r="174" spans="1:5" x14ac:dyDescent="0.2">
      <c r="A174" s="44" t="str">
        <f t="shared" si="0"/>
        <v>BMBL, MTCH &amp; Online Dating in 2024</v>
      </c>
      <c r="B174" s="44" t="str">
        <f>IF(ISNUMBER(MATCH(A174,'Calls without notes'!A:A,0)),A174,"")</f>
        <v>BMBL, MTCH &amp; Online Dating in 2024</v>
      </c>
      <c r="C174" s="48" t="s">
        <v>535</v>
      </c>
      <c r="D174" s="49">
        <v>45315</v>
      </c>
      <c r="E174" s="50"/>
    </row>
    <row r="175" spans="1:5" x14ac:dyDescent="0.2">
      <c r="A175" s="44" t="str">
        <f t="shared" si="0"/>
        <v>Security Software’s Q4 &amp; 2024 Spending</v>
      </c>
      <c r="B175" s="44" t="str">
        <f>IF(ISNUMBER(MATCH(A175,'Calls without notes'!A:A,0)),A175,"")</f>
        <v>Security Software’s Q4 &amp; 2024 Spending</v>
      </c>
      <c r="C175" s="48" t="s">
        <v>536</v>
      </c>
      <c r="D175" s="49">
        <v>45314</v>
      </c>
      <c r="E175" s="50"/>
    </row>
    <row r="176" spans="1:5" x14ac:dyDescent="0.2">
      <c r="A176" s="44" t="str">
        <f t="shared" si="0"/>
        <v>Oil Changes &amp; Car Washes: Q4’23 and 2024</v>
      </c>
      <c r="B176" s="44" t="str">
        <f>IF(ISNUMBER(MATCH(A176,'Calls without notes'!A:A,0)),A176,"")</f>
        <v>Oil Changes &amp; Car Washes: Q4’23 and 2024</v>
      </c>
      <c r="C176" s="48" t="s">
        <v>537</v>
      </c>
      <c r="D176" s="49">
        <v>45314</v>
      </c>
      <c r="E176" s="50"/>
    </row>
    <row r="177" spans="1:5" x14ac:dyDescent="0.2">
      <c r="A177" s="44" t="str">
        <f t="shared" si="0"/>
        <v>BC: Calm Water Ahead?</v>
      </c>
      <c r="B177" s="44" t="str">
        <f>IF(ISNUMBER(MATCH(A177,'Calls without notes'!A:A,0)),A177,"")</f>
        <v>BC: Calm Water Ahead?</v>
      </c>
      <c r="C177" s="48" t="s">
        <v>538</v>
      </c>
      <c r="D177" s="49">
        <v>45313</v>
      </c>
      <c r="E177" s="50"/>
    </row>
    <row r="178" spans="1:5" x14ac:dyDescent="0.2">
      <c r="A178" s="44" t="str">
        <f t="shared" si="0"/>
        <v>Q4’23 Siding &amp; OSB Demand</v>
      </c>
      <c r="B178" s="44" t="str">
        <f>IF(ISNUMBER(MATCH(A178,'Calls without notes'!A:A,0)),A178,"")</f>
        <v/>
      </c>
      <c r="C178" s="48" t="s">
        <v>539</v>
      </c>
      <c r="D178" s="49">
        <v>45310</v>
      </c>
      <c r="E178" s="50"/>
    </row>
    <row r="179" spans="1:5" x14ac:dyDescent="0.2">
      <c r="A179" s="44" t="str">
        <f t="shared" si="0"/>
        <v>Atlassian - Cloud &amp; 2024 Growth</v>
      </c>
      <c r="B179" s="44" t="str">
        <f>IF(ISNUMBER(MATCH(A179,'Calls without notes'!A:A,0)),A179,"")</f>
        <v>Atlassian - Cloud &amp; 2024 Growth</v>
      </c>
      <c r="C179" s="48" t="s">
        <v>540</v>
      </c>
      <c r="D179" s="49">
        <v>45309</v>
      </c>
      <c r="E179" s="50"/>
    </row>
    <row r="180" spans="1:5" x14ac:dyDescent="0.2">
      <c r="A180" s="44" t="str">
        <f t="shared" si="0"/>
        <v>ServiceNow Q4 &amp; 2024 Outlook</v>
      </c>
      <c r="B180" s="44" t="str">
        <f>IF(ISNUMBER(MATCH(A180,'Calls without notes'!A:A,0)),A180,"")</f>
        <v>ServiceNow Q4 &amp; 2024 Outlook</v>
      </c>
      <c r="C180" s="48" t="s">
        <v>541</v>
      </c>
      <c r="D180" s="49">
        <v>45309</v>
      </c>
      <c r="E180" s="50"/>
    </row>
    <row r="181" spans="1:5" x14ac:dyDescent="0.2">
      <c r="A181" s="44" t="str">
        <f t="shared" si="0"/>
        <v>MHK: Getting Off the Floor in 2024</v>
      </c>
      <c r="B181" s="44" t="str">
        <f>IF(ISNUMBER(MATCH(A181,'Calls without notes'!A:A,0)),A181,"")</f>
        <v/>
      </c>
      <c r="C181" s="48" t="s">
        <v>542</v>
      </c>
      <c r="D181" s="49">
        <v>45308</v>
      </c>
      <c r="E181" s="50"/>
    </row>
    <row r="182" spans="1:5" x14ac:dyDescent="0.2">
      <c r="A182" s="44" t="str">
        <f t="shared" si="0"/>
        <v>ABNB &amp; Vacation Rentals: Q4’23 Bookings</v>
      </c>
      <c r="B182" s="44" t="str">
        <f>IF(ISNUMBER(MATCH(A182,'Calls without notes'!A:A,0)),A182,"")</f>
        <v/>
      </c>
      <c r="C182" s="48" t="s">
        <v>543</v>
      </c>
      <c r="D182" s="49">
        <v>45307</v>
      </c>
      <c r="E182" s="50"/>
    </row>
    <row r="183" spans="1:5" x14ac:dyDescent="0.2">
      <c r="A183" s="44" t="str">
        <f t="shared" si="0"/>
        <v>Q4'23 Software Update w/ $500M IT Integrator</v>
      </c>
      <c r="B183" s="44" t="str">
        <f>IF(ISNUMBER(MATCH(A183,'Calls without notes'!A:A,0)),A183,"")</f>
        <v>Q4'23 Software Update w/ $500M IT Integrator</v>
      </c>
      <c r="C183" s="48" t="s">
        <v>544</v>
      </c>
      <c r="D183" s="49">
        <v>45302</v>
      </c>
      <c r="E183" s="50"/>
    </row>
    <row r="184" spans="1:5" x14ac:dyDescent="0.2">
      <c r="A184" s="44" t="str">
        <f t="shared" si="0"/>
        <v>Regional Casinos: Hit or Stay in 2024?</v>
      </c>
      <c r="B184" s="44" t="str">
        <f>IF(ISNUMBER(MATCH(A184,'Calls without notes'!A:A,0)),A184,"")</f>
        <v>Regional Casinos: Hit or Stay in 2024?</v>
      </c>
      <c r="C184" s="48" t="s">
        <v>545</v>
      </c>
      <c r="D184" s="49">
        <v>45302</v>
      </c>
      <c r="E184" s="50"/>
    </row>
    <row r="185" spans="1:5" x14ac:dyDescent="0.2">
      <c r="A185" s="44" t="str">
        <f t="shared" si="0"/>
        <v>2024 Cloud &amp; AI Demand</v>
      </c>
      <c r="B185" s="44" t="str">
        <f>IF(ISNUMBER(MATCH(A185,'Calls without notes'!A:A,0)),A185,"")</f>
        <v>2024 Cloud &amp; AI Demand</v>
      </c>
      <c r="C185" s="48" t="s">
        <v>546</v>
      </c>
      <c r="D185" s="49">
        <v>45300</v>
      </c>
      <c r="E185" s="50"/>
    </row>
    <row r="186" spans="1:5" x14ac:dyDescent="0.2">
      <c r="A186" s="44" t="str">
        <f t="shared" si="0"/>
        <v>POOL, LESL: Checking the Temp</v>
      </c>
      <c r="B186" s="44" t="str">
        <f>IF(ISNUMBER(MATCH(A186,'Calls without notes'!A:A,0)),A186,"")</f>
        <v>POOL, LESL: Checking the Temp</v>
      </c>
      <c r="C186" s="48" t="s">
        <v>547</v>
      </c>
      <c r="D186" s="49">
        <v>45299</v>
      </c>
      <c r="E186" s="50"/>
    </row>
    <row r="187" spans="1:5" x14ac:dyDescent="0.2">
      <c r="A187" s="44" t="str">
        <f t="shared" si="0"/>
        <v>Macau: All In On 2024?</v>
      </c>
      <c r="B187" s="44" t="str">
        <f>IF(ISNUMBER(MATCH(A187,'Calls without notes'!A:A,0)),A187,"")</f>
        <v/>
      </c>
      <c r="C187" s="48" t="s">
        <v>548</v>
      </c>
      <c r="D187" s="49">
        <v>45295</v>
      </c>
      <c r="E187" s="50" t="s">
        <v>549</v>
      </c>
    </row>
    <row r="188" spans="1:5" x14ac:dyDescent="0.2">
      <c r="A188" s="44" t="str">
        <f t="shared" si="0"/>
        <v>Q4 2023 Digital Advertising Update</v>
      </c>
      <c r="B188" s="44" t="str">
        <f>IF(ISNUMBER(MATCH(A188,'Calls without notes'!A:A,0)),A188,"")</f>
        <v/>
      </c>
      <c r="C188" s="48" t="s">
        <v>550</v>
      </c>
      <c r="D188" s="49">
        <v>45294</v>
      </c>
      <c r="E188" s="50"/>
    </row>
    <row r="189" spans="1:5" x14ac:dyDescent="0.2">
      <c r="A189" s="44" t="str">
        <f t="shared" si="0"/>
        <v>Q4'23 CTV/OTT &amp; Digital Ad Demand</v>
      </c>
      <c r="B189" s="44" t="str">
        <f>IF(ISNUMBER(MATCH(A189,'Calls without notes'!A:A,0)),A189,"")</f>
        <v/>
      </c>
      <c r="C189" s="48" t="s">
        <v>551</v>
      </c>
      <c r="D189" s="49">
        <v>45279</v>
      </c>
      <c r="E189" s="50"/>
    </row>
    <row r="190" spans="1:5" x14ac:dyDescent="0.2">
      <c r="A190" s="44" t="str">
        <f t="shared" si="0"/>
        <v>LW &amp; 2024 French Fry Demand</v>
      </c>
      <c r="B190" s="44" t="str">
        <f>IF(ISNUMBER(MATCH(A190,'Calls without notes'!A:A,0)),A190,"")</f>
        <v/>
      </c>
      <c r="C190" s="48" t="s">
        <v>552</v>
      </c>
      <c r="D190" s="49">
        <v>45279</v>
      </c>
      <c r="E190" s="50"/>
    </row>
    <row r="191" spans="1:5" x14ac:dyDescent="0.2">
      <c r="A191" s="44" t="str">
        <f t="shared" si="0"/>
        <v>Building Products &amp; Housing Demand</v>
      </c>
      <c r="B191" s="44" t="str">
        <f>IF(ISNUMBER(MATCH(A191,'Calls without notes'!A:A,0)),A191,"")</f>
        <v/>
      </c>
      <c r="C191" s="48" t="s">
        <v>553</v>
      </c>
      <c r="D191" s="49">
        <v>45279</v>
      </c>
      <c r="E191" s="50"/>
    </row>
    <row r="192" spans="1:5" x14ac:dyDescent="0.2">
      <c r="A192" s="44" t="str">
        <f t="shared" si="0"/>
        <v>2024 Luxury Fashion Outlook</v>
      </c>
      <c r="B192" s="44" t="str">
        <f>IF(ISNUMBER(MATCH(A192,'Calls without notes'!A:A,0)),A192,"")</f>
        <v/>
      </c>
      <c r="C192" s="48" t="s">
        <v>554</v>
      </c>
      <c r="D192" s="49">
        <v>45278</v>
      </c>
      <c r="E192" s="50"/>
    </row>
    <row r="193" spans="1:5" x14ac:dyDescent="0.2">
      <c r="A193" s="44" t="str">
        <f t="shared" si="0"/>
        <v>Q4'23 Hotels and OTAs Update with Large Management Company</v>
      </c>
      <c r="B193" s="44" t="str">
        <f>IF(ISNUMBER(MATCH(A193,'Calls without notes'!A:A,0)),A193,"")</f>
        <v>Q4'23 Hotels and OTAs Update with Large Management Company</v>
      </c>
      <c r="C193" s="48" t="s">
        <v>555</v>
      </c>
      <c r="D193" s="49">
        <v>45274</v>
      </c>
      <c r="E193" s="50"/>
    </row>
    <row r="194" spans="1:5" x14ac:dyDescent="0.2">
      <c r="A194" s="44" t="str">
        <f t="shared" si="0"/>
        <v>Used Auto Sales - Q4'23 &amp; 2024</v>
      </c>
      <c r="B194" s="44" t="str">
        <f>IF(ISNUMBER(MATCH(A194,'Calls without notes'!A:A,0)),A194,"")</f>
        <v>Used Auto Sales - Q4'23 &amp; 2024</v>
      </c>
      <c r="C194" s="48" t="s">
        <v>556</v>
      </c>
      <c r="D194" s="49">
        <v>45274</v>
      </c>
      <c r="E194" s="50"/>
    </row>
    <row r="195" spans="1:5" x14ac:dyDescent="0.2">
      <c r="A195" s="44" t="str">
        <f t="shared" si="0"/>
        <v>Solar Demand &amp; 2024 Growth</v>
      </c>
      <c r="B195" s="44" t="str">
        <f>IF(ISNUMBER(MATCH(A195,'Calls without notes'!A:A,0)),A195,"")</f>
        <v>Solar Demand &amp; 2024 Growth</v>
      </c>
      <c r="C195" s="48" t="s">
        <v>557</v>
      </c>
      <c r="D195" s="49">
        <v>45273</v>
      </c>
      <c r="E195" s="50"/>
    </row>
    <row r="196" spans="1:5" x14ac:dyDescent="0.2">
      <c r="A196" s="44" t="str">
        <f t="shared" si="0"/>
        <v>SharkNinja and Consumer Appliance Demand</v>
      </c>
      <c r="B196" s="44" t="str">
        <f>IF(ISNUMBER(MATCH(A196,'Calls without notes'!A:A,0)),A196,"")</f>
        <v/>
      </c>
      <c r="C196" s="48" t="s">
        <v>558</v>
      </c>
      <c r="D196" s="49">
        <v>45267</v>
      </c>
      <c r="E196" s="50"/>
    </row>
    <row r="197" spans="1:5" x14ac:dyDescent="0.2">
      <c r="A197" s="44" t="str">
        <f t="shared" si="0"/>
        <v>Retail Update - CROX &amp; YETI</v>
      </c>
      <c r="B197" s="44" t="str">
        <f>IF(ISNUMBER(MATCH(A197,'Calls without notes'!A:A,0)),A197,"")</f>
        <v/>
      </c>
      <c r="C197" s="48" t="s">
        <v>559</v>
      </c>
      <c r="D197" s="49">
        <v>45267</v>
      </c>
      <c r="E197" s="50"/>
    </row>
    <row r="198" spans="1:5" x14ac:dyDescent="0.2">
      <c r="A198" s="44" t="str">
        <f t="shared" si="0"/>
        <v>TTD &amp; DSPs - 2024 Outlook</v>
      </c>
      <c r="B198" s="44" t="str">
        <f>IF(ISNUMBER(MATCH(A198,'Calls without notes'!A:A,0)),A198,"")</f>
        <v/>
      </c>
      <c r="C198" s="48" t="s">
        <v>560</v>
      </c>
      <c r="D198" s="49">
        <v>45260</v>
      </c>
      <c r="E198" s="50"/>
    </row>
    <row r="199" spans="1:5" x14ac:dyDescent="0.2">
      <c r="A199" s="44" t="str">
        <f t="shared" si="0"/>
        <v>Florida Vacation Rentals - Boom or Bust?</v>
      </c>
      <c r="B199" s="44" t="str">
        <f>IF(ISNUMBER(MATCH(A199,'Calls without notes'!A:A,0)),A199,"")</f>
        <v/>
      </c>
      <c r="C199" s="48" t="s">
        <v>561</v>
      </c>
      <c r="D199" s="49">
        <v>45258</v>
      </c>
      <c r="E199" s="50"/>
    </row>
    <row r="200" spans="1:5" x14ac:dyDescent="0.2">
      <c r="A200" s="44" t="str">
        <f t="shared" si="0"/>
        <v>FERG’s 2024 Demand Pipeline</v>
      </c>
      <c r="B200" s="44" t="str">
        <f>IF(ISNUMBER(MATCH(A200,'Calls without notes'!A:A,0)),A200,"")</f>
        <v/>
      </c>
      <c r="C200" s="48" t="s">
        <v>562</v>
      </c>
      <c r="D200" s="49">
        <v>45258</v>
      </c>
      <c r="E200" s="50"/>
    </row>
    <row r="201" spans="1:5" x14ac:dyDescent="0.2">
      <c r="A201" s="44" t="str">
        <f t="shared" si="0"/>
        <v>Vail Resorts: Let It Snow or Let It Go?</v>
      </c>
      <c r="B201" s="44" t="str">
        <f>IF(ISNUMBER(MATCH(A201,'Calls without notes'!A:A,0)),A201,"")</f>
        <v>Vail Resorts: Let It Snow or Let It Go?</v>
      </c>
      <c r="C201" s="48" t="s">
        <v>563</v>
      </c>
      <c r="D201" s="49">
        <v>45251</v>
      </c>
      <c r="E201" s="50"/>
    </row>
    <row r="202" spans="1:5" x14ac:dyDescent="0.2">
      <c r="A202" s="44" t="str">
        <f t="shared" si="0"/>
        <v>Mobile Gaming Trends &amp; IP Game Growth</v>
      </c>
      <c r="B202" s="44" t="str">
        <f>IF(ISNUMBER(MATCH(A202,'Calls without notes'!A:A,0)),A202,"")</f>
        <v>Mobile Gaming Trends &amp; IP Game Growth</v>
      </c>
      <c r="C202" s="45" t="s">
        <v>564</v>
      </c>
      <c r="D202" s="46">
        <v>45245</v>
      </c>
      <c r="E202" s="47"/>
    </row>
    <row r="203" spans="1:5" x14ac:dyDescent="0.2">
      <c r="A203" s="44" t="str">
        <f t="shared" si="0"/>
        <v>Atkore Q3'23 &amp; Growth Outlook</v>
      </c>
      <c r="B203" s="44" t="str">
        <f>IF(ISNUMBER(MATCH(A203,'Calls without notes'!A:A,0)),A203,"")</f>
        <v>Atkore Q3'23 &amp; Growth Outlook</v>
      </c>
      <c r="C203" s="48" t="s">
        <v>565</v>
      </c>
      <c r="D203" s="49">
        <v>45244</v>
      </c>
      <c r="E203" s="50"/>
    </row>
    <row r="204" spans="1:5" x14ac:dyDescent="0.2">
      <c r="A204" s="44" t="str">
        <f t="shared" si="0"/>
        <v>Off-Price Retail: Is the Price Right?</v>
      </c>
      <c r="B204" s="44" t="str">
        <f>IF(ISNUMBER(MATCH(A204,'Calls without notes'!A:A,0)),A204,"")</f>
        <v>Off-Price Retail: Is the Price Right?</v>
      </c>
      <c r="C204" s="48" t="s">
        <v>566</v>
      </c>
      <c r="D204" s="49">
        <v>45238</v>
      </c>
      <c r="E204" s="50"/>
    </row>
    <row r="205" spans="1:5" x14ac:dyDescent="0.2">
      <c r="A205" s="44" t="str">
        <f t="shared" si="0"/>
        <v>Grocery Demand, Deflation &amp; GLP-1s</v>
      </c>
      <c r="B205" s="44" t="str">
        <f>IF(ISNUMBER(MATCH(A205,'Calls without notes'!A:A,0)),A205,"")</f>
        <v>Grocery Demand, Deflation &amp; GLP-1s</v>
      </c>
      <c r="C205" s="48" t="s">
        <v>567</v>
      </c>
      <c r="D205" s="49">
        <v>45231</v>
      </c>
      <c r="E205" s="50"/>
    </row>
    <row r="206" spans="1:5" x14ac:dyDescent="0.2">
      <c r="A206" s="44" t="str">
        <f t="shared" si="0"/>
        <v>Q3'23 Furniture Demand &amp; Wayfair</v>
      </c>
      <c r="B206" s="44" t="str">
        <f>IF(ISNUMBER(MATCH(A206,'Calls without notes'!A:A,0)),A206,"")</f>
        <v>Q3'23 Furniture Demand &amp; Wayfair</v>
      </c>
      <c r="C206" s="48" t="s">
        <v>568</v>
      </c>
      <c r="D206" s="49">
        <v>45229</v>
      </c>
      <c r="E206" s="50"/>
    </row>
    <row r="207" spans="1:5" x14ac:dyDescent="0.2">
      <c r="A207" s="44" t="str">
        <f t="shared" si="0"/>
        <v>PLNT Flexes Pricing to Lift Unit Growth</v>
      </c>
      <c r="B207" s="44" t="str">
        <f>IF(ISNUMBER(MATCH(A207,'Calls without notes'!A:A,0)),A207,"")</f>
        <v>PLNT Flexes Pricing to Lift Unit Growth</v>
      </c>
      <c r="C207" s="48" t="s">
        <v>569</v>
      </c>
      <c r="D207" s="49">
        <v>45229</v>
      </c>
      <c r="E207" s="50"/>
    </row>
    <row r="208" spans="1:5" x14ac:dyDescent="0.2">
      <c r="A208" s="44" t="str">
        <f t="shared" si="0"/>
        <v>Security Software’s Q3 Growth</v>
      </c>
      <c r="B208" s="44" t="str">
        <f>IF(ISNUMBER(MATCH(A208,'Calls without notes'!A:A,0)),A208,"")</f>
        <v>Security Software’s Q3 Growth</v>
      </c>
      <c r="C208" s="48" t="s">
        <v>570</v>
      </c>
      <c r="D208" s="49">
        <v>45226</v>
      </c>
      <c r="E208" s="50" t="s">
        <v>571</v>
      </c>
    </row>
    <row r="209" spans="1:5" x14ac:dyDescent="0.2">
      <c r="A209" s="44" t="str">
        <f t="shared" si="0"/>
        <v>Theme Parks’ Cruel Summer</v>
      </c>
      <c r="B209" s="44" t="str">
        <f>IF(ISNUMBER(MATCH(A209,'Calls without notes'!A:A,0)),A209,"")</f>
        <v>Theme Parks’ Cruel Summer</v>
      </c>
      <c r="C209" s="48" t="s">
        <v>572</v>
      </c>
      <c r="D209" s="49">
        <v>45224</v>
      </c>
      <c r="E209" s="50"/>
    </row>
    <row r="210" spans="1:5" x14ac:dyDescent="0.2">
      <c r="A210" s="44" t="str">
        <f t="shared" si="0"/>
        <v>Oil Changes &amp; Car Washes – Q3’23</v>
      </c>
      <c r="B210" s="44" t="str">
        <f>IF(ISNUMBER(MATCH(A210,'Calls without notes'!A:A,0)),A210,"")</f>
        <v>Oil Changes &amp; Car Washes – Q3’23</v>
      </c>
      <c r="C210" s="48" t="s">
        <v>573</v>
      </c>
      <c r="D210" s="49">
        <v>45223</v>
      </c>
      <c r="E210" s="50"/>
    </row>
    <row r="211" spans="1:5" x14ac:dyDescent="0.2">
      <c r="A211" s="44" t="str">
        <f t="shared" si="0"/>
        <v>Q3’23 Siding &amp; OSB Demand</v>
      </c>
      <c r="B211" s="44" t="str">
        <f>IF(ISNUMBER(MATCH(A211,'Calls without notes'!A:A,0)),A211,"")</f>
        <v>Q3’23 Siding &amp; OSB Demand</v>
      </c>
      <c r="C211" s="48" t="s">
        <v>574</v>
      </c>
      <c r="D211" s="49">
        <v>45223</v>
      </c>
      <c r="E211" s="50"/>
    </row>
    <row r="212" spans="1:5" x14ac:dyDescent="0.2">
      <c r="A212" s="44" t="str">
        <f t="shared" si="0"/>
        <v>BC - Q3'23 Inventory &amp; Demand</v>
      </c>
      <c r="B212" s="44" t="str">
        <f>IF(ISNUMBER(MATCH(A212,'Calls without notes'!A:A,0)),A212,"")</f>
        <v>BC - Q3'23 Inventory &amp; Demand</v>
      </c>
      <c r="C212" s="55" t="s">
        <v>575</v>
      </c>
      <c r="D212" s="56">
        <v>45219</v>
      </c>
      <c r="E212" s="57"/>
    </row>
    <row r="213" spans="1:5" x14ac:dyDescent="0.2">
      <c r="A213" s="44" t="str">
        <f t="shared" si="0"/>
        <v>DDOG Q3 &amp; Observability Outlook</v>
      </c>
      <c r="B213" s="44" t="str">
        <f>IF(ISNUMBER(MATCH(A213,'Calls without notes'!A:A,0)),A213,"")</f>
        <v>DDOG Q3 &amp; Observability Outlook</v>
      </c>
      <c r="C213" s="48" t="s">
        <v>576</v>
      </c>
      <c r="D213" s="49">
        <v>45218</v>
      </c>
      <c r="E213" s="50"/>
    </row>
    <row r="214" spans="1:5" x14ac:dyDescent="0.2">
      <c r="A214" s="44" t="str">
        <f t="shared" si="0"/>
        <v>ROL, RTO LN Q3'23 &amp; Expansion Outlook</v>
      </c>
      <c r="B214" s="44" t="str">
        <f>IF(ISNUMBER(MATCH(A214,'Calls without notes'!A:A,0)),A214,"")</f>
        <v>ROL, RTO LN Q3'23 &amp; Expansion Outlook</v>
      </c>
      <c r="C214" s="48" t="s">
        <v>577</v>
      </c>
      <c r="D214" s="49">
        <v>45218</v>
      </c>
      <c r="E214" s="50"/>
    </row>
    <row r="215" spans="1:5" x14ac:dyDescent="0.2">
      <c r="A215" s="44" t="str">
        <f t="shared" si="0"/>
        <v>Foodservice Distribution &amp; Q3 Restaurant Demand</v>
      </c>
      <c r="B215" s="44" t="str">
        <f>IF(ISNUMBER(MATCH(A215,'Calls without notes'!A:A,0)),A215,"")</f>
        <v>Foodservice Distribution &amp; Q3 Restaurant Demand</v>
      </c>
      <c r="C215" s="48" t="s">
        <v>578</v>
      </c>
      <c r="D215" s="49">
        <v>45217</v>
      </c>
      <c r="E215" s="50"/>
    </row>
    <row r="216" spans="1:5" x14ac:dyDescent="0.2">
      <c r="A216" s="44" t="str">
        <f t="shared" si="0"/>
        <v>Regional Casinos: What’s in the Cards?</v>
      </c>
      <c r="B216" s="44" t="str">
        <f>IF(ISNUMBER(MATCH(A216,'Calls without notes'!A:A,0)),A216,"")</f>
        <v>Regional Casinos: What’s in the Cards?</v>
      </c>
      <c r="C216" s="48" t="s">
        <v>579</v>
      </c>
      <c r="D216" s="49">
        <v>45217</v>
      </c>
      <c r="E216" s="50" t="s">
        <v>580</v>
      </c>
    </row>
    <row r="217" spans="1:5" x14ac:dyDescent="0.2">
      <c r="A217" s="44" t="str">
        <f t="shared" si="0"/>
        <v>ONON, DECK &amp; NKE: Inventory Roulette</v>
      </c>
      <c r="B217" s="44" t="str">
        <f>IF(ISNUMBER(MATCH(A217,'Calls without notes'!A:A,0)),A217,"")</f>
        <v>ONON, DECK &amp; NKE: Inventory Roulette</v>
      </c>
      <c r="C217" s="48" t="s">
        <v>581</v>
      </c>
      <c r="D217" s="49">
        <v>45216</v>
      </c>
      <c r="E217" s="50" t="s">
        <v>582</v>
      </c>
    </row>
    <row r="218" spans="1:5" x14ac:dyDescent="0.2">
      <c r="A218" s="44" t="str">
        <f t="shared" si="0"/>
        <v>Flooring Demand: New Homes, R&amp;R and 2024</v>
      </c>
      <c r="B218" s="44" t="str">
        <f>IF(ISNUMBER(MATCH(A218,'Calls without notes'!A:A,0)),A218,"")</f>
        <v>Flooring Demand: New Homes, R&amp;R and 2024</v>
      </c>
      <c r="C218" s="48" t="s">
        <v>583</v>
      </c>
      <c r="D218" s="49">
        <v>45216</v>
      </c>
      <c r="E218" s="50"/>
    </row>
    <row r="219" spans="1:5" x14ac:dyDescent="0.2">
      <c r="A219" s="44" t="str">
        <f t="shared" si="0"/>
        <v>ServiceNow Q3 &amp; GenAI Impacts</v>
      </c>
      <c r="B219" s="44" t="str">
        <f>IF(ISNUMBER(MATCH(A219,'Calls without notes'!A:A,0)),A219,"")</f>
        <v>ServiceNow Q3 &amp; GenAI Impacts</v>
      </c>
      <c r="C219" s="48" t="s">
        <v>584</v>
      </c>
      <c r="D219" s="49">
        <v>45216</v>
      </c>
      <c r="E219" s="50"/>
    </row>
    <row r="220" spans="1:5" x14ac:dyDescent="0.2">
      <c r="A220" s="44" t="str">
        <f t="shared" si="0"/>
        <v>ABNB &amp; Vacation Rentals: Q3’23 Bookings</v>
      </c>
      <c r="B220" s="44" t="str">
        <f>IF(ISNUMBER(MATCH(A220,'Calls without notes'!A:A,0)),A220,"")</f>
        <v>ABNB &amp; Vacation Rentals: Q3’23 Bookings</v>
      </c>
      <c r="C220" s="48" t="s">
        <v>585</v>
      </c>
      <c r="D220" s="49">
        <v>45215</v>
      </c>
      <c r="E220" s="50" t="s">
        <v>586</v>
      </c>
    </row>
    <row r="221" spans="1:5" x14ac:dyDescent="0.2">
      <c r="A221" s="44" t="str">
        <f t="shared" si="0"/>
        <v>Q3 2023 Digital Advertising Update</v>
      </c>
      <c r="B221" s="44" t="str">
        <f>IF(ISNUMBER(MATCH(A221,'Calls without notes'!A:A,0)),A221,"")</f>
        <v/>
      </c>
      <c r="C221" s="48" t="s">
        <v>587</v>
      </c>
      <c r="D221" s="49">
        <v>45212</v>
      </c>
      <c r="E221" s="50"/>
    </row>
    <row r="222" spans="1:5" x14ac:dyDescent="0.2">
      <c r="A222" s="44" t="str">
        <f t="shared" si="0"/>
        <v>Semiconductor Demand &amp; NVDA’s Dominance</v>
      </c>
      <c r="B222" s="44" t="str">
        <f>IF(ISNUMBER(MATCH(A222,'Calls without notes'!A:A,0)),A222,"")</f>
        <v>Semiconductor Demand &amp; NVDA’s Dominance</v>
      </c>
      <c r="C222" s="48" t="s">
        <v>588</v>
      </c>
      <c r="D222" s="49">
        <v>45211</v>
      </c>
      <c r="E222" s="50" t="s">
        <v>589</v>
      </c>
    </row>
    <row r="223" spans="1:5" x14ac:dyDescent="0.2">
      <c r="A223" s="44" t="str">
        <f t="shared" si="0"/>
        <v>POOL, LESL in Need of a Floaty?</v>
      </c>
      <c r="B223" s="44" t="str">
        <f>IF(ISNUMBER(MATCH(A223,'Calls without notes'!A:A,0)),A223,"")</f>
        <v>POOL, LESL in Need of a Floaty?</v>
      </c>
      <c r="C223" s="48" t="s">
        <v>590</v>
      </c>
      <c r="D223" s="49">
        <v>45210</v>
      </c>
      <c r="E223" s="50" t="s">
        <v>591</v>
      </c>
    </row>
    <row r="224" spans="1:5" x14ac:dyDescent="0.2">
      <c r="A224" s="44" t="str">
        <f t="shared" si="0"/>
        <v>Macau Q3'23: Time To Gamble?</v>
      </c>
      <c r="B224" s="44" t="str">
        <f>IF(ISNUMBER(MATCH(A224,'Calls without notes'!A:A,0)),A224,"")</f>
        <v>Macau Q3'23: Time To Gamble?</v>
      </c>
      <c r="C224" s="48" t="s">
        <v>592</v>
      </c>
      <c r="D224" s="49">
        <v>45210</v>
      </c>
      <c r="E224" s="50"/>
    </row>
    <row r="225" spans="1:5" x14ac:dyDescent="0.2">
      <c r="A225" s="44" t="str">
        <f t="shared" si="0"/>
        <v>TWLO, SINCH SS &amp; CPaaS Growth</v>
      </c>
      <c r="B225" s="44" t="str">
        <f>IF(ISNUMBER(MATCH(A225,'Calls without notes'!A:A,0)),A225,"")</f>
        <v>TWLO, SINCH SS &amp; CPaaS Growth</v>
      </c>
      <c r="C225" s="48" t="s">
        <v>593</v>
      </c>
      <c r="D225" s="49">
        <v>45209</v>
      </c>
      <c r="E225" s="50" t="s">
        <v>594</v>
      </c>
    </row>
    <row r="226" spans="1:5" x14ac:dyDescent="0.2">
      <c r="A226" s="44" t="str">
        <f t="shared" si="0"/>
        <v>Cannabis Regulations to Drive Growth?</v>
      </c>
      <c r="B226" s="44" t="str">
        <f>IF(ISNUMBER(MATCH(A226,'Calls without notes'!A:A,0)),A226,"")</f>
        <v>Cannabis Regulations to Drive Growth?</v>
      </c>
      <c r="C226" s="48" t="s">
        <v>595</v>
      </c>
      <c r="D226" s="49">
        <v>45204</v>
      </c>
      <c r="E226" s="50" t="s">
        <v>596</v>
      </c>
    </row>
    <row r="227" spans="1:5" x14ac:dyDescent="0.2">
      <c r="A227" s="44" t="str">
        <f t="shared" si="0"/>
        <v>SNOW, Databricks &amp; Data Warehousing Growth</v>
      </c>
      <c r="B227" s="44" t="str">
        <f>IF(ISNUMBER(MATCH(A227,'Calls without notes'!A:A,0)),A227,"")</f>
        <v>SNOW, Databricks &amp; Data Warehousing Growth</v>
      </c>
      <c r="C227" s="48" t="s">
        <v>597</v>
      </c>
      <c r="D227" s="49">
        <v>45204</v>
      </c>
      <c r="E227" s="50"/>
    </row>
    <row r="228" spans="1:5" x14ac:dyDescent="0.2">
      <c r="A228" s="44" t="str">
        <f t="shared" si="0"/>
        <v>HUBS, KVYO &amp; Marketing Software Outlook</v>
      </c>
      <c r="B228" s="44" t="str">
        <f>IF(ISNUMBER(MATCH(A228,'Calls without notes'!A:A,0)),A228,"")</f>
        <v>HUBS, KVYO &amp; Marketing Software Outlook</v>
      </c>
      <c r="C228" s="48" t="s">
        <v>598</v>
      </c>
      <c r="D228" s="49">
        <v>45202</v>
      </c>
      <c r="E228" s="50"/>
    </row>
    <row r="229" spans="1:5" x14ac:dyDescent="0.2">
      <c r="A229" s="44" t="str">
        <f t="shared" si="0"/>
        <v>Furniture, Wayfair &amp; Q3 Demand</v>
      </c>
      <c r="B229" s="44" t="str">
        <f>IF(ISNUMBER(MATCH(A229,'Calls without notes'!A:A,0)),A229,"")</f>
        <v>Furniture, Wayfair &amp; Q3 Demand</v>
      </c>
      <c r="C229" s="48" t="s">
        <v>599</v>
      </c>
      <c r="D229" s="49">
        <v>45201</v>
      </c>
      <c r="E229" s="50"/>
    </row>
    <row r="230" spans="1:5" x14ac:dyDescent="0.2">
      <c r="A230" s="44" t="str">
        <f t="shared" si="0"/>
        <v>LW: Inventory, Capacity &amp; Margins</v>
      </c>
      <c r="B230" s="44" t="str">
        <f>IF(ISNUMBER(MATCH(A230,'Calls without notes'!A:A,0)),A230,"")</f>
        <v>LW: Inventory, Capacity &amp; Margins</v>
      </c>
      <c r="C230" s="48" t="s">
        <v>600</v>
      </c>
      <c r="D230" s="49">
        <v>45198</v>
      </c>
      <c r="E230" s="50"/>
    </row>
    <row r="231" spans="1:5" x14ac:dyDescent="0.2">
      <c r="A231" s="44" t="str">
        <f t="shared" si="0"/>
        <v>Q3’23 Beer Distribution &amp; Sales</v>
      </c>
      <c r="B231" s="44" t="str">
        <f>IF(ISNUMBER(MATCH(A231,'Calls without notes'!A:A,0)),A231,"")</f>
        <v>Q3’23 Beer Distribution &amp; Sales</v>
      </c>
      <c r="C231" s="48" t="s">
        <v>601</v>
      </c>
      <c r="D231" s="49">
        <v>45196</v>
      </c>
      <c r="E231" s="50"/>
    </row>
    <row r="232" spans="1:5" x14ac:dyDescent="0.2">
      <c r="A232" s="44" t="str">
        <f t="shared" si="0"/>
        <v>Q3 Social Ad Spend Shifts</v>
      </c>
      <c r="B232" s="44" t="str">
        <f>IF(ISNUMBER(MATCH(A232,'Calls without notes'!A:A,0)),A232,"")</f>
        <v>Q3 Social Ad Spend Shifts</v>
      </c>
      <c r="C232" s="48" t="s">
        <v>602</v>
      </c>
      <c r="D232" s="49">
        <v>45195</v>
      </c>
      <c r="E232" s="50"/>
    </row>
    <row r="233" spans="1:5" x14ac:dyDescent="0.2">
      <c r="A233" s="44" t="str">
        <f t="shared" si="0"/>
        <v>Vestis Spin-Off &amp; Uniform Demand</v>
      </c>
      <c r="B233" s="44" t="str">
        <f>IF(ISNUMBER(MATCH(A233,'Calls without notes'!A:A,0)),A233,"")</f>
        <v>Vestis Spin-Off &amp; Uniform Demand</v>
      </c>
      <c r="C233" s="48" t="s">
        <v>603</v>
      </c>
      <c r="D233" s="49">
        <v>45193</v>
      </c>
      <c r="E233" s="50"/>
    </row>
    <row r="234" spans="1:5" x14ac:dyDescent="0.2">
      <c r="A234" s="44" t="str">
        <f t="shared" si="0"/>
        <v>NFLX, DIS &amp; Q3’23 CTV/OTT Ad Demand</v>
      </c>
      <c r="B234" s="44" t="str">
        <f>IF(ISNUMBER(MATCH(A234,'Calls without notes'!A:A,0)),A234,"")</f>
        <v>NFLX, DIS &amp; Q3’23 CTV/OTT Ad Demand</v>
      </c>
      <c r="C234" s="48" t="s">
        <v>604</v>
      </c>
      <c r="D234" s="49">
        <v>45190</v>
      </c>
      <c r="E234" s="50"/>
    </row>
    <row r="235" spans="1:5" x14ac:dyDescent="0.2">
      <c r="A235" s="44" t="str">
        <f t="shared" si="0"/>
        <v>Unpacking the Self-Storage Industry</v>
      </c>
      <c r="B235" s="44" t="str">
        <f>IF(ISNUMBER(MATCH(A235,'Calls without notes'!A:A,0)),A235,"")</f>
        <v>Unpacking the Self-Storage Industry</v>
      </c>
      <c r="C235" s="48" t="s">
        <v>605</v>
      </c>
      <c r="D235" s="49">
        <v>45184</v>
      </c>
      <c r="E235" s="50"/>
    </row>
    <row r="236" spans="1:5" x14ac:dyDescent="0.2">
      <c r="A236" s="44" t="str">
        <f t="shared" si="0"/>
        <v>Ad Spend: Digital, OTT &amp; Linear</v>
      </c>
      <c r="B236" s="44" t="str">
        <f>IF(ISNUMBER(MATCH(A236,'Calls without notes'!A:A,0)),A236,"")</f>
        <v>Ad Spend: Digital, OTT &amp; Linear</v>
      </c>
      <c r="C236" s="48" t="s">
        <v>606</v>
      </c>
      <c r="D236" s="49">
        <v>45181</v>
      </c>
      <c r="E236" s="50"/>
    </row>
    <row r="237" spans="1:5" x14ac:dyDescent="0.2">
      <c r="A237" s="44" t="str">
        <f t="shared" si="0"/>
        <v>ADBE’s Q3’23 &amp; GenAI Adoption</v>
      </c>
      <c r="B237" s="44" t="str">
        <f>IF(ISNUMBER(MATCH(A237,'Calls without notes'!A:A,0)),A237,"")</f>
        <v>ADBE’s Q3’23 &amp; GenAI Adoption</v>
      </c>
      <c r="C237" s="48" t="s">
        <v>607</v>
      </c>
      <c r="D237" s="49">
        <v>45177</v>
      </c>
      <c r="E237" s="50"/>
    </row>
    <row r="238" spans="1:5" x14ac:dyDescent="0.2">
      <c r="A238" s="44" t="str">
        <f t="shared" si="0"/>
        <v>Streaming Video Q3 Outlook</v>
      </c>
      <c r="B238" s="44" t="str">
        <f>IF(ISNUMBER(MATCH(A238,'Calls without notes'!A:A,0)),A238,"")</f>
        <v>Streaming Video Q3 Outlook</v>
      </c>
      <c r="C238" s="48" t="s">
        <v>608</v>
      </c>
      <c r="D238" s="49">
        <v>45175</v>
      </c>
      <c r="E238" s="50" t="s">
        <v>609</v>
      </c>
    </row>
    <row r="239" spans="1:5" x14ac:dyDescent="0.2">
      <c r="A239" s="44" t="str">
        <f t="shared" si="0"/>
        <v>Furniture Orders Picking Up?</v>
      </c>
      <c r="B239" s="44" t="str">
        <f>IF(ISNUMBER(MATCH(A239,'Calls without notes'!A:A,0)),A239,"")</f>
        <v>Furniture Orders Picking Up?</v>
      </c>
      <c r="C239" s="48" t="s">
        <v>610</v>
      </c>
      <c r="D239" s="49">
        <v>45159</v>
      </c>
      <c r="E239" s="50" t="s">
        <v>611</v>
      </c>
    </row>
    <row r="240" spans="1:5" x14ac:dyDescent="0.2">
      <c r="A240" s="44" t="str">
        <f t="shared" si="0"/>
        <v>Q2'23 Hotels Update with Large Management Company</v>
      </c>
      <c r="B240" s="44" t="str">
        <f>IF(ISNUMBER(MATCH(A240,'Calls without notes'!A:A,0)),A240,"")</f>
        <v>Q2'23 Hotels Update with Large Management Company</v>
      </c>
      <c r="C240" s="48" t="s">
        <v>612</v>
      </c>
      <c r="D240" s="49">
        <v>45155</v>
      </c>
      <c r="E240" s="50"/>
    </row>
    <row r="241" spans="1:5" x14ac:dyDescent="0.2">
      <c r="A241" s="44" t="str">
        <f t="shared" si="0"/>
        <v>Grocery’s Deflating Second Act?</v>
      </c>
      <c r="B241" s="44" t="str">
        <f>IF(ISNUMBER(MATCH(A241,'Calls without notes'!A:A,0)),A241,"")</f>
        <v>Grocery’s Deflating Second Act?</v>
      </c>
      <c r="C241" s="48" t="s">
        <v>613</v>
      </c>
      <c r="D241" s="49">
        <v>45148</v>
      </c>
      <c r="E241" s="50" t="s">
        <v>614</v>
      </c>
    </row>
    <row r="242" spans="1:5" x14ac:dyDescent="0.2">
      <c r="A242" s="44" t="str">
        <f t="shared" si="0"/>
        <v>Off-Price Retail: Q2 Inventory &amp; Price Check</v>
      </c>
      <c r="B242" s="44" t="str">
        <f>IF(ISNUMBER(MATCH(A242,'Calls without notes'!A:A,0)),A242,"")</f>
        <v>Off-Price Retail: Q2 Inventory &amp; Price Check</v>
      </c>
      <c r="C242" s="48" t="s">
        <v>615</v>
      </c>
      <c r="D242" s="49">
        <v>45147</v>
      </c>
      <c r="E242" s="50" t="s">
        <v>616</v>
      </c>
    </row>
    <row r="243" spans="1:5" x14ac:dyDescent="0.2">
      <c r="A243" s="44" t="str">
        <f t="shared" si="0"/>
        <v>Security Software Spend - Q2’23</v>
      </c>
      <c r="B243" s="44" t="str">
        <f>IF(ISNUMBER(MATCH(A243,'Calls without notes'!A:A,0)),A243,"")</f>
        <v>Security Software Spend - Q2’23</v>
      </c>
      <c r="C243" s="48" t="s">
        <v>617</v>
      </c>
      <c r="D243" s="49">
        <v>45140</v>
      </c>
      <c r="E243" s="50" t="s">
        <v>618</v>
      </c>
    </row>
    <row r="244" spans="1:5" x14ac:dyDescent="0.2">
      <c r="A244" s="44" t="str">
        <f t="shared" si="0"/>
        <v>Foodservice Distributors: Q2’23 &amp; Deflation Risk</v>
      </c>
      <c r="B244" s="44" t="str">
        <f>IF(ISNUMBER(MATCH(A244,'Calls without notes'!A:A,0)),A244,"")</f>
        <v>Foodservice Distributors: Q2’23 &amp; Deflation Risk</v>
      </c>
      <c r="C244" s="48" t="s">
        <v>619</v>
      </c>
      <c r="D244" s="49">
        <v>45134</v>
      </c>
      <c r="E244" s="50" t="s">
        <v>620</v>
      </c>
    </row>
    <row r="245" spans="1:5" x14ac:dyDescent="0.2">
      <c r="A245" s="44" t="str">
        <f t="shared" si="0"/>
        <v>Theme Parks: Passes &amp; Stocks on Sale?</v>
      </c>
      <c r="B245" s="44" t="str">
        <f>IF(ISNUMBER(MATCH(A245,'Calls without notes'!A:A,0)),A245,"")</f>
        <v>Theme Parks: Passes &amp; Stocks on Sale?</v>
      </c>
      <c r="C245" s="48" t="s">
        <v>621</v>
      </c>
      <c r="D245" s="49">
        <v>45133</v>
      </c>
      <c r="E245" s="50" t="s">
        <v>622</v>
      </c>
    </row>
    <row r="246" spans="1:5" x14ac:dyDescent="0.2">
      <c r="A246" s="44" t="str">
        <f t="shared" si="0"/>
        <v>CPRT, RBA &amp; Q2’23 Auction Action</v>
      </c>
      <c r="B246" s="44" t="str">
        <f>IF(ISNUMBER(MATCH(A246,'Calls without notes'!A:A,0)),A246,"")</f>
        <v>CPRT, RBA &amp; Q2’23 Auction Action</v>
      </c>
      <c r="C246" s="48" t="s">
        <v>623</v>
      </c>
      <c r="D246" s="49">
        <v>45133</v>
      </c>
      <c r="E246" s="50"/>
    </row>
    <row r="247" spans="1:5" x14ac:dyDescent="0.2">
      <c r="A247" s="44" t="str">
        <f t="shared" si="0"/>
        <v>VVV, DRVN &amp; Q2'23 Automotive Services</v>
      </c>
      <c r="B247" s="44" t="str">
        <f>IF(ISNUMBER(MATCH(A247,'Calls without notes'!A:A,0)),A247,"")</f>
        <v>VVV, DRVN &amp; Q2'23 Automotive Services</v>
      </c>
      <c r="C247" s="48" t="s">
        <v>624</v>
      </c>
      <c r="D247" s="49">
        <v>45131</v>
      </c>
      <c r="E247" s="50" t="s">
        <v>625</v>
      </c>
    </row>
    <row r="248" spans="1:5" x14ac:dyDescent="0.2">
      <c r="A248" s="44" t="str">
        <f t="shared" si="0"/>
        <v>DDOG Q2 &amp; 2023 Outlook</v>
      </c>
      <c r="B248" s="44" t="str">
        <f>IF(ISNUMBER(MATCH(A248,'Calls without notes'!A:A,0)),A248,"")</f>
        <v>DDOG Q2 &amp; 2023 Outlook</v>
      </c>
      <c r="C248" s="48" t="s">
        <v>626</v>
      </c>
      <c r="D248" s="49">
        <v>45128</v>
      </c>
      <c r="E248" s="50"/>
    </row>
    <row r="249" spans="1:5" x14ac:dyDescent="0.2">
      <c r="A249" s="44" t="str">
        <f t="shared" si="0"/>
        <v>Streaming Music w/ The CEO of SoundCloud</v>
      </c>
      <c r="B249" s="44" t="str">
        <f>IF(ISNUMBER(MATCH(A249,'Calls without notes'!A:A,0)),A249,"")</f>
        <v>Streaming Music w/ The CEO of SoundCloud</v>
      </c>
      <c r="C249" s="48" t="s">
        <v>627</v>
      </c>
      <c r="D249" s="49">
        <v>45128</v>
      </c>
      <c r="E249" s="50"/>
    </row>
    <row r="250" spans="1:5" x14ac:dyDescent="0.2">
      <c r="A250" s="44" t="str">
        <f t="shared" si="0"/>
        <v>AAP, AZO, ORLY: Checking Under the Hood</v>
      </c>
      <c r="B250" s="44" t="str">
        <f>IF(ISNUMBER(MATCH(A250,'Calls without notes'!A:A,0)),A250,"")</f>
        <v>AAP, AZO, ORLY: Checking Under the Hood</v>
      </c>
      <c r="C250" s="48" t="s">
        <v>628</v>
      </c>
      <c r="D250" s="49">
        <v>45127</v>
      </c>
      <c r="E250" s="50"/>
    </row>
    <row r="251" spans="1:5" x14ac:dyDescent="0.2">
      <c r="A251" s="44" t="str">
        <f t="shared" si="0"/>
        <v>ROL, RTO LN &amp; Q2'23 Pest Control Growth</v>
      </c>
      <c r="B251" s="44" t="str">
        <f>IF(ISNUMBER(MATCH(A251,'Calls without notes'!A:A,0)),A251,"")</f>
        <v>ROL, RTO LN &amp; Q2'23 Pest Control Growth</v>
      </c>
      <c r="C251" s="48" t="s">
        <v>629</v>
      </c>
      <c r="D251" s="49">
        <v>45127</v>
      </c>
      <c r="E251" s="50"/>
    </row>
    <row r="252" spans="1:5" x14ac:dyDescent="0.2">
      <c r="A252" s="44" t="str">
        <f t="shared" si="0"/>
        <v>ABNB &amp; Vacation Rentals: Summer 2023</v>
      </c>
      <c r="B252" s="44" t="str">
        <f>IF(ISNUMBER(MATCH(A252,'Calls without notes'!A:A,0)),A252,"")</f>
        <v>ABNB &amp; Vacation Rentals: Summer 2023</v>
      </c>
      <c r="C252" s="48" t="s">
        <v>630</v>
      </c>
      <c r="D252" s="49">
        <v>45126</v>
      </c>
      <c r="E252" s="50"/>
    </row>
    <row r="253" spans="1:5" x14ac:dyDescent="0.2">
      <c r="A253" s="44" t="str">
        <f t="shared" si="0"/>
        <v>ONON, DECK &amp; NKE: Sneaker Sales Losing Footing?</v>
      </c>
      <c r="B253" s="44" t="str">
        <f>IF(ISNUMBER(MATCH(A253,'Calls without notes'!A:A,0)),A253,"")</f>
        <v>ONON, DECK &amp; NKE: Sneaker Sales Losing Footing?</v>
      </c>
      <c r="C253" s="48" t="s">
        <v>631</v>
      </c>
      <c r="D253" s="49">
        <v>45125</v>
      </c>
      <c r="E253" s="50"/>
    </row>
    <row r="254" spans="1:5" x14ac:dyDescent="0.2">
      <c r="A254" s="44" t="str">
        <f t="shared" si="0"/>
        <v>MHK &amp; Q2'23 Flooring Demand</v>
      </c>
      <c r="B254" s="44" t="str">
        <f>IF(ISNUMBER(MATCH(A254,'Calls without notes'!A:A,0)),A254,"")</f>
        <v>MHK &amp; Q2'23 Flooring Demand</v>
      </c>
      <c r="C254" s="48" t="s">
        <v>632</v>
      </c>
      <c r="D254" s="49">
        <v>45125</v>
      </c>
      <c r="E254" s="50" t="s">
        <v>633</v>
      </c>
    </row>
    <row r="255" spans="1:5" x14ac:dyDescent="0.2">
      <c r="A255" s="44" t="str">
        <f t="shared" si="0"/>
        <v>ServiceNow Q2 &amp; 2023 Outlook</v>
      </c>
      <c r="B255" s="44" t="str">
        <f>IF(ISNUMBER(MATCH(A255,'Calls without notes'!A:A,0)),A255,"")</f>
        <v>ServiceNow Q2 &amp; 2023 Outlook</v>
      </c>
      <c r="C255" s="48" t="s">
        <v>634</v>
      </c>
      <c r="D255" s="49">
        <v>45121</v>
      </c>
      <c r="E255" s="50"/>
    </row>
    <row r="256" spans="1:5" x14ac:dyDescent="0.2">
      <c r="A256" s="44" t="str">
        <f t="shared" si="0"/>
        <v>Hotel Bookings: Direct vs OTAs</v>
      </c>
      <c r="B256" s="44" t="str">
        <f>IF(ISNUMBER(MATCH(A256,'Calls without notes'!A:A,0)),A256,"")</f>
        <v>Hotel Bookings: Direct vs OTAs</v>
      </c>
      <c r="C256" s="48" t="s">
        <v>635</v>
      </c>
      <c r="D256" s="49">
        <v>45120</v>
      </c>
      <c r="E256" s="50"/>
    </row>
    <row r="257" spans="1:5" x14ac:dyDescent="0.2">
      <c r="A257" s="44" t="str">
        <f t="shared" ref="A257:A324" si="1">MID(C257,FIND("REPLAY: ",C257)+LEN("REPLAY: "),LEN(C257))</f>
        <v>BC &amp; Q2'23: Sink or Float?</v>
      </c>
      <c r="B257" s="44" t="str">
        <f>IF(ISNUMBER(MATCH(A257,'Calls without notes'!A:A,0)),A257,"")</f>
        <v>BC &amp; Q2'23: Sink or Float?</v>
      </c>
      <c r="C257" s="48" t="s">
        <v>636</v>
      </c>
      <c r="D257" s="49">
        <v>45120</v>
      </c>
      <c r="E257" s="50" t="s">
        <v>637</v>
      </c>
    </row>
    <row r="258" spans="1:5" x14ac:dyDescent="0.2">
      <c r="A258" s="44" t="str">
        <f t="shared" si="1"/>
        <v>Q2 2023 Digital Advertising Update</v>
      </c>
      <c r="B258" s="44" t="str">
        <f>IF(ISNUMBER(MATCH(A258,'Calls without notes'!A:A,0)),A258,"")</f>
        <v/>
      </c>
      <c r="C258" s="48" t="s">
        <v>638</v>
      </c>
      <c r="D258" s="49">
        <v>45119</v>
      </c>
      <c r="E258" s="50"/>
    </row>
    <row r="259" spans="1:5" x14ac:dyDescent="0.2">
      <c r="A259" s="44" t="str">
        <f t="shared" si="1"/>
        <v>Q2'23 Software Update w/ $500M IT Integrator</v>
      </c>
      <c r="B259" s="44" t="str">
        <f>IF(ISNUMBER(MATCH(A259,'Calls without notes'!A:A,0)),A259,"")</f>
        <v/>
      </c>
      <c r="C259" s="48" t="s">
        <v>639</v>
      </c>
      <c r="D259" s="49">
        <v>45119</v>
      </c>
      <c r="E259" s="50"/>
    </row>
    <row r="260" spans="1:5" x14ac:dyDescent="0.2">
      <c r="A260" s="44" t="str">
        <f t="shared" si="1"/>
        <v>PLNT: Unit Growth &amp; Competition</v>
      </c>
      <c r="B260" s="44" t="str">
        <f>IF(ISNUMBER(MATCH(A260,'Calls without notes'!A:A,0)),A260,"")</f>
        <v>PLNT: Unit Growth &amp; Competition</v>
      </c>
      <c r="C260" s="48" t="s">
        <v>640</v>
      </c>
      <c r="D260" s="49">
        <v>45118</v>
      </c>
      <c r="E260" s="50"/>
    </row>
    <row r="261" spans="1:5" x14ac:dyDescent="0.2">
      <c r="A261" s="44" t="str">
        <f t="shared" si="1"/>
        <v>Macau - Summer Comeback?</v>
      </c>
      <c r="B261" s="44" t="str">
        <f>IF(ISNUMBER(MATCH(A261,'Calls without notes'!A:A,0)),A261,"")</f>
        <v>Macau - Summer Comeback?</v>
      </c>
      <c r="C261" s="48" t="s">
        <v>641</v>
      </c>
      <c r="D261" s="49">
        <v>45114</v>
      </c>
      <c r="E261" s="50" t="s">
        <v>642</v>
      </c>
    </row>
    <row r="262" spans="1:5" x14ac:dyDescent="0.2">
      <c r="A262" s="44" t="str">
        <f t="shared" si="1"/>
        <v>POOL, LESL: Return to Growth?</v>
      </c>
      <c r="B262" s="44" t="str">
        <f>IF(ISNUMBER(MATCH(A262,'Calls without notes'!A:A,0)),A262,"")</f>
        <v>POOL, LESL: Return to Growth?</v>
      </c>
      <c r="C262" s="48" t="s">
        <v>643</v>
      </c>
      <c r="D262" s="49">
        <v>45114</v>
      </c>
      <c r="E262" s="50" t="s">
        <v>591</v>
      </c>
    </row>
    <row r="263" spans="1:5" x14ac:dyDescent="0.2">
      <c r="A263" s="44" t="str">
        <f t="shared" si="1"/>
        <v>Measuring Streaming Media Audience and Ads</v>
      </c>
      <c r="B263" s="44" t="str">
        <f>IF(ISNUMBER(MATCH(A263,'Calls without notes'!A:A,0)),A263,"")</f>
        <v>Measuring Streaming Media Audience and Ads</v>
      </c>
      <c r="C263" s="48" t="s">
        <v>644</v>
      </c>
      <c r="D263" s="49">
        <v>45106</v>
      </c>
      <c r="E263" s="50"/>
    </row>
    <row r="264" spans="1:5" x14ac:dyDescent="0.2">
      <c r="A264" s="44" t="str">
        <f t="shared" si="1"/>
        <v>LW: Q4’23 &amp; New Crop Harvest</v>
      </c>
      <c r="B264" s="44" t="str">
        <f>IF(ISNUMBER(MATCH(A264,'Calls without notes'!A:A,0)),A264,"")</f>
        <v>LW: Q4’23 &amp; New Crop Harvest</v>
      </c>
      <c r="C264" s="48" t="s">
        <v>645</v>
      </c>
      <c r="D264" s="49">
        <v>45104</v>
      </c>
      <c r="E264" s="50"/>
    </row>
    <row r="265" spans="1:5" x14ac:dyDescent="0.2">
      <c r="A265" s="44" t="str">
        <f t="shared" si="1"/>
        <v>Large Digital Ad Agency Mid 2023 Update</v>
      </c>
      <c r="B265" s="44" t="str">
        <f>IF(ISNUMBER(MATCH(A265,'Calls without notes'!A:A,0)),A265,"")</f>
        <v>Large Digital Ad Agency Mid 2023 Update</v>
      </c>
      <c r="C265" s="48" t="s">
        <v>646</v>
      </c>
      <c r="D265" s="49">
        <v>45099</v>
      </c>
      <c r="E265" s="50"/>
    </row>
    <row r="266" spans="1:5" x14ac:dyDescent="0.2">
      <c r="A266" s="44" t="str">
        <f t="shared" si="1"/>
        <v>MTCH: Time to Swipe Right?</v>
      </c>
      <c r="B266" s="44" t="str">
        <f>IF(ISNUMBER(MATCH(A266,'Calls without notes'!A:A,0)),A266,"")</f>
        <v>MTCH: Time to Swipe Right?</v>
      </c>
      <c r="C266" s="48" t="s">
        <v>647</v>
      </c>
      <c r="D266" s="49">
        <v>45098</v>
      </c>
      <c r="E266" s="50"/>
    </row>
    <row r="267" spans="1:5" x14ac:dyDescent="0.2">
      <c r="A267" s="44" t="str">
        <f t="shared" si="1"/>
        <v>Q2’23 Beer Sales &amp; BUD’s Share Loss</v>
      </c>
      <c r="B267" s="44" t="str">
        <f>IF(ISNUMBER(MATCH(A267,'Calls without notes'!A:A,0)),A267,"")</f>
        <v>Q2’23 Beer Sales &amp; BUD’s Share Loss</v>
      </c>
      <c r="C267" s="48" t="s">
        <v>648</v>
      </c>
      <c r="D267" s="49">
        <v>45097</v>
      </c>
      <c r="E267" s="50" t="s">
        <v>649</v>
      </c>
    </row>
    <row r="268" spans="1:5" x14ac:dyDescent="0.2">
      <c r="A268" s="44" t="str">
        <f t="shared" si="1"/>
        <v>The Evolving Social Media Landscape</v>
      </c>
      <c r="B268" s="44" t="str">
        <f>IF(ISNUMBER(MATCH(A268,'Calls without notes'!A:A,0)),A268,"")</f>
        <v>The Evolving Social Media Landscape</v>
      </c>
      <c r="C268" s="48" t="s">
        <v>650</v>
      </c>
      <c r="D268" s="49">
        <v>45089</v>
      </c>
      <c r="E268" s="50" t="s">
        <v>651</v>
      </c>
    </row>
    <row r="269" spans="1:5" x14ac:dyDescent="0.2">
      <c r="A269" s="44" t="str">
        <f t="shared" si="1"/>
        <v>Grocery Growth &amp; Deflation Risk</v>
      </c>
      <c r="B269" s="44" t="str">
        <f>IF(ISNUMBER(MATCH(A269,'Calls without notes'!A:A,0)),A269,"")</f>
        <v>Grocery Growth &amp; Deflation Risk</v>
      </c>
      <c r="C269" s="48" t="s">
        <v>652</v>
      </c>
      <c r="D269" s="49">
        <v>45089</v>
      </c>
      <c r="E269" s="50" t="s">
        <v>614</v>
      </c>
    </row>
    <row r="270" spans="1:5" x14ac:dyDescent="0.2">
      <c r="A270" s="44" t="str">
        <f t="shared" si="1"/>
        <v>NFLX, DIS &amp; Q2’23 CTV/OTT Ad Demand</v>
      </c>
      <c r="B270" s="44" t="str">
        <f>IF(ISNUMBER(MATCH(A270,'Calls without notes'!A:A,0)),A270,"")</f>
        <v>NFLX, DIS &amp; Q2’23 CTV/OTT Ad Demand</v>
      </c>
      <c r="C270" s="48" t="s">
        <v>653</v>
      </c>
      <c r="D270" s="49">
        <v>45085</v>
      </c>
      <c r="E270" s="50" t="s">
        <v>654</v>
      </c>
    </row>
    <row r="271" spans="1:5" x14ac:dyDescent="0.2">
      <c r="A271" s="44" t="str">
        <f t="shared" si="1"/>
        <v>ADBE’s Q2’23 &amp; AI Hype</v>
      </c>
      <c r="B271" s="44" t="str">
        <f>IF(ISNUMBER(MATCH(A271,'Calls without notes'!A:A,0)),A271,"")</f>
        <v>ADBE’s Q2’23 &amp; AI Hype</v>
      </c>
      <c r="C271" s="48" t="s">
        <v>655</v>
      </c>
      <c r="D271" s="49">
        <v>45083</v>
      </c>
      <c r="E271" s="50"/>
    </row>
    <row r="272" spans="1:5" x14ac:dyDescent="0.2">
      <c r="A272" s="44" t="str">
        <f t="shared" si="1"/>
        <v>Wayfair &amp; Furniture: Mid-2023 Update</v>
      </c>
      <c r="B272" s="44" t="str">
        <f>IF(ISNUMBER(MATCH(A272,'Calls without notes'!A:A,0)),A272,"")</f>
        <v>Wayfair &amp; Furniture: Mid-2023 Update</v>
      </c>
      <c r="C272" s="48" t="s">
        <v>656</v>
      </c>
      <c r="D272" s="49">
        <v>45079</v>
      </c>
      <c r="E272" s="50"/>
    </row>
    <row r="273" spans="1:5" x14ac:dyDescent="0.2">
      <c r="A273" s="44" t="str">
        <f t="shared" si="1"/>
        <v>Vail Resorts &amp; 2023-24 Pass Sales</v>
      </c>
      <c r="B273" s="44" t="str">
        <f>IF(ISNUMBER(MATCH(A273,'Calls without notes'!A:A,0)),A273,"")</f>
        <v>Vail Resorts &amp; 2023-24 Pass Sales</v>
      </c>
      <c r="C273" s="48" t="s">
        <v>657</v>
      </c>
      <c r="D273" s="49">
        <v>45071</v>
      </c>
      <c r="E273" s="50"/>
    </row>
    <row r="274" spans="1:5" x14ac:dyDescent="0.2">
      <c r="A274" s="44" t="str">
        <f t="shared" si="1"/>
        <v>FERG &amp; New Home Plumbing Demand</v>
      </c>
      <c r="B274" s="44" t="str">
        <f>IF(ISNUMBER(MATCH(A274,'Calls without notes'!A:A,0)),A274,"")</f>
        <v>FERG &amp; New Home Plumbing Demand</v>
      </c>
      <c r="C274" s="48" t="s">
        <v>658</v>
      </c>
      <c r="D274" s="49">
        <v>45062</v>
      </c>
      <c r="E274" s="50"/>
    </row>
    <row r="275" spans="1:5" x14ac:dyDescent="0.2">
      <c r="A275" s="44" t="str">
        <f t="shared" si="1"/>
        <v>SPLK, SNOW and Q1 Optimization</v>
      </c>
      <c r="B275" s="44" t="str">
        <f>IF(ISNUMBER(MATCH(A275,'Calls without notes'!A:A,0)),A275,"")</f>
        <v>SPLK, SNOW and Q1 Optimization</v>
      </c>
      <c r="C275" s="48" t="s">
        <v>659</v>
      </c>
      <c r="D275" s="49">
        <v>45061</v>
      </c>
      <c r="E275" s="50"/>
    </row>
    <row r="276" spans="1:5" x14ac:dyDescent="0.2">
      <c r="A276" s="44" t="str">
        <f t="shared" si="1"/>
        <v>Off-Price Retail on Trend?</v>
      </c>
      <c r="B276" s="44" t="str">
        <f>IF(ISNUMBER(MATCH(A276,'Calls without notes'!A:A,0)),A276,"")</f>
        <v>Off-Price Retail on Trend?</v>
      </c>
      <c r="C276" s="48" t="s">
        <v>660</v>
      </c>
      <c r="D276" s="49">
        <v>45058</v>
      </c>
      <c r="E276" s="50"/>
    </row>
    <row r="277" spans="1:5" x14ac:dyDescent="0.2">
      <c r="A277" s="44" t="str">
        <f t="shared" si="1"/>
        <v>Foodservice Distributors: Q1’23 Update</v>
      </c>
      <c r="B277" s="44" t="str">
        <f>IF(ISNUMBER(MATCH(A277,'Calls without notes'!A:A,0)),A277,"")</f>
        <v>Foodservice Distributors: Q1’23 Update</v>
      </c>
      <c r="C277" s="48" t="s">
        <v>661</v>
      </c>
      <c r="D277" s="49">
        <v>45054</v>
      </c>
      <c r="E277" s="50"/>
    </row>
    <row r="278" spans="1:5" x14ac:dyDescent="0.2">
      <c r="A278" s="44" t="str">
        <f t="shared" si="1"/>
        <v>ONON, DECK &amp; NKE: Lacing up for Earnings</v>
      </c>
      <c r="B278" s="44" t="str">
        <f>IF(ISNUMBER(MATCH(A278,'Calls without notes'!A:A,0)),A278,"")</f>
        <v/>
      </c>
      <c r="C278" s="48" t="s">
        <v>662</v>
      </c>
      <c r="D278" s="49">
        <v>45051</v>
      </c>
      <c r="E278" s="50"/>
    </row>
    <row r="279" spans="1:5" x14ac:dyDescent="0.2">
      <c r="A279" s="44" t="str">
        <f t="shared" si="1"/>
        <v>VVV &amp; Q1 Oil Change Trends</v>
      </c>
      <c r="B279" s="44" t="str">
        <f>IF(ISNUMBER(MATCH(A279,'Calls without notes'!A:A,0)),A279,"")</f>
        <v>VVV &amp; Q1 Oil Change Trends</v>
      </c>
      <c r="C279" s="48" t="s">
        <v>663</v>
      </c>
      <c r="D279" s="49">
        <v>45049</v>
      </c>
      <c r="E279" s="50" t="s">
        <v>664</v>
      </c>
    </row>
    <row r="280" spans="1:5" x14ac:dyDescent="0.2">
      <c r="A280" s="44" t="str">
        <f t="shared" si="1"/>
        <v>DDOG Q1 &amp; 2023 Outlook</v>
      </c>
      <c r="B280" s="44" t="str">
        <f>IF(ISNUMBER(MATCH(A280,'Calls without notes'!A:A,0)),A280,"")</f>
        <v>DDOG Q1 &amp; 2023 Outlook</v>
      </c>
      <c r="C280" s="48" t="s">
        <v>665</v>
      </c>
      <c r="D280" s="49">
        <v>45047</v>
      </c>
      <c r="E280" s="50"/>
    </row>
    <row r="281" spans="1:5" x14ac:dyDescent="0.2">
      <c r="A281" s="44" t="str">
        <f t="shared" si="1"/>
        <v>Security Software’s Q1 &amp; 2023 Spending</v>
      </c>
      <c r="B281" s="44" t="str">
        <f>IF(ISNUMBER(MATCH(A281,'Calls without notes'!A:A,0)),A281,"")</f>
        <v>Security Software’s Q1 &amp; 2023 Spending</v>
      </c>
      <c r="C281" s="48" t="s">
        <v>666</v>
      </c>
      <c r="D281" s="49">
        <v>45044</v>
      </c>
      <c r="E281" s="50"/>
    </row>
    <row r="282" spans="1:5" x14ac:dyDescent="0.2">
      <c r="A282" s="44" t="str">
        <f t="shared" si="1"/>
        <v>Q1'23 Hotels Update with Large Management Company</v>
      </c>
      <c r="B282" s="44" t="str">
        <f>IF(ISNUMBER(MATCH(A282,'Calls without notes'!A:A,0)),A282,"")</f>
        <v>Q1'23 Hotels Update with Large Management Company</v>
      </c>
      <c r="C282" s="48" t="s">
        <v>667</v>
      </c>
      <c r="D282" s="49">
        <v>45043</v>
      </c>
      <c r="E282" s="50"/>
    </row>
    <row r="283" spans="1:5" x14ac:dyDescent="0.2">
      <c r="A283" s="44" t="str">
        <f t="shared" si="1"/>
        <v>The Return of China’s Outbound Traveler</v>
      </c>
      <c r="B283" s="44" t="str">
        <f>IF(ISNUMBER(MATCH(A283,'Calls without notes'!A:A,0)),A283,"")</f>
        <v>The Return of China’s Outbound Traveler</v>
      </c>
      <c r="C283" s="48" t="s">
        <v>668</v>
      </c>
      <c r="D283" s="49">
        <v>45041</v>
      </c>
      <c r="E283" s="50"/>
    </row>
    <row r="284" spans="1:5" x14ac:dyDescent="0.2">
      <c r="A284" s="44" t="str">
        <f t="shared" si="1"/>
        <v>ServiceNow Q1 &amp; 2023 Outlook</v>
      </c>
      <c r="B284" s="44" t="str">
        <f>IF(ISNUMBER(MATCH(A284,'Calls without notes'!A:A,0)),A284,"")</f>
        <v>ServiceNow Q1 &amp; 2023 Outlook</v>
      </c>
      <c r="C284" s="48" t="s">
        <v>669</v>
      </c>
      <c r="D284" s="49">
        <v>45037</v>
      </c>
      <c r="E284" s="50" t="s">
        <v>670</v>
      </c>
    </row>
    <row r="285" spans="1:5" x14ac:dyDescent="0.2">
      <c r="A285" s="44" t="str">
        <f t="shared" si="1"/>
        <v>Macau Back in Action</v>
      </c>
      <c r="B285" s="44" t="str">
        <f>IF(ISNUMBER(MATCH(A285,'Calls without notes'!A:A,0)),A285,"")</f>
        <v>Macau Back in Action</v>
      </c>
      <c r="C285" s="48" t="s">
        <v>671</v>
      </c>
      <c r="D285" s="49">
        <v>45036</v>
      </c>
      <c r="E285" s="50"/>
    </row>
    <row r="286" spans="1:5" x14ac:dyDescent="0.2">
      <c r="A286" s="44" t="str">
        <f t="shared" si="1"/>
        <v>Theme Parks: Attendance, Pricing &amp; Strategies</v>
      </c>
      <c r="B286" s="44" t="str">
        <f>IF(ISNUMBER(MATCH(A286,'Calls without notes'!A:A,0)),A286,"")</f>
        <v>Theme Parks: Attendance, Pricing &amp; Strategies</v>
      </c>
      <c r="C286" s="48" t="s">
        <v>672</v>
      </c>
      <c r="D286" s="49">
        <v>45035</v>
      </c>
      <c r="E286" s="50" t="s">
        <v>622</v>
      </c>
    </row>
    <row r="287" spans="1:5" x14ac:dyDescent="0.2">
      <c r="A287" s="44" t="str">
        <f t="shared" si="1"/>
        <v>ABNB: Short-Term Rentals Growth Short Lived?</v>
      </c>
      <c r="B287" s="44" t="str">
        <f>IF(ISNUMBER(MATCH(A287,'Calls without notes'!A:A,0)),A287,"")</f>
        <v>ABNB: Short-Term Rentals Growth Short Lived?</v>
      </c>
      <c r="C287" s="48" t="s">
        <v>673</v>
      </c>
      <c r="D287" s="49">
        <v>45034</v>
      </c>
      <c r="E287" s="50" t="s">
        <v>586</v>
      </c>
    </row>
    <row r="288" spans="1:5" x14ac:dyDescent="0.2">
      <c r="A288" s="44" t="str">
        <f t="shared" si="1"/>
        <v>BC &amp; Post-Pandemic Boat Demand</v>
      </c>
      <c r="B288" s="44" t="str">
        <f>IF(ISNUMBER(MATCH(A288,'Calls without notes'!A:A,0)),A288,"")</f>
        <v>BC &amp; Post-Pandemic Boat Demand</v>
      </c>
      <c r="C288" s="48" t="s">
        <v>674</v>
      </c>
      <c r="D288" s="49">
        <v>45033</v>
      </c>
      <c r="E288" s="50"/>
    </row>
    <row r="289" spans="1:5" x14ac:dyDescent="0.2">
      <c r="A289" s="44" t="str">
        <f t="shared" si="1"/>
        <v>POOL, LESL: Diving for Value?</v>
      </c>
      <c r="B289" s="44" t="str">
        <f>IF(ISNUMBER(MATCH(A289,'Calls without notes'!A:A,0)),A289,"")</f>
        <v>POOL, LESL: Diving for Value?</v>
      </c>
      <c r="C289" s="48" t="s">
        <v>675</v>
      </c>
      <c r="D289" s="49">
        <v>45027</v>
      </c>
      <c r="E289" s="50" t="s">
        <v>591</v>
      </c>
    </row>
    <row r="290" spans="1:5" x14ac:dyDescent="0.2">
      <c r="A290" s="44" t="str">
        <f t="shared" si="1"/>
        <v>ROL, RTO LN &amp; US Pest Control Competition</v>
      </c>
      <c r="B290" s="44" t="str">
        <f>IF(ISNUMBER(MATCH(A290,'Calls without notes'!A:A,0)),A290,"")</f>
        <v>ROL, RTO LN &amp; US Pest Control Competition</v>
      </c>
      <c r="C290" s="48" t="s">
        <v>676</v>
      </c>
      <c r="D290" s="49">
        <v>45026</v>
      </c>
      <c r="E290" s="50"/>
    </row>
    <row r="291" spans="1:5" x14ac:dyDescent="0.2">
      <c r="A291" s="44" t="str">
        <f t="shared" si="1"/>
        <v>Q1’23 Cloud and APM Preview</v>
      </c>
      <c r="B291" s="44" t="str">
        <f>IF(ISNUMBER(MATCH(A291,'Calls without notes'!A:A,0)),A291,"")</f>
        <v>Q1’23 Cloud and APM Preview</v>
      </c>
      <c r="C291" s="48" t="s">
        <v>677</v>
      </c>
      <c r="D291" s="49">
        <v>45021</v>
      </c>
      <c r="E291" s="50"/>
    </row>
    <row r="292" spans="1:5" x14ac:dyDescent="0.2">
      <c r="A292" s="44" t="str">
        <f t="shared" si="1"/>
        <v>Q1 2023 Digital Advertising Update</v>
      </c>
      <c r="B292" s="44" t="str">
        <f>IF(ISNUMBER(MATCH(A292,'Calls without notes'!A:A,0)),A292,"")</f>
        <v/>
      </c>
      <c r="C292" s="48" t="s">
        <v>678</v>
      </c>
      <c r="D292" s="49">
        <v>45021</v>
      </c>
      <c r="E292" s="50" t="s">
        <v>679</v>
      </c>
    </row>
    <row r="293" spans="1:5" x14ac:dyDescent="0.2">
      <c r="A293" s="44" t="str">
        <f t="shared" si="1"/>
        <v>Amazon's Cloudy Future - The Next Era of Competition</v>
      </c>
      <c r="B293" s="44" t="str">
        <f>IF(ISNUMBER(MATCH(A293,'Calls without notes'!A:A,0)),A293,"")</f>
        <v/>
      </c>
      <c r="C293" s="48" t="s">
        <v>680</v>
      </c>
      <c r="D293" s="49">
        <v>45020</v>
      </c>
      <c r="E293" s="50"/>
    </row>
    <row r="294" spans="1:5" x14ac:dyDescent="0.2">
      <c r="A294" s="44" t="str">
        <f t="shared" si="1"/>
        <v>Ready to Drink: Beer vs. Cocktails</v>
      </c>
      <c r="B294" s="44" t="str">
        <f>IF(ISNUMBER(MATCH(A294,'Calls without notes'!A:A,0)),A294,"")</f>
        <v>Ready to Drink: Beer vs. Cocktails</v>
      </c>
      <c r="C294" s="48" t="s">
        <v>681</v>
      </c>
      <c r="D294" s="49">
        <v>45014</v>
      </c>
      <c r="E294" s="50" t="s">
        <v>649</v>
      </c>
    </row>
    <row r="295" spans="1:5" x14ac:dyDescent="0.2">
      <c r="A295" s="44" t="str">
        <f t="shared" si="1"/>
        <v>Used Auto Sales - Q1 ‘23</v>
      </c>
      <c r="B295" s="44" t="str">
        <f>IF(ISNUMBER(MATCH(A295,'Calls without notes'!A:A,0)),A295,"")</f>
        <v>Used Auto Sales - Q1 ‘23</v>
      </c>
      <c r="C295" s="48" t="s">
        <v>682</v>
      </c>
      <c r="D295" s="49">
        <v>45014</v>
      </c>
      <c r="E295" s="50" t="s">
        <v>683</v>
      </c>
    </row>
    <row r="296" spans="1:5" x14ac:dyDescent="0.2">
      <c r="A296" s="44" t="str">
        <f t="shared" si="1"/>
        <v>NFLX, DIS &amp; Q1’23 CTV/OTT Ad Demand</v>
      </c>
      <c r="B296" s="44" t="str">
        <f>IF(ISNUMBER(MATCH(A296,'Calls without notes'!A:A,0)),A296,"")</f>
        <v>NFLX, DIS &amp; Q1’23 CTV/OTT Ad Demand</v>
      </c>
      <c r="C296" s="48" t="s">
        <v>684</v>
      </c>
      <c r="D296" s="49">
        <v>45012</v>
      </c>
      <c r="E296" s="50"/>
    </row>
    <row r="297" spans="1:5" x14ac:dyDescent="0.2">
      <c r="A297" s="44" t="str">
        <f t="shared" si="1"/>
        <v>NFLX, DIS &amp; Evolving Content Strategies</v>
      </c>
      <c r="B297" s="44" t="str">
        <f>IF(ISNUMBER(MATCH(A297,'Calls without notes'!A:A,0)),A297,"")</f>
        <v>NFLX, DIS &amp; Evolving Content Strategies</v>
      </c>
      <c r="C297" s="48" t="s">
        <v>685</v>
      </c>
      <c r="D297" s="49">
        <v>45008</v>
      </c>
      <c r="E297" s="50" t="s">
        <v>686</v>
      </c>
    </row>
    <row r="298" spans="1:5" x14ac:dyDescent="0.2">
      <c r="A298" s="44" t="str">
        <f t="shared" si="1"/>
        <v>LW: Frozen Fries or Frozen Stock?</v>
      </c>
      <c r="B298" s="44" t="str">
        <f>IF(ISNUMBER(MATCH(A298,'Calls without notes'!A:A,0)),A298,"")</f>
        <v/>
      </c>
      <c r="C298" s="48" t="s">
        <v>687</v>
      </c>
      <c r="D298" s="49">
        <v>45006</v>
      </c>
      <c r="E298" s="50" t="s">
        <v>688</v>
      </c>
    </row>
    <row r="299" spans="1:5" x14ac:dyDescent="0.2">
      <c r="A299" s="44" t="str">
        <f t="shared" si="1"/>
        <v>Florida Short Term Rentals Panel</v>
      </c>
      <c r="B299" s="44" t="str">
        <f>IF(ISNUMBER(MATCH(A299,'Calls without notes'!A:A,0)),A299,"")</f>
        <v>Florida Short Term Rentals Panel</v>
      </c>
      <c r="C299" s="48" t="s">
        <v>689</v>
      </c>
      <c r="D299" s="49">
        <v>45000</v>
      </c>
      <c r="E299" s="50"/>
    </row>
    <row r="300" spans="1:5" x14ac:dyDescent="0.2">
      <c r="A300" s="44" t="str">
        <f t="shared" si="1"/>
        <v>ADBE’s Q1’23 Earnings &amp; DOJ Overhang</v>
      </c>
      <c r="B300" s="44" t="str">
        <f>IF(ISNUMBER(MATCH(A300,'Calls without notes'!A:A,0)),A300,"")</f>
        <v>ADBE’s Q1’23 Earnings &amp; DOJ Overhang</v>
      </c>
      <c r="C300" s="48" t="s">
        <v>690</v>
      </c>
      <c r="D300" s="49">
        <v>44992</v>
      </c>
      <c r="E300" s="50"/>
    </row>
    <row r="301" spans="1:5" x14ac:dyDescent="0.2">
      <c r="A301" s="44" t="str">
        <f t="shared" si="1"/>
        <v>ONON, DECK: Who’s Winning Share?</v>
      </c>
      <c r="B301" s="44" t="str">
        <f>IF(ISNUMBER(MATCH(A301,'Calls without notes'!A:A,0)),A301,"")</f>
        <v>ONON, DECK: Who’s Winning Share?</v>
      </c>
      <c r="C301" s="48" t="s">
        <v>691</v>
      </c>
      <c r="D301" s="49">
        <v>44988</v>
      </c>
      <c r="E301" s="50" t="s">
        <v>692</v>
      </c>
    </row>
    <row r="302" spans="1:5" x14ac:dyDescent="0.2">
      <c r="A302" s="44" t="str">
        <f t="shared" si="1"/>
        <v>Vail Resorts Lifted by Labor Supply</v>
      </c>
      <c r="B302" s="44" t="str">
        <f>IF(ISNUMBER(MATCH(A302,'Calls without notes'!A:A,0)),A302,"")</f>
        <v>Vail Resorts Lifted by Labor Supply</v>
      </c>
      <c r="C302" s="48" t="s">
        <v>693</v>
      </c>
      <c r="D302" s="49">
        <v>44986</v>
      </c>
      <c r="E302" s="50"/>
    </row>
    <row r="303" spans="1:5" x14ac:dyDescent="0.2">
      <c r="A303" s="44" t="str">
        <f t="shared" si="1"/>
        <v>GOOGL &amp; OpenAI – Will LLMs be Disruptive for Search?</v>
      </c>
      <c r="B303" s="44" t="str">
        <f>IF(ISNUMBER(MATCH(A303,'Calls without notes'!A:A,0)),A303,"")</f>
        <v/>
      </c>
      <c r="C303" s="48" t="s">
        <v>694</v>
      </c>
      <c r="D303" s="49">
        <v>44980</v>
      </c>
      <c r="E303" s="50"/>
    </row>
    <row r="304" spans="1:5" x14ac:dyDescent="0.2">
      <c r="A304" s="44" t="str">
        <f t="shared" si="1"/>
        <v>Is Live Nation a Hot Ticket for 2023?</v>
      </c>
      <c r="B304" s="44" t="str">
        <f>IF(ISNUMBER(MATCH(A304,'Calls without notes'!A:A,0)),A304,"")</f>
        <v>Is Live Nation a Hot Ticket for 2023?</v>
      </c>
      <c r="C304" s="48" t="s">
        <v>695</v>
      </c>
      <c r="D304" s="49">
        <v>44973</v>
      </c>
      <c r="E304" s="50" t="s">
        <v>696</v>
      </c>
    </row>
    <row r="305" spans="1:5" x14ac:dyDescent="0.2">
      <c r="A305" s="44" t="str">
        <f t="shared" si="1"/>
        <v>CWH’s Q4 &amp; RV Sales Update</v>
      </c>
      <c r="B305" s="44" t="str">
        <f>IF(ISNUMBER(MATCH(A305,'Calls without notes'!A:A,0)),A305,"")</f>
        <v>CWH’s Q4 &amp; RV Sales Update</v>
      </c>
      <c r="C305" s="48" t="s">
        <v>697</v>
      </c>
      <c r="D305" s="49">
        <v>44972</v>
      </c>
      <c r="E305" s="50" t="s">
        <v>698</v>
      </c>
    </row>
    <row r="306" spans="1:5" x14ac:dyDescent="0.2">
      <c r="A306" s="44" t="str">
        <f t="shared" si="1"/>
        <v>Wayfair &amp; Furniture: Reading 2023 Demand</v>
      </c>
      <c r="B306" s="44" t="str">
        <f>IF(ISNUMBER(MATCH(A306,'Calls without notes'!A:A,0)),A306,"")</f>
        <v>Wayfair &amp; Furniture: Reading 2023 Demand</v>
      </c>
      <c r="C306" s="48" t="s">
        <v>699</v>
      </c>
      <c r="D306" s="49">
        <v>44966</v>
      </c>
      <c r="E306" s="50" t="s">
        <v>700</v>
      </c>
    </row>
    <row r="307" spans="1:5" x14ac:dyDescent="0.2">
      <c r="A307" s="44" t="str">
        <f t="shared" si="1"/>
        <v>Off-Price Retail Stocks Still a Bargain?</v>
      </c>
      <c r="B307" s="44" t="str">
        <f>IF(ISNUMBER(MATCH(A307,'Calls without notes'!A:A,0)),A307,"")</f>
        <v>Off-Price Retail Stocks Still a Bargain?</v>
      </c>
      <c r="C307" s="48" t="s">
        <v>701</v>
      </c>
      <c r="D307" s="49">
        <v>44966</v>
      </c>
      <c r="E307" s="50" t="s">
        <v>616</v>
      </c>
    </row>
    <row r="308" spans="1:5" x14ac:dyDescent="0.2">
      <c r="A308" s="44" t="str">
        <f t="shared" si="1"/>
        <v>The Future of Messaging</v>
      </c>
      <c r="B308" s="44" t="str">
        <f>IF(ISNUMBER(MATCH(A308,'Calls without notes'!A:A,0)),A308,"")</f>
        <v>The Future of Messaging</v>
      </c>
      <c r="C308" s="48" t="s">
        <v>702</v>
      </c>
      <c r="D308" s="49">
        <v>44965</v>
      </c>
      <c r="E308" s="50" t="s">
        <v>703</v>
      </c>
    </row>
    <row r="309" spans="1:5" x14ac:dyDescent="0.2">
      <c r="A309" s="44" t="str">
        <f t="shared" si="1"/>
        <v>CPRT, IAA: Lower Pricing Driving Volumes?</v>
      </c>
      <c r="B309" s="44" t="str">
        <f>IF(ISNUMBER(MATCH(A309,'Calls without notes'!A:A,0)),A309,"")</f>
        <v>CPRT, IAA: Lower Pricing Driving Volumes?</v>
      </c>
      <c r="C309" s="48" t="s">
        <v>704</v>
      </c>
      <c r="D309" s="49">
        <v>44965</v>
      </c>
      <c r="E309" s="50" t="s">
        <v>705</v>
      </c>
    </row>
    <row r="310" spans="1:5" x14ac:dyDescent="0.2">
      <c r="A310" s="44" t="str">
        <f t="shared" si="1"/>
        <v>Keysight &amp; the 5G Capex Cycle</v>
      </c>
      <c r="B310" s="44" t="str">
        <f>IF(ISNUMBER(MATCH(A310,'Calls without notes'!A:A,0)),A310,"")</f>
        <v>Keysight &amp; the 5G Capex Cycle</v>
      </c>
      <c r="C310" s="48" t="s">
        <v>706</v>
      </c>
      <c r="D310" s="49">
        <v>44964</v>
      </c>
      <c r="E310" s="50" t="s">
        <v>707</v>
      </c>
    </row>
    <row r="311" spans="1:5" x14ac:dyDescent="0.2">
      <c r="A311" s="44" t="str">
        <f t="shared" si="1"/>
        <v>Security Software’s Q4 &amp; 2023 Growth</v>
      </c>
      <c r="B311" s="44" t="str">
        <f>IF(ISNUMBER(MATCH(A311,'Calls without notes'!A:A,0)),A311,"")</f>
        <v>Security Software’s Q4 &amp; 2023 Growth</v>
      </c>
      <c r="C311" s="48" t="s">
        <v>708</v>
      </c>
      <c r="D311" s="49">
        <v>44964</v>
      </c>
      <c r="E311" s="50" t="s">
        <v>709</v>
      </c>
    </row>
    <row r="312" spans="1:5" x14ac:dyDescent="0.2">
      <c r="A312" s="44" t="str">
        <f t="shared" si="1"/>
        <v>PLNT’s New Year Resolution: More Members</v>
      </c>
      <c r="B312" s="44" t="str">
        <f>IF(ISNUMBER(MATCH(A312,'Calls without notes'!A:A,0)),A312,"")</f>
        <v>PLNT’s New Year Resolution: More Members</v>
      </c>
      <c r="C312" s="48" t="s">
        <v>710</v>
      </c>
      <c r="D312" s="49">
        <v>44957</v>
      </c>
      <c r="E312" s="50" t="s">
        <v>711</v>
      </c>
    </row>
    <row r="313" spans="1:5" x14ac:dyDescent="0.2">
      <c r="A313" s="44" t="str">
        <f t="shared" si="1"/>
        <v>Q4'22 Hotels Update with Large Management Company</v>
      </c>
      <c r="B313" s="44" t="str">
        <f>IF(ISNUMBER(MATCH(A313,'Calls without notes'!A:A,0)),A313,"")</f>
        <v>Q4'22 Hotels Update with Large Management Company</v>
      </c>
      <c r="C313" s="48" t="s">
        <v>712</v>
      </c>
      <c r="D313" s="49">
        <v>44957</v>
      </c>
      <c r="E313" s="50" t="s">
        <v>713</v>
      </c>
    </row>
    <row r="314" spans="1:5" x14ac:dyDescent="0.2">
      <c r="A314" s="44" t="str">
        <f t="shared" si="1"/>
        <v>2023 Protein Supply &amp; Demand</v>
      </c>
      <c r="B314" s="44" t="str">
        <f>IF(ISNUMBER(MATCH(A314,'Calls without notes'!A:A,0)),A314,"")</f>
        <v>2023 Protein Supply &amp; Demand</v>
      </c>
      <c r="C314" s="48" t="s">
        <v>714</v>
      </c>
      <c r="D314" s="49">
        <v>44956</v>
      </c>
      <c r="E314" s="50" t="s">
        <v>715</v>
      </c>
    </row>
    <row r="315" spans="1:5" x14ac:dyDescent="0.2">
      <c r="A315" s="44" t="str">
        <f t="shared" si="1"/>
        <v>Foodservice Distributors: Q4 &amp; 2023 Outlook</v>
      </c>
      <c r="B315" s="44" t="str">
        <f>IF(ISNUMBER(MATCH(A315,'Calls without notes'!A:A,0)),A315,"")</f>
        <v>Foodservice Distributors: Q4 &amp; 2023 Outlook</v>
      </c>
      <c r="C315" s="48" t="s">
        <v>716</v>
      </c>
      <c r="D315" s="49">
        <v>44952</v>
      </c>
      <c r="E315" s="50" t="s">
        <v>620</v>
      </c>
    </row>
    <row r="316" spans="1:5" x14ac:dyDescent="0.2">
      <c r="A316" s="44" t="str">
        <f t="shared" si="1"/>
        <v>Regional Casinos, Sports Betting, &amp; 2023 Growth</v>
      </c>
      <c r="B316" s="44" t="str">
        <f>IF(ISNUMBER(MATCH(A316,'Calls without notes'!A:A,0)),A316,"")</f>
        <v>Regional Casinos, Sports Betting, &amp; 2023 Growth</v>
      </c>
      <c r="C316" s="48" t="s">
        <v>717</v>
      </c>
      <c r="D316" s="49">
        <v>44950</v>
      </c>
      <c r="E316" s="50" t="s">
        <v>718</v>
      </c>
    </row>
    <row r="317" spans="1:5" x14ac:dyDescent="0.2">
      <c r="A317" s="44" t="str">
        <f t="shared" si="1"/>
        <v>Cloud and Observability Software 2023</v>
      </c>
      <c r="B317" s="44" t="str">
        <f>IF(ISNUMBER(MATCH(A317,'Calls without notes'!A:A,0)),A317,"")</f>
        <v>Cloud and Observability Software 2023</v>
      </c>
      <c r="C317" s="48" t="s">
        <v>719</v>
      </c>
      <c r="D317" s="49">
        <v>44950</v>
      </c>
      <c r="E317" s="50" t="s">
        <v>720</v>
      </c>
    </row>
    <row r="318" spans="1:5" x14ac:dyDescent="0.2">
      <c r="A318" s="44" t="str">
        <f t="shared" si="1"/>
        <v>ServiceNow Q4 &amp; 2023 Outlook</v>
      </c>
      <c r="B318" s="44" t="str">
        <f>IF(ISNUMBER(MATCH(A318,'Calls without notes'!A:A,0)),A318,"")</f>
        <v>ServiceNow Q4 &amp; 2023 Outlook</v>
      </c>
      <c r="C318" s="48" t="s">
        <v>721</v>
      </c>
      <c r="D318" s="49">
        <v>44949</v>
      </c>
      <c r="E318" s="50" t="s">
        <v>670</v>
      </c>
    </row>
    <row r="319" spans="1:5" x14ac:dyDescent="0.2">
      <c r="A319" s="44" t="str">
        <f t="shared" si="1"/>
        <v>AAP, AZO, ORLY: Finding the Right Parts</v>
      </c>
      <c r="B319" s="44" t="str">
        <f>IF(ISNUMBER(MATCH(A319,'Calls without notes'!A:A,0)),A319,"")</f>
        <v>AAP, AZO, ORLY: Finding the Right Parts</v>
      </c>
      <c r="C319" s="48" t="s">
        <v>722</v>
      </c>
      <c r="D319" s="49">
        <v>44945</v>
      </c>
      <c r="E319" s="50" t="s">
        <v>723</v>
      </c>
    </row>
    <row r="320" spans="1:5" x14ac:dyDescent="0.2">
      <c r="A320" s="44" t="str">
        <f t="shared" si="1"/>
        <v>Q4 2022 Digital Advertising Update</v>
      </c>
      <c r="B320" s="44" t="str">
        <f>IF(ISNUMBER(MATCH(A320,'Calls without notes'!A:A,0)),A320,"")</f>
        <v/>
      </c>
      <c r="C320" s="48" t="s">
        <v>724</v>
      </c>
      <c r="D320" s="49">
        <v>44944</v>
      </c>
      <c r="E320" s="50" t="s">
        <v>725</v>
      </c>
    </row>
    <row r="321" spans="1:5" x14ac:dyDescent="0.2">
      <c r="A321" s="44" t="str">
        <f t="shared" si="1"/>
        <v>Theme Parks: Big Prize or Rollercoaster Ahead?</v>
      </c>
      <c r="B321" s="44" t="str">
        <f>IF(ISNUMBER(MATCH(A321,'Calls without notes'!A:A,0)),A321,"")</f>
        <v>Theme Parks: Big Prize or Rollercoaster Ahead?</v>
      </c>
      <c r="C321" s="48" t="s">
        <v>726</v>
      </c>
      <c r="D321" s="49">
        <v>44943</v>
      </c>
      <c r="E321" s="50" t="s">
        <v>622</v>
      </c>
    </row>
    <row r="322" spans="1:5" x14ac:dyDescent="0.2">
      <c r="A322" s="44" t="str">
        <f t="shared" si="1"/>
        <v>Macau 2023 Outlook</v>
      </c>
      <c r="B322" s="44" t="str">
        <f>IF(ISNUMBER(MATCH(A322,'Calls without notes'!A:A,0)),A322,"")</f>
        <v>Macau 2023 Outlook</v>
      </c>
      <c r="C322" s="48" t="s">
        <v>727</v>
      </c>
      <c r="D322" s="49">
        <v>44938</v>
      </c>
      <c r="E322" s="50" t="s">
        <v>728</v>
      </c>
    </row>
    <row r="323" spans="1:5" x14ac:dyDescent="0.2">
      <c r="A323" s="44" t="str">
        <f t="shared" si="1"/>
        <v>Ferrari’s Purosangue Joins the SUV Race</v>
      </c>
      <c r="B323" s="44" t="str">
        <f>IF(ISNUMBER(MATCH(A323,'Calls without notes'!A:A,0)),A323,"")</f>
        <v/>
      </c>
      <c r="C323" s="48" t="s">
        <v>729</v>
      </c>
      <c r="D323" s="49">
        <v>44931</v>
      </c>
      <c r="E323" s="50" t="s">
        <v>730</v>
      </c>
    </row>
    <row r="324" spans="1:5" x14ac:dyDescent="0.2">
      <c r="A324" s="44" t="str">
        <f t="shared" si="1"/>
        <v>ABNB: Booking Out 2023?</v>
      </c>
      <c r="B324" s="44" t="str">
        <f>IF(ISNUMBER(MATCH(A324,'Calls without notes'!A:A,0)),A324,"")</f>
        <v/>
      </c>
      <c r="C324" s="48" t="s">
        <v>731</v>
      </c>
      <c r="D324" s="49">
        <v>44930</v>
      </c>
      <c r="E324" s="50" t="s">
        <v>586</v>
      </c>
    </row>
    <row r="325" spans="1:5" x14ac:dyDescent="0.2">
      <c r="A325" s="44"/>
      <c r="B325" s="44"/>
      <c r="C325" s="48"/>
      <c r="D325" s="49"/>
      <c r="E325" s="50"/>
    </row>
    <row r="326" spans="1:5" x14ac:dyDescent="0.2">
      <c r="A326" s="44"/>
      <c r="B326" s="44"/>
      <c r="C326" s="48"/>
      <c r="D326" s="49"/>
      <c r="E326" s="50"/>
    </row>
    <row r="327" spans="1:5" x14ac:dyDescent="0.2">
      <c r="A327" s="44"/>
      <c r="B327" s="44"/>
      <c r="C327" s="48"/>
      <c r="D327" s="49"/>
      <c r="E327" s="50"/>
    </row>
    <row r="328" spans="1:5" x14ac:dyDescent="0.2">
      <c r="A328" s="44"/>
      <c r="B328" s="44"/>
      <c r="C328" s="48"/>
      <c r="D328" s="49"/>
      <c r="E328" s="50"/>
    </row>
    <row r="329" spans="1:5" x14ac:dyDescent="0.2">
      <c r="A329" s="44"/>
      <c r="B329" s="44"/>
      <c r="C329" s="48"/>
      <c r="D329" s="49"/>
      <c r="E329" s="50"/>
    </row>
    <row r="330" spans="1:5" x14ac:dyDescent="0.2">
      <c r="A330" s="44"/>
      <c r="B330" s="44"/>
      <c r="C330" s="48"/>
      <c r="D330" s="49"/>
      <c r="E330" s="50"/>
    </row>
    <row r="331" spans="1:5" x14ac:dyDescent="0.2">
      <c r="A331" s="44"/>
      <c r="B331" s="44"/>
      <c r="C331" s="48"/>
      <c r="D331" s="49"/>
      <c r="E331" s="50"/>
    </row>
    <row r="332" spans="1:5" x14ac:dyDescent="0.2">
      <c r="A332" s="44"/>
      <c r="B332" s="44"/>
      <c r="C332" s="48"/>
      <c r="D332" s="49"/>
      <c r="E332" s="50"/>
    </row>
    <row r="333" spans="1:5" x14ac:dyDescent="0.2">
      <c r="A333" s="44"/>
      <c r="B333" s="44"/>
      <c r="C333" s="48"/>
      <c r="D333" s="49"/>
      <c r="E333" s="50"/>
    </row>
    <row r="334" spans="1:5" x14ac:dyDescent="0.2">
      <c r="A334" s="44"/>
      <c r="B334" s="44"/>
      <c r="C334" s="48"/>
      <c r="D334" s="49"/>
      <c r="E334" s="50"/>
    </row>
    <row r="335" spans="1:5" x14ac:dyDescent="0.2">
      <c r="A335" s="44"/>
      <c r="B335" s="44"/>
      <c r="C335" s="48"/>
      <c r="D335" s="49"/>
      <c r="E335" s="50"/>
    </row>
    <row r="336" spans="1:5" x14ac:dyDescent="0.2">
      <c r="A336" s="44"/>
      <c r="B336" s="44"/>
      <c r="C336" s="48"/>
      <c r="D336" s="49"/>
      <c r="E336" s="50"/>
    </row>
    <row r="337" spans="1:5" x14ac:dyDescent="0.2">
      <c r="A337" s="44"/>
      <c r="B337" s="44"/>
      <c r="C337" s="48"/>
      <c r="D337" s="49"/>
      <c r="E337" s="50"/>
    </row>
    <row r="338" spans="1:5" x14ac:dyDescent="0.2">
      <c r="A338" s="44"/>
      <c r="B338" s="44"/>
      <c r="C338" s="48"/>
      <c r="D338" s="49"/>
      <c r="E338" s="50"/>
    </row>
    <row r="339" spans="1:5" x14ac:dyDescent="0.2">
      <c r="A339" s="44"/>
      <c r="B339" s="44"/>
      <c r="C339" s="48"/>
      <c r="D339" s="49"/>
      <c r="E339" s="50"/>
    </row>
    <row r="340" spans="1:5" x14ac:dyDescent="0.2">
      <c r="A340" s="44"/>
      <c r="B340" s="44"/>
      <c r="C340" s="48"/>
      <c r="D340" s="49"/>
      <c r="E340" s="50"/>
    </row>
    <row r="341" spans="1:5" x14ac:dyDescent="0.2">
      <c r="A341" s="44"/>
      <c r="B341" s="44"/>
      <c r="C341" s="48"/>
      <c r="D341" s="49"/>
      <c r="E341" s="50"/>
    </row>
    <row r="342" spans="1:5" x14ac:dyDescent="0.2">
      <c r="A342" s="44"/>
      <c r="B342" s="44"/>
      <c r="C342" s="48"/>
      <c r="D342" s="49"/>
      <c r="E342" s="50"/>
    </row>
    <row r="343" spans="1:5" x14ac:dyDescent="0.2">
      <c r="A343" s="44"/>
      <c r="B343" s="44"/>
      <c r="C343" s="48"/>
      <c r="D343" s="49"/>
      <c r="E343" s="50"/>
    </row>
    <row r="344" spans="1:5" x14ac:dyDescent="0.2">
      <c r="A344" s="44"/>
      <c r="B344" s="44"/>
      <c r="C344" s="48"/>
      <c r="D344" s="49"/>
      <c r="E344" s="50"/>
    </row>
    <row r="345" spans="1:5" x14ac:dyDescent="0.2">
      <c r="A345" s="44"/>
      <c r="B345" s="44"/>
      <c r="C345" s="48"/>
      <c r="D345" s="49"/>
      <c r="E345" s="50"/>
    </row>
    <row r="346" spans="1:5" x14ac:dyDescent="0.2">
      <c r="A346" s="44"/>
      <c r="B346" s="44"/>
      <c r="C346" s="48"/>
      <c r="D346" s="49"/>
      <c r="E346" s="50"/>
    </row>
    <row r="347" spans="1:5" x14ac:dyDescent="0.2">
      <c r="A347" s="44"/>
      <c r="B347" s="44"/>
      <c r="C347" s="48"/>
      <c r="D347" s="49"/>
      <c r="E347" s="50"/>
    </row>
    <row r="348" spans="1:5" x14ac:dyDescent="0.2">
      <c r="A348" s="44"/>
      <c r="B348" s="44"/>
      <c r="C348" s="48"/>
      <c r="D348" s="49"/>
      <c r="E348" s="50"/>
    </row>
    <row r="349" spans="1:5" x14ac:dyDescent="0.2">
      <c r="A349" s="44"/>
      <c r="B349" s="44"/>
      <c r="C349" s="48"/>
      <c r="D349" s="49"/>
      <c r="E349" s="50"/>
    </row>
    <row r="350" spans="1:5" x14ac:dyDescent="0.2">
      <c r="A350" s="44"/>
      <c r="B350" s="44"/>
      <c r="C350" s="48"/>
      <c r="D350" s="49"/>
      <c r="E350" s="50"/>
    </row>
    <row r="351" spans="1:5" x14ac:dyDescent="0.2">
      <c r="A351" s="44"/>
      <c r="B351" s="44"/>
      <c r="C351" s="48"/>
      <c r="D351" s="49"/>
      <c r="E351" s="50"/>
    </row>
    <row r="352" spans="1:5" x14ac:dyDescent="0.2">
      <c r="A352" s="44"/>
      <c r="B352" s="44"/>
      <c r="C352" s="48"/>
      <c r="D352" s="49"/>
      <c r="E352" s="50"/>
    </row>
    <row r="353" spans="1:5" x14ac:dyDescent="0.2">
      <c r="A353" s="44"/>
      <c r="B353" s="44"/>
      <c r="C353" s="48"/>
      <c r="D353" s="49"/>
      <c r="E353" s="50"/>
    </row>
    <row r="354" spans="1:5" x14ac:dyDescent="0.2">
      <c r="A354" s="44"/>
      <c r="B354" s="44"/>
      <c r="C354" s="48"/>
      <c r="D354" s="49"/>
      <c r="E354" s="50"/>
    </row>
    <row r="355" spans="1:5" x14ac:dyDescent="0.2">
      <c r="A355" s="44"/>
      <c r="B355" s="44"/>
      <c r="C355" s="48"/>
      <c r="D355" s="49"/>
      <c r="E355" s="50"/>
    </row>
    <row r="356" spans="1:5" x14ac:dyDescent="0.2">
      <c r="A356" s="44"/>
      <c r="B356" s="44"/>
      <c r="C356" s="48"/>
      <c r="D356" s="49"/>
      <c r="E356" s="50"/>
    </row>
    <row r="357" spans="1:5" x14ac:dyDescent="0.2">
      <c r="A357" s="44"/>
      <c r="B357" s="44"/>
      <c r="C357" s="48"/>
      <c r="D357" s="49"/>
      <c r="E357" s="50"/>
    </row>
    <row r="358" spans="1:5" x14ac:dyDescent="0.2">
      <c r="A358" s="44"/>
      <c r="B358" s="44"/>
      <c r="C358" s="48"/>
      <c r="D358" s="49"/>
      <c r="E358" s="50"/>
    </row>
    <row r="359" spans="1:5" x14ac:dyDescent="0.2">
      <c r="A359" s="44"/>
      <c r="B359" s="44"/>
      <c r="C359" s="48"/>
      <c r="D359" s="49"/>
      <c r="E359" s="50"/>
    </row>
    <row r="360" spans="1:5" x14ac:dyDescent="0.2">
      <c r="A360" s="44"/>
      <c r="B360" s="44"/>
      <c r="C360" s="48"/>
      <c r="D360" s="49"/>
      <c r="E360" s="50"/>
    </row>
    <row r="361" spans="1:5" x14ac:dyDescent="0.2">
      <c r="A361" s="44"/>
      <c r="B361" s="44"/>
      <c r="C361" s="48"/>
      <c r="D361" s="49"/>
      <c r="E361" s="50"/>
    </row>
    <row r="362" spans="1:5" x14ac:dyDescent="0.2">
      <c r="A362" s="44"/>
      <c r="B362" s="44"/>
      <c r="C362" s="48"/>
      <c r="D362" s="49"/>
      <c r="E362" s="50"/>
    </row>
    <row r="363" spans="1:5" x14ac:dyDescent="0.2">
      <c r="A363" s="44"/>
      <c r="B363" s="44"/>
      <c r="C363" s="48"/>
      <c r="D363" s="49"/>
      <c r="E363" s="50"/>
    </row>
    <row r="364" spans="1:5" x14ac:dyDescent="0.2">
      <c r="A364" s="44"/>
      <c r="B364" s="44"/>
      <c r="C364" s="48"/>
      <c r="D364" s="49"/>
      <c r="E364" s="50"/>
    </row>
    <row r="365" spans="1:5" x14ac:dyDescent="0.2">
      <c r="A365" s="44"/>
      <c r="B365" s="44"/>
      <c r="C365" s="48"/>
      <c r="D365" s="49"/>
      <c r="E365" s="50"/>
    </row>
    <row r="366" spans="1:5" x14ac:dyDescent="0.2">
      <c r="A366" s="44"/>
      <c r="B366" s="44"/>
      <c r="C366" s="48"/>
      <c r="D366" s="49"/>
      <c r="E366" s="50"/>
    </row>
    <row r="367" spans="1:5" x14ac:dyDescent="0.2">
      <c r="A367" s="44"/>
      <c r="B367" s="44"/>
      <c r="C367" s="48"/>
      <c r="D367" s="49"/>
      <c r="E367" s="50"/>
    </row>
    <row r="368" spans="1:5" x14ac:dyDescent="0.2">
      <c r="A368" s="44"/>
      <c r="B368" s="44"/>
      <c r="C368" s="48"/>
      <c r="D368" s="49"/>
      <c r="E368" s="50"/>
    </row>
    <row r="369" spans="1:5" x14ac:dyDescent="0.2">
      <c r="A369" s="44"/>
      <c r="B369" s="44"/>
      <c r="C369" s="48"/>
      <c r="D369" s="49"/>
      <c r="E369" s="50"/>
    </row>
    <row r="370" spans="1:5" x14ac:dyDescent="0.2">
      <c r="A370" s="44"/>
      <c r="B370" s="44"/>
      <c r="C370" s="48"/>
      <c r="D370" s="49"/>
      <c r="E370" s="50"/>
    </row>
    <row r="371" spans="1:5" x14ac:dyDescent="0.2">
      <c r="A371" s="44"/>
      <c r="B371" s="44"/>
      <c r="C371" s="48"/>
      <c r="D371" s="49"/>
      <c r="E371" s="50"/>
    </row>
    <row r="372" spans="1:5" x14ac:dyDescent="0.2">
      <c r="A372" s="44"/>
      <c r="B372" s="44"/>
      <c r="C372" s="48"/>
      <c r="D372" s="49"/>
      <c r="E372" s="50"/>
    </row>
    <row r="373" spans="1:5" x14ac:dyDescent="0.2">
      <c r="A373" s="44"/>
      <c r="B373" s="44"/>
      <c r="C373" s="48"/>
      <c r="D373" s="49"/>
      <c r="E373" s="50"/>
    </row>
    <row r="374" spans="1:5" x14ac:dyDescent="0.2">
      <c r="A374" s="44"/>
      <c r="B374" s="44"/>
      <c r="C374" s="48"/>
      <c r="D374" s="49"/>
      <c r="E374" s="50"/>
    </row>
    <row r="375" spans="1:5" x14ac:dyDescent="0.2">
      <c r="A375" s="44"/>
      <c r="B375" s="44"/>
      <c r="C375" s="48"/>
      <c r="D375" s="49"/>
      <c r="E375" s="50"/>
    </row>
    <row r="376" spans="1:5" x14ac:dyDescent="0.2">
      <c r="A376" s="44"/>
      <c r="B376" s="44"/>
      <c r="C376" s="48"/>
      <c r="D376" s="49"/>
      <c r="E376" s="50"/>
    </row>
    <row r="377" spans="1:5" x14ac:dyDescent="0.2">
      <c r="A377" s="44"/>
      <c r="B377" s="44"/>
      <c r="C377" s="48"/>
      <c r="D377" s="49"/>
      <c r="E377" s="50"/>
    </row>
    <row r="378" spans="1:5" x14ac:dyDescent="0.2">
      <c r="A378" s="44"/>
      <c r="B378" s="44"/>
      <c r="C378" s="48"/>
      <c r="D378" s="49"/>
      <c r="E378" s="50"/>
    </row>
    <row r="379" spans="1:5" x14ac:dyDescent="0.2">
      <c r="A379" s="44"/>
      <c r="B379" s="44"/>
      <c r="C379" s="48"/>
      <c r="D379" s="49"/>
      <c r="E379" s="50"/>
    </row>
    <row r="380" spans="1:5" x14ac:dyDescent="0.2">
      <c r="A380" s="44"/>
      <c r="B380" s="44"/>
      <c r="C380" s="48"/>
      <c r="D380" s="49"/>
      <c r="E380" s="50"/>
    </row>
    <row r="381" spans="1:5" x14ac:dyDescent="0.2">
      <c r="A381" s="44"/>
      <c r="B381" s="44"/>
      <c r="C381" s="48"/>
      <c r="D381" s="49"/>
      <c r="E381" s="50"/>
    </row>
    <row r="382" spans="1:5" x14ac:dyDescent="0.2">
      <c r="A382" s="44"/>
      <c r="B382" s="44"/>
      <c r="C382" s="48"/>
      <c r="D382" s="49"/>
      <c r="E382" s="50"/>
    </row>
    <row r="383" spans="1:5" x14ac:dyDescent="0.2">
      <c r="A383" s="44"/>
      <c r="B383" s="44"/>
      <c r="C383" s="48"/>
      <c r="D383" s="49"/>
      <c r="E383" s="50"/>
    </row>
    <row r="384" spans="1:5" x14ac:dyDescent="0.2">
      <c r="A384" s="44"/>
      <c r="B384" s="44"/>
      <c r="C384" s="48"/>
      <c r="D384" s="49"/>
      <c r="E384" s="50"/>
    </row>
    <row r="385" spans="1:5" x14ac:dyDescent="0.2">
      <c r="A385" s="44"/>
      <c r="B385" s="44"/>
      <c r="C385" s="48"/>
      <c r="D385" s="49"/>
      <c r="E385" s="50"/>
    </row>
    <row r="386" spans="1:5" x14ac:dyDescent="0.2">
      <c r="A386" s="44"/>
      <c r="B386" s="44"/>
      <c r="C386" s="48"/>
      <c r="D386" s="49"/>
      <c r="E386" s="50"/>
    </row>
    <row r="387" spans="1:5" x14ac:dyDescent="0.2">
      <c r="A387" s="44"/>
      <c r="B387" s="44"/>
      <c r="C387" s="48"/>
      <c r="D387" s="49"/>
      <c r="E387" s="50"/>
    </row>
    <row r="388" spans="1:5" x14ac:dyDescent="0.2">
      <c r="A388" s="44"/>
      <c r="B388" s="44"/>
      <c r="C388" s="48"/>
      <c r="D388" s="49"/>
      <c r="E388" s="50"/>
    </row>
    <row r="389" spans="1:5" x14ac:dyDescent="0.2">
      <c r="A389" s="44"/>
      <c r="B389" s="44"/>
      <c r="C389" s="48"/>
      <c r="D389" s="49"/>
      <c r="E389" s="50"/>
    </row>
    <row r="390" spans="1:5" x14ac:dyDescent="0.2">
      <c r="A390" s="44"/>
      <c r="B390" s="44"/>
      <c r="C390" s="48"/>
      <c r="D390" s="49"/>
      <c r="E390" s="50"/>
    </row>
    <row r="391" spans="1:5" x14ac:dyDescent="0.2">
      <c r="A391" s="44"/>
      <c r="B391" s="44"/>
      <c r="C391" s="48"/>
      <c r="D391" s="49"/>
      <c r="E391" s="50"/>
    </row>
    <row r="392" spans="1:5" x14ac:dyDescent="0.2">
      <c r="A392" s="44"/>
      <c r="B392" s="44"/>
      <c r="C392" s="48"/>
      <c r="D392" s="49"/>
      <c r="E392" s="50"/>
    </row>
    <row r="393" spans="1:5" x14ac:dyDescent="0.2">
      <c r="A393" s="44"/>
      <c r="B393" s="44"/>
      <c r="C393" s="48"/>
      <c r="D393" s="49"/>
      <c r="E393" s="50"/>
    </row>
    <row r="394" spans="1:5" x14ac:dyDescent="0.2">
      <c r="A394" s="44"/>
      <c r="B394" s="44"/>
      <c r="C394" s="48"/>
      <c r="D394" s="49"/>
      <c r="E394" s="50"/>
    </row>
    <row r="395" spans="1:5" x14ac:dyDescent="0.2">
      <c r="A395" s="44"/>
      <c r="B395" s="44"/>
      <c r="C395" s="48"/>
      <c r="D395" s="49"/>
      <c r="E395" s="50"/>
    </row>
    <row r="396" spans="1:5" x14ac:dyDescent="0.2">
      <c r="A396" s="44"/>
      <c r="B396" s="44"/>
      <c r="C396" s="48"/>
      <c r="D396" s="49"/>
      <c r="E396" s="50"/>
    </row>
    <row r="397" spans="1:5" x14ac:dyDescent="0.2">
      <c r="A397" s="44"/>
      <c r="B397" s="44"/>
      <c r="C397" s="48"/>
      <c r="D397" s="49"/>
      <c r="E397" s="50"/>
    </row>
    <row r="398" spans="1:5" x14ac:dyDescent="0.2">
      <c r="A398" s="44"/>
      <c r="B398" s="44"/>
      <c r="C398" s="48"/>
      <c r="D398" s="49"/>
      <c r="E398" s="50"/>
    </row>
    <row r="399" spans="1:5" x14ac:dyDescent="0.2">
      <c r="A399" s="44"/>
      <c r="B399" s="44"/>
      <c r="C399" s="48"/>
      <c r="D399" s="49"/>
      <c r="E399" s="50"/>
    </row>
    <row r="400" spans="1:5" x14ac:dyDescent="0.2">
      <c r="A400" s="44"/>
      <c r="B400" s="44"/>
      <c r="C400" s="48"/>
      <c r="D400" s="49"/>
      <c r="E400" s="50"/>
    </row>
    <row r="401" spans="1:5" x14ac:dyDescent="0.2">
      <c r="A401" s="44"/>
      <c r="B401" s="44"/>
      <c r="C401" s="48"/>
      <c r="D401" s="49"/>
      <c r="E401" s="50"/>
    </row>
    <row r="402" spans="1:5" x14ac:dyDescent="0.2">
      <c r="A402" s="44"/>
      <c r="B402" s="44"/>
      <c r="C402" s="45"/>
      <c r="D402" s="46"/>
      <c r="E402" s="47"/>
    </row>
    <row r="403" spans="1:5" x14ac:dyDescent="0.2">
      <c r="A403" s="44"/>
      <c r="B403" s="44"/>
      <c r="C403" s="48"/>
      <c r="D403" s="49"/>
      <c r="E403" s="50"/>
    </row>
    <row r="404" spans="1:5" x14ac:dyDescent="0.2">
      <c r="A404" s="44"/>
      <c r="B404" s="44"/>
      <c r="C404" s="48"/>
      <c r="D404" s="49"/>
      <c r="E404" s="58"/>
    </row>
    <row r="405" spans="1:5" x14ac:dyDescent="0.2">
      <c r="A405" s="44"/>
      <c r="B405" s="44"/>
      <c r="C405" s="48"/>
      <c r="D405" s="49"/>
      <c r="E405" s="58"/>
    </row>
    <row r="406" spans="1:5" x14ac:dyDescent="0.2">
      <c r="A406" s="44"/>
      <c r="B406" s="44"/>
      <c r="C406" s="48"/>
      <c r="D406" s="49"/>
      <c r="E406" s="58"/>
    </row>
    <row r="407" spans="1:5" x14ac:dyDescent="0.2">
      <c r="A407" s="44"/>
      <c r="B407" s="44"/>
      <c r="C407" s="48"/>
      <c r="D407" s="49"/>
      <c r="E407" s="58"/>
    </row>
    <row r="408" spans="1:5" x14ac:dyDescent="0.2">
      <c r="A408" s="44"/>
      <c r="B408" s="44"/>
      <c r="C408" s="48"/>
      <c r="D408" s="49"/>
      <c r="E408" s="58"/>
    </row>
    <row r="409" spans="1:5" x14ac:dyDescent="0.2">
      <c r="A409" s="44"/>
      <c r="B409" s="44"/>
      <c r="C409" s="48"/>
      <c r="D409" s="49"/>
      <c r="E409" s="58"/>
    </row>
    <row r="410" spans="1:5" x14ac:dyDescent="0.2">
      <c r="A410" s="44"/>
      <c r="B410" s="44"/>
      <c r="C410" s="48"/>
      <c r="D410" s="49"/>
      <c r="E410" s="58"/>
    </row>
    <row r="411" spans="1:5" x14ac:dyDescent="0.2">
      <c r="A411" s="44"/>
      <c r="B411" s="44"/>
      <c r="C411" s="48"/>
      <c r="D411" s="49"/>
      <c r="E411" s="58"/>
    </row>
    <row r="412" spans="1:5" x14ac:dyDescent="0.2">
      <c r="A412" s="59"/>
      <c r="B412" s="59"/>
    </row>
    <row r="413" spans="1:5" x14ac:dyDescent="0.2">
      <c r="A413" s="59"/>
      <c r="B413" s="59"/>
    </row>
    <row r="414" spans="1:5" x14ac:dyDescent="0.2">
      <c r="A414" s="59"/>
      <c r="B414" s="59"/>
    </row>
    <row r="415" spans="1:5" x14ac:dyDescent="0.2">
      <c r="A415" s="59"/>
      <c r="B415" s="59"/>
    </row>
    <row r="416" spans="1:5" x14ac:dyDescent="0.2">
      <c r="A416" s="59"/>
      <c r="B416" s="59"/>
    </row>
    <row r="417" spans="1:2" x14ac:dyDescent="0.2">
      <c r="A417" s="59"/>
      <c r="B417" s="59"/>
    </row>
    <row r="418" spans="1:2" x14ac:dyDescent="0.2">
      <c r="A418" s="59"/>
      <c r="B418" s="59"/>
    </row>
    <row r="419" spans="1:2" x14ac:dyDescent="0.2">
      <c r="A419" s="59"/>
      <c r="B419" s="59"/>
    </row>
    <row r="420" spans="1:2" x14ac:dyDescent="0.2">
      <c r="A420" s="59"/>
      <c r="B420" s="59"/>
    </row>
    <row r="421" spans="1:2" x14ac:dyDescent="0.2">
      <c r="A421" s="59"/>
      <c r="B421" s="59"/>
    </row>
    <row r="422" spans="1:2" x14ac:dyDescent="0.2">
      <c r="A422" s="59"/>
      <c r="B422" s="59"/>
    </row>
    <row r="423" spans="1:2" x14ac:dyDescent="0.2">
      <c r="A423" s="59"/>
      <c r="B423" s="59"/>
    </row>
    <row r="424" spans="1:2" x14ac:dyDescent="0.2">
      <c r="A424" s="59"/>
      <c r="B424" s="59"/>
    </row>
    <row r="425" spans="1:2" x14ac:dyDescent="0.2">
      <c r="A425" s="59"/>
      <c r="B425" s="59"/>
    </row>
    <row r="426" spans="1:2" x14ac:dyDescent="0.2">
      <c r="A426" s="59"/>
      <c r="B426" s="59"/>
    </row>
    <row r="427" spans="1:2" x14ac:dyDescent="0.2">
      <c r="A427" s="59"/>
      <c r="B427" s="59"/>
    </row>
    <row r="428" spans="1:2" x14ac:dyDescent="0.2">
      <c r="A428" s="59"/>
      <c r="B428" s="59"/>
    </row>
    <row r="429" spans="1:2" x14ac:dyDescent="0.2">
      <c r="A429" s="59"/>
      <c r="B429" s="59"/>
    </row>
    <row r="430" spans="1:2" x14ac:dyDescent="0.2">
      <c r="A430" s="59"/>
      <c r="B430" s="59"/>
    </row>
    <row r="431" spans="1:2" x14ac:dyDescent="0.2">
      <c r="A431" s="59"/>
      <c r="B431" s="59"/>
    </row>
    <row r="432" spans="1:2" x14ac:dyDescent="0.2">
      <c r="A432" s="59"/>
      <c r="B432" s="59"/>
    </row>
    <row r="433" spans="1:2" x14ac:dyDescent="0.2">
      <c r="A433" s="59"/>
      <c r="B433" s="59"/>
    </row>
    <row r="434" spans="1:2" x14ac:dyDescent="0.2">
      <c r="A434" s="59"/>
      <c r="B434" s="59"/>
    </row>
    <row r="435" spans="1:2" x14ac:dyDescent="0.2">
      <c r="A435" s="59"/>
      <c r="B435" s="59"/>
    </row>
    <row r="436" spans="1:2" x14ac:dyDescent="0.2">
      <c r="A436" s="59"/>
      <c r="B436" s="59"/>
    </row>
    <row r="437" spans="1:2" x14ac:dyDescent="0.2">
      <c r="A437" s="59"/>
      <c r="B437" s="59"/>
    </row>
    <row r="438" spans="1:2" x14ac:dyDescent="0.2">
      <c r="A438" s="59"/>
      <c r="B438" s="59"/>
    </row>
    <row r="439" spans="1:2" x14ac:dyDescent="0.2">
      <c r="A439" s="59"/>
      <c r="B439" s="59"/>
    </row>
    <row r="440" spans="1:2" x14ac:dyDescent="0.2">
      <c r="A440" s="59"/>
      <c r="B440" s="59"/>
    </row>
    <row r="441" spans="1:2" x14ac:dyDescent="0.2">
      <c r="A441" s="59"/>
      <c r="B441" s="59"/>
    </row>
    <row r="442" spans="1:2" x14ac:dyDescent="0.2">
      <c r="A442" s="59"/>
      <c r="B442" s="59"/>
    </row>
    <row r="443" spans="1:2" x14ac:dyDescent="0.2">
      <c r="A443" s="59"/>
      <c r="B443" s="59"/>
    </row>
    <row r="444" spans="1:2" x14ac:dyDescent="0.2">
      <c r="A444" s="59"/>
      <c r="B444" s="59"/>
    </row>
    <row r="445" spans="1:2" x14ac:dyDescent="0.2">
      <c r="A445" s="59"/>
      <c r="B445" s="59"/>
    </row>
    <row r="446" spans="1:2" x14ac:dyDescent="0.2">
      <c r="A446" s="59"/>
      <c r="B446" s="59"/>
    </row>
    <row r="447" spans="1:2" x14ac:dyDescent="0.2">
      <c r="A447" s="59"/>
      <c r="B447" s="59"/>
    </row>
    <row r="448" spans="1:2" x14ac:dyDescent="0.2">
      <c r="A448" s="59"/>
      <c r="B448" s="59"/>
    </row>
    <row r="449" spans="1:2" x14ac:dyDescent="0.2">
      <c r="A449" s="59"/>
      <c r="B449" s="59"/>
    </row>
    <row r="450" spans="1:2" x14ac:dyDescent="0.2">
      <c r="A450" s="59"/>
      <c r="B450" s="59"/>
    </row>
    <row r="451" spans="1:2" x14ac:dyDescent="0.2">
      <c r="A451" s="59"/>
      <c r="B451" s="59"/>
    </row>
    <row r="452" spans="1:2" x14ac:dyDescent="0.2">
      <c r="A452" s="59"/>
      <c r="B452" s="59"/>
    </row>
    <row r="453" spans="1:2" x14ac:dyDescent="0.2">
      <c r="A453" s="59"/>
      <c r="B453" s="59"/>
    </row>
    <row r="454" spans="1:2" x14ac:dyDescent="0.2">
      <c r="A454" s="59"/>
      <c r="B454" s="59"/>
    </row>
    <row r="455" spans="1:2" x14ac:dyDescent="0.2">
      <c r="A455" s="59"/>
      <c r="B455" s="59"/>
    </row>
    <row r="456" spans="1:2" x14ac:dyDescent="0.2">
      <c r="A456" s="59"/>
      <c r="B456" s="59"/>
    </row>
    <row r="457" spans="1:2" x14ac:dyDescent="0.2">
      <c r="A457" s="59"/>
      <c r="B457" s="59"/>
    </row>
    <row r="458" spans="1:2" x14ac:dyDescent="0.2">
      <c r="A458" s="59"/>
      <c r="B458" s="59"/>
    </row>
    <row r="459" spans="1:2" x14ac:dyDescent="0.2">
      <c r="A459" s="59"/>
      <c r="B459" s="59"/>
    </row>
    <row r="460" spans="1:2" x14ac:dyDescent="0.2">
      <c r="A460" s="59"/>
      <c r="B460" s="59"/>
    </row>
    <row r="461" spans="1:2" x14ac:dyDescent="0.2">
      <c r="A461" s="59"/>
      <c r="B461" s="59"/>
    </row>
    <row r="462" spans="1:2" x14ac:dyDescent="0.2">
      <c r="A462" s="59"/>
      <c r="B462" s="59"/>
    </row>
    <row r="463" spans="1:2" x14ac:dyDescent="0.2">
      <c r="A463" s="59"/>
      <c r="B463" s="59"/>
    </row>
    <row r="464" spans="1:2" x14ac:dyDescent="0.2">
      <c r="A464" s="59"/>
      <c r="B464" s="59"/>
    </row>
    <row r="465" spans="1:2" x14ac:dyDescent="0.2">
      <c r="A465" s="59"/>
      <c r="B465" s="59"/>
    </row>
    <row r="466" spans="1:2" x14ac:dyDescent="0.2">
      <c r="A466" s="59"/>
      <c r="B466" s="59"/>
    </row>
    <row r="467" spans="1:2" x14ac:dyDescent="0.2">
      <c r="A467" s="59"/>
      <c r="B467" s="59"/>
    </row>
    <row r="468" spans="1:2" x14ac:dyDescent="0.2">
      <c r="A468" s="59"/>
      <c r="B468" s="59"/>
    </row>
    <row r="469" spans="1:2" x14ac:dyDescent="0.2">
      <c r="A469" s="59"/>
      <c r="B469" s="59"/>
    </row>
    <row r="470" spans="1:2" x14ac:dyDescent="0.2">
      <c r="A470" s="59"/>
      <c r="B470" s="59"/>
    </row>
    <row r="471" spans="1:2" x14ac:dyDescent="0.2">
      <c r="A471" s="59"/>
      <c r="B471" s="59"/>
    </row>
    <row r="472" spans="1:2" x14ac:dyDescent="0.2">
      <c r="A472" s="59"/>
      <c r="B472" s="59"/>
    </row>
    <row r="473" spans="1:2" x14ac:dyDescent="0.2">
      <c r="A473" s="59"/>
      <c r="B473" s="59"/>
    </row>
    <row r="474" spans="1:2" x14ac:dyDescent="0.2">
      <c r="A474" s="59"/>
      <c r="B474" s="59"/>
    </row>
    <row r="475" spans="1:2" x14ac:dyDescent="0.2">
      <c r="A475" s="59"/>
      <c r="B475" s="59"/>
    </row>
    <row r="476" spans="1:2" x14ac:dyDescent="0.2">
      <c r="A476" s="59"/>
      <c r="B476" s="59"/>
    </row>
    <row r="477" spans="1:2" x14ac:dyDescent="0.2">
      <c r="A477" s="59"/>
      <c r="B477" s="59"/>
    </row>
    <row r="478" spans="1:2" x14ac:dyDescent="0.2">
      <c r="A478" s="59"/>
      <c r="B478" s="59"/>
    </row>
    <row r="479" spans="1:2" x14ac:dyDescent="0.2">
      <c r="A479" s="59"/>
      <c r="B479" s="59"/>
    </row>
    <row r="480" spans="1:2" x14ac:dyDescent="0.2">
      <c r="A480" s="59"/>
      <c r="B480" s="59"/>
    </row>
    <row r="481" spans="1:2" x14ac:dyDescent="0.2">
      <c r="A481" s="59"/>
      <c r="B481" s="59"/>
    </row>
    <row r="482" spans="1:2" x14ac:dyDescent="0.2">
      <c r="A482" s="59"/>
      <c r="B482" s="59"/>
    </row>
    <row r="483" spans="1:2" x14ac:dyDescent="0.2">
      <c r="A483" s="59"/>
      <c r="B483" s="59"/>
    </row>
    <row r="484" spans="1:2" x14ac:dyDescent="0.2">
      <c r="A484" s="59"/>
      <c r="B484" s="59"/>
    </row>
    <row r="485" spans="1:2" x14ac:dyDescent="0.2">
      <c r="A485" s="59"/>
      <c r="B485" s="59"/>
    </row>
    <row r="486" spans="1:2" x14ac:dyDescent="0.2">
      <c r="A486" s="59"/>
      <c r="B486" s="59"/>
    </row>
    <row r="487" spans="1:2" x14ac:dyDescent="0.2">
      <c r="A487" s="59"/>
      <c r="B487" s="59"/>
    </row>
    <row r="488" spans="1:2" x14ac:dyDescent="0.2">
      <c r="A488" s="59"/>
      <c r="B488" s="59"/>
    </row>
    <row r="489" spans="1:2" x14ac:dyDescent="0.2">
      <c r="A489" s="59"/>
      <c r="B489" s="59"/>
    </row>
    <row r="490" spans="1:2" x14ac:dyDescent="0.2">
      <c r="A490" s="59"/>
      <c r="B490" s="59"/>
    </row>
    <row r="491" spans="1:2" x14ac:dyDescent="0.2">
      <c r="A491" s="59"/>
      <c r="B491" s="59"/>
    </row>
    <row r="492" spans="1:2" x14ac:dyDescent="0.2">
      <c r="A492" s="59"/>
      <c r="B492" s="59"/>
    </row>
    <row r="493" spans="1:2" x14ac:dyDescent="0.2">
      <c r="A493" s="59"/>
      <c r="B493" s="59"/>
    </row>
    <row r="494" spans="1:2" x14ac:dyDescent="0.2">
      <c r="A494" s="59"/>
      <c r="B494" s="59"/>
    </row>
    <row r="495" spans="1:2" x14ac:dyDescent="0.2">
      <c r="A495" s="59"/>
      <c r="B495" s="59"/>
    </row>
    <row r="496" spans="1:2" x14ac:dyDescent="0.2">
      <c r="A496" s="59"/>
      <c r="B496" s="59"/>
    </row>
    <row r="497" spans="1:2" x14ac:dyDescent="0.2">
      <c r="A497" s="59"/>
      <c r="B497" s="59"/>
    </row>
    <row r="498" spans="1:2" x14ac:dyDescent="0.2">
      <c r="A498" s="59"/>
      <c r="B498" s="59"/>
    </row>
    <row r="499" spans="1:2" x14ac:dyDescent="0.2">
      <c r="A499" s="59"/>
      <c r="B499" s="59"/>
    </row>
    <row r="500" spans="1:2" x14ac:dyDescent="0.2">
      <c r="A500" s="59"/>
      <c r="B500" s="59"/>
    </row>
    <row r="501" spans="1:2" x14ac:dyDescent="0.2">
      <c r="A501" s="59"/>
      <c r="B501" s="59"/>
    </row>
    <row r="502" spans="1:2" x14ac:dyDescent="0.2">
      <c r="A502" s="59"/>
      <c r="B502" s="59"/>
    </row>
    <row r="503" spans="1:2" x14ac:dyDescent="0.2">
      <c r="A503" s="59"/>
      <c r="B503" s="59"/>
    </row>
    <row r="504" spans="1:2" x14ac:dyDescent="0.2">
      <c r="A504" s="59"/>
      <c r="B504" s="59"/>
    </row>
    <row r="505" spans="1:2" x14ac:dyDescent="0.2">
      <c r="A505" s="59"/>
      <c r="B505" s="59"/>
    </row>
    <row r="506" spans="1:2" x14ac:dyDescent="0.2">
      <c r="A506" s="59"/>
      <c r="B506" s="59"/>
    </row>
    <row r="507" spans="1:2" x14ac:dyDescent="0.2">
      <c r="A507" s="59"/>
      <c r="B507" s="59"/>
    </row>
    <row r="508" spans="1:2" x14ac:dyDescent="0.2">
      <c r="A508" s="59"/>
      <c r="B508" s="59"/>
    </row>
    <row r="509" spans="1:2" x14ac:dyDescent="0.2">
      <c r="A509" s="59"/>
      <c r="B509" s="59"/>
    </row>
    <row r="510" spans="1:2" x14ac:dyDescent="0.2">
      <c r="A510" s="59"/>
      <c r="B510" s="59"/>
    </row>
    <row r="511" spans="1:2" x14ac:dyDescent="0.2">
      <c r="A511" s="59"/>
      <c r="B511" s="59"/>
    </row>
    <row r="512" spans="1:2" x14ac:dyDescent="0.2">
      <c r="A512" s="59"/>
      <c r="B512" s="59"/>
    </row>
    <row r="513" spans="1:2" x14ac:dyDescent="0.2">
      <c r="A513" s="59"/>
      <c r="B513" s="59"/>
    </row>
    <row r="514" spans="1:2" x14ac:dyDescent="0.2">
      <c r="A514" s="59"/>
      <c r="B514" s="59"/>
    </row>
    <row r="515" spans="1:2" x14ac:dyDescent="0.2">
      <c r="A515" s="59"/>
      <c r="B515" s="59"/>
    </row>
    <row r="516" spans="1:2" x14ac:dyDescent="0.2">
      <c r="A516" s="59"/>
      <c r="B516" s="59"/>
    </row>
    <row r="517" spans="1:2" x14ac:dyDescent="0.2">
      <c r="A517" s="59"/>
      <c r="B517" s="59"/>
    </row>
    <row r="518" spans="1:2" x14ac:dyDescent="0.2">
      <c r="A518" s="59"/>
      <c r="B518" s="59"/>
    </row>
    <row r="519" spans="1:2" x14ac:dyDescent="0.2">
      <c r="A519" s="59"/>
      <c r="B519" s="59"/>
    </row>
    <row r="520" spans="1:2" x14ac:dyDescent="0.2">
      <c r="A520" s="59"/>
      <c r="B520" s="59"/>
    </row>
    <row r="521" spans="1:2" x14ac:dyDescent="0.2">
      <c r="A521" s="59"/>
      <c r="B521" s="59"/>
    </row>
    <row r="522" spans="1:2" x14ac:dyDescent="0.2">
      <c r="A522" s="59"/>
      <c r="B522" s="59"/>
    </row>
    <row r="523" spans="1:2" x14ac:dyDescent="0.2">
      <c r="A523" s="59"/>
      <c r="B523" s="59"/>
    </row>
    <row r="524" spans="1:2" x14ac:dyDescent="0.2">
      <c r="A524" s="59"/>
      <c r="B524" s="59"/>
    </row>
    <row r="525" spans="1:2" x14ac:dyDescent="0.2">
      <c r="A525" s="59"/>
      <c r="B525" s="59"/>
    </row>
    <row r="526" spans="1:2" x14ac:dyDescent="0.2">
      <c r="A526" s="59"/>
      <c r="B526" s="59"/>
    </row>
    <row r="527" spans="1:2" x14ac:dyDescent="0.2">
      <c r="A527" s="59"/>
      <c r="B527" s="59"/>
    </row>
    <row r="528" spans="1:2" x14ac:dyDescent="0.2">
      <c r="A528" s="59"/>
      <c r="B528" s="59"/>
    </row>
    <row r="529" spans="1:2" x14ac:dyDescent="0.2">
      <c r="A529" s="59"/>
      <c r="B529" s="59"/>
    </row>
    <row r="530" spans="1:2" x14ac:dyDescent="0.2">
      <c r="A530" s="59"/>
      <c r="B530" s="59"/>
    </row>
    <row r="531" spans="1:2" x14ac:dyDescent="0.2">
      <c r="A531" s="59"/>
      <c r="B531" s="59"/>
    </row>
    <row r="532" spans="1:2" x14ac:dyDescent="0.2">
      <c r="A532" s="59"/>
      <c r="B532" s="59"/>
    </row>
    <row r="533" spans="1:2" x14ac:dyDescent="0.2">
      <c r="A533" s="59"/>
      <c r="B533" s="59"/>
    </row>
    <row r="534" spans="1:2" x14ac:dyDescent="0.2">
      <c r="A534" s="59"/>
      <c r="B534" s="59"/>
    </row>
    <row r="535" spans="1:2" x14ac:dyDescent="0.2">
      <c r="A535" s="59"/>
      <c r="B535" s="59"/>
    </row>
    <row r="536" spans="1:2" x14ac:dyDescent="0.2">
      <c r="A536" s="59"/>
      <c r="B536" s="59"/>
    </row>
    <row r="537" spans="1:2" x14ac:dyDescent="0.2">
      <c r="A537" s="59"/>
      <c r="B537" s="59"/>
    </row>
    <row r="538" spans="1:2" x14ac:dyDescent="0.2">
      <c r="A538" s="59"/>
      <c r="B538" s="59"/>
    </row>
    <row r="539" spans="1:2" x14ac:dyDescent="0.2">
      <c r="A539" s="59"/>
      <c r="B539" s="59"/>
    </row>
    <row r="540" spans="1:2" x14ac:dyDescent="0.2">
      <c r="A540" s="59"/>
      <c r="B540" s="59"/>
    </row>
    <row r="541" spans="1:2" x14ac:dyDescent="0.2">
      <c r="A541" s="59"/>
      <c r="B541" s="59"/>
    </row>
    <row r="542" spans="1:2" x14ac:dyDescent="0.2">
      <c r="A542" s="59"/>
      <c r="B542" s="59"/>
    </row>
    <row r="543" spans="1:2" x14ac:dyDescent="0.2">
      <c r="A543" s="59"/>
      <c r="B543" s="59"/>
    </row>
    <row r="544" spans="1:2" x14ac:dyDescent="0.2">
      <c r="A544" s="59"/>
      <c r="B544" s="59"/>
    </row>
    <row r="545" spans="1:2" x14ac:dyDescent="0.2">
      <c r="A545" s="59"/>
      <c r="B545" s="59"/>
    </row>
    <row r="546" spans="1:2" x14ac:dyDescent="0.2">
      <c r="A546" s="59"/>
      <c r="B546" s="59"/>
    </row>
    <row r="547" spans="1:2" x14ac:dyDescent="0.2">
      <c r="A547" s="59"/>
      <c r="B547" s="59"/>
    </row>
    <row r="548" spans="1:2" x14ac:dyDescent="0.2">
      <c r="A548" s="59"/>
      <c r="B548" s="59"/>
    </row>
    <row r="549" spans="1:2" x14ac:dyDescent="0.2">
      <c r="A549" s="59"/>
      <c r="B549" s="59"/>
    </row>
    <row r="550" spans="1:2" x14ac:dyDescent="0.2">
      <c r="A550" s="59"/>
      <c r="B550" s="59"/>
    </row>
    <row r="551" spans="1:2" x14ac:dyDescent="0.2">
      <c r="A551" s="59"/>
      <c r="B551" s="59"/>
    </row>
    <row r="552" spans="1:2" x14ac:dyDescent="0.2">
      <c r="A552" s="59"/>
      <c r="B552" s="59"/>
    </row>
    <row r="553" spans="1:2" x14ac:dyDescent="0.2">
      <c r="A553" s="59"/>
      <c r="B553" s="59"/>
    </row>
    <row r="554" spans="1:2" x14ac:dyDescent="0.2">
      <c r="A554" s="59"/>
      <c r="B554" s="59"/>
    </row>
    <row r="555" spans="1:2" x14ac:dyDescent="0.2">
      <c r="A555" s="59"/>
      <c r="B555" s="59"/>
    </row>
    <row r="556" spans="1:2" x14ac:dyDescent="0.2">
      <c r="A556" s="59"/>
      <c r="B556" s="59"/>
    </row>
    <row r="557" spans="1:2" x14ac:dyDescent="0.2">
      <c r="A557" s="59"/>
      <c r="B557" s="59"/>
    </row>
    <row r="558" spans="1:2" x14ac:dyDescent="0.2">
      <c r="A558" s="59"/>
      <c r="B558" s="59"/>
    </row>
    <row r="559" spans="1:2" x14ac:dyDescent="0.2">
      <c r="A559" s="59"/>
      <c r="B559" s="59"/>
    </row>
    <row r="560" spans="1:2" x14ac:dyDescent="0.2">
      <c r="A560" s="59"/>
      <c r="B560" s="59"/>
    </row>
    <row r="561" spans="1:2" x14ac:dyDescent="0.2">
      <c r="A561" s="59"/>
      <c r="B561" s="59"/>
    </row>
    <row r="562" spans="1:2" x14ac:dyDescent="0.2">
      <c r="A562" s="59"/>
      <c r="B562" s="59"/>
    </row>
    <row r="563" spans="1:2" x14ac:dyDescent="0.2">
      <c r="A563" s="59"/>
      <c r="B563" s="59"/>
    </row>
    <row r="564" spans="1:2" x14ac:dyDescent="0.2">
      <c r="A564" s="59"/>
      <c r="B564" s="59"/>
    </row>
    <row r="565" spans="1:2" x14ac:dyDescent="0.2">
      <c r="A565" s="59"/>
      <c r="B565" s="59"/>
    </row>
    <row r="566" spans="1:2" x14ac:dyDescent="0.2">
      <c r="A566" s="59"/>
      <c r="B566" s="59"/>
    </row>
    <row r="567" spans="1:2" x14ac:dyDescent="0.2">
      <c r="A567" s="59"/>
      <c r="B567" s="59"/>
    </row>
    <row r="568" spans="1:2" x14ac:dyDescent="0.2">
      <c r="A568" s="59"/>
      <c r="B568" s="59"/>
    </row>
    <row r="569" spans="1:2" x14ac:dyDescent="0.2">
      <c r="A569" s="59"/>
      <c r="B569" s="59"/>
    </row>
    <row r="570" spans="1:2" x14ac:dyDescent="0.2">
      <c r="A570" s="59"/>
      <c r="B570" s="59"/>
    </row>
    <row r="571" spans="1:2" x14ac:dyDescent="0.2">
      <c r="A571" s="59"/>
      <c r="B571" s="59"/>
    </row>
    <row r="572" spans="1:2" x14ac:dyDescent="0.2">
      <c r="A572" s="59"/>
      <c r="B572" s="59"/>
    </row>
    <row r="573" spans="1:2" x14ac:dyDescent="0.2">
      <c r="A573" s="59"/>
      <c r="B573" s="59"/>
    </row>
    <row r="574" spans="1:2" x14ac:dyDescent="0.2">
      <c r="A574" s="59"/>
      <c r="B574" s="59"/>
    </row>
    <row r="575" spans="1:2" x14ac:dyDescent="0.2">
      <c r="A575" s="59"/>
      <c r="B575" s="59"/>
    </row>
    <row r="576" spans="1:2" x14ac:dyDescent="0.2">
      <c r="A576" s="59"/>
      <c r="B576" s="59"/>
    </row>
    <row r="577" spans="1:2" x14ac:dyDescent="0.2">
      <c r="A577" s="59"/>
      <c r="B577" s="59"/>
    </row>
    <row r="578" spans="1:2" x14ac:dyDescent="0.2">
      <c r="A578" s="59"/>
      <c r="B578" s="59"/>
    </row>
    <row r="579" spans="1:2" x14ac:dyDescent="0.2">
      <c r="A579" s="59"/>
      <c r="B579" s="59"/>
    </row>
    <row r="580" spans="1:2" x14ac:dyDescent="0.2">
      <c r="A580" s="59"/>
      <c r="B580" s="59"/>
    </row>
    <row r="581" spans="1:2" x14ac:dyDescent="0.2">
      <c r="A581" s="59"/>
      <c r="B581" s="59"/>
    </row>
    <row r="582" spans="1:2" x14ac:dyDescent="0.2">
      <c r="A582" s="59"/>
      <c r="B582" s="59"/>
    </row>
    <row r="583" spans="1:2" x14ac:dyDescent="0.2">
      <c r="A583" s="59"/>
      <c r="B583" s="59"/>
    </row>
    <row r="584" spans="1:2" x14ac:dyDescent="0.2">
      <c r="A584" s="59"/>
      <c r="B584" s="59"/>
    </row>
    <row r="585" spans="1:2" x14ac:dyDescent="0.2">
      <c r="A585" s="59"/>
      <c r="B585" s="59"/>
    </row>
    <row r="586" spans="1:2" x14ac:dyDescent="0.2">
      <c r="A586" s="59"/>
      <c r="B586" s="59"/>
    </row>
    <row r="587" spans="1:2" x14ac:dyDescent="0.2">
      <c r="A587" s="59"/>
      <c r="B587" s="59"/>
    </row>
    <row r="588" spans="1:2" x14ac:dyDescent="0.2">
      <c r="A588" s="59"/>
      <c r="B588" s="59"/>
    </row>
    <row r="589" spans="1:2" x14ac:dyDescent="0.2">
      <c r="A589" s="59"/>
      <c r="B589" s="59"/>
    </row>
    <row r="590" spans="1:2" x14ac:dyDescent="0.2">
      <c r="A590" s="59"/>
      <c r="B590" s="59"/>
    </row>
    <row r="591" spans="1:2" x14ac:dyDescent="0.2">
      <c r="A591" s="59"/>
      <c r="B591" s="59"/>
    </row>
    <row r="592" spans="1:2" x14ac:dyDescent="0.2">
      <c r="A592" s="59"/>
      <c r="B592" s="59"/>
    </row>
    <row r="593" spans="1:2" x14ac:dyDescent="0.2">
      <c r="A593" s="59"/>
      <c r="B593" s="59"/>
    </row>
    <row r="594" spans="1:2" x14ac:dyDescent="0.2">
      <c r="A594" s="59"/>
      <c r="B594" s="59"/>
    </row>
    <row r="595" spans="1:2" x14ac:dyDescent="0.2">
      <c r="A595" s="59"/>
      <c r="B595" s="59"/>
    </row>
    <row r="596" spans="1:2" x14ac:dyDescent="0.2">
      <c r="A596" s="59"/>
      <c r="B596" s="59"/>
    </row>
    <row r="597" spans="1:2" x14ac:dyDescent="0.2">
      <c r="A597" s="59"/>
      <c r="B597" s="59"/>
    </row>
    <row r="598" spans="1:2" x14ac:dyDescent="0.2">
      <c r="A598" s="59"/>
      <c r="B598" s="59"/>
    </row>
    <row r="599" spans="1:2" x14ac:dyDescent="0.2">
      <c r="A599" s="59"/>
      <c r="B599" s="59"/>
    </row>
    <row r="600" spans="1:2" x14ac:dyDescent="0.2">
      <c r="A600" s="59"/>
      <c r="B600" s="59"/>
    </row>
    <row r="601" spans="1:2" x14ac:dyDescent="0.2">
      <c r="A601" s="59"/>
      <c r="B601" s="59"/>
    </row>
    <row r="602" spans="1:2" x14ac:dyDescent="0.2">
      <c r="A602" s="59"/>
      <c r="B602" s="59"/>
    </row>
    <row r="603" spans="1:2" x14ac:dyDescent="0.2">
      <c r="A603" s="59"/>
      <c r="B603" s="59"/>
    </row>
    <row r="604" spans="1:2" x14ac:dyDescent="0.2">
      <c r="A604" s="59"/>
      <c r="B604" s="59"/>
    </row>
    <row r="605" spans="1:2" x14ac:dyDescent="0.2">
      <c r="A605" s="59"/>
      <c r="B605" s="59"/>
    </row>
    <row r="606" spans="1:2" x14ac:dyDescent="0.2">
      <c r="A606" s="59"/>
      <c r="B606" s="59"/>
    </row>
    <row r="607" spans="1:2" x14ac:dyDescent="0.2">
      <c r="A607" s="59"/>
      <c r="B607" s="59"/>
    </row>
    <row r="608" spans="1:2" x14ac:dyDescent="0.2">
      <c r="A608" s="59"/>
      <c r="B608" s="59"/>
    </row>
    <row r="609" spans="1:2" x14ac:dyDescent="0.2">
      <c r="A609" s="59"/>
      <c r="B609" s="59"/>
    </row>
    <row r="610" spans="1:2" x14ac:dyDescent="0.2">
      <c r="A610" s="59"/>
      <c r="B610" s="59"/>
    </row>
    <row r="611" spans="1:2" x14ac:dyDescent="0.2">
      <c r="A611" s="59"/>
      <c r="B611" s="59"/>
    </row>
    <row r="612" spans="1:2" x14ac:dyDescent="0.2">
      <c r="A612" s="59"/>
      <c r="B612" s="59"/>
    </row>
    <row r="613" spans="1:2" x14ac:dyDescent="0.2">
      <c r="A613" s="59"/>
      <c r="B613" s="59"/>
    </row>
    <row r="614" spans="1:2" x14ac:dyDescent="0.2">
      <c r="A614" s="59"/>
      <c r="B614" s="59"/>
    </row>
    <row r="615" spans="1:2" x14ac:dyDescent="0.2">
      <c r="A615" s="59"/>
      <c r="B615" s="59"/>
    </row>
    <row r="616" spans="1:2" x14ac:dyDescent="0.2">
      <c r="A616" s="59"/>
      <c r="B616" s="59"/>
    </row>
    <row r="617" spans="1:2" x14ac:dyDescent="0.2">
      <c r="A617" s="59"/>
      <c r="B617" s="59"/>
    </row>
    <row r="618" spans="1:2" x14ac:dyDescent="0.2">
      <c r="A618" s="59"/>
      <c r="B618" s="59"/>
    </row>
    <row r="619" spans="1:2" x14ac:dyDescent="0.2">
      <c r="A619" s="59"/>
      <c r="B619" s="59"/>
    </row>
    <row r="620" spans="1:2" x14ac:dyDescent="0.2">
      <c r="A620" s="59"/>
      <c r="B620" s="59"/>
    </row>
    <row r="621" spans="1:2" x14ac:dyDescent="0.2">
      <c r="A621" s="59"/>
      <c r="B621" s="59"/>
    </row>
    <row r="622" spans="1:2" x14ac:dyDescent="0.2">
      <c r="A622" s="59"/>
      <c r="B622" s="59"/>
    </row>
    <row r="623" spans="1:2" x14ac:dyDescent="0.2">
      <c r="A623" s="59"/>
      <c r="B623" s="59"/>
    </row>
    <row r="624" spans="1:2" x14ac:dyDescent="0.2">
      <c r="A624" s="59"/>
      <c r="B624" s="59"/>
    </row>
    <row r="625" spans="1:2" x14ac:dyDescent="0.2">
      <c r="A625" s="59"/>
      <c r="B625" s="59"/>
    </row>
    <row r="626" spans="1:2" x14ac:dyDescent="0.2">
      <c r="A626" s="59"/>
      <c r="B626" s="59"/>
    </row>
    <row r="627" spans="1:2" x14ac:dyDescent="0.2">
      <c r="A627" s="59"/>
      <c r="B627" s="59"/>
    </row>
    <row r="628" spans="1:2" x14ac:dyDescent="0.2">
      <c r="A628" s="59"/>
      <c r="B628" s="59"/>
    </row>
    <row r="629" spans="1:2" x14ac:dyDescent="0.2">
      <c r="A629" s="59"/>
      <c r="B629" s="59"/>
    </row>
    <row r="630" spans="1:2" x14ac:dyDescent="0.2">
      <c r="A630" s="59"/>
      <c r="B630" s="59"/>
    </row>
    <row r="631" spans="1:2" x14ac:dyDescent="0.2">
      <c r="A631" s="59"/>
      <c r="B631" s="59"/>
    </row>
    <row r="632" spans="1:2" x14ac:dyDescent="0.2">
      <c r="A632" s="59"/>
      <c r="B632" s="59"/>
    </row>
    <row r="633" spans="1:2" x14ac:dyDescent="0.2">
      <c r="A633" s="59"/>
      <c r="B633" s="59"/>
    </row>
    <row r="634" spans="1:2" x14ac:dyDescent="0.2">
      <c r="A634" s="59"/>
      <c r="B634" s="59"/>
    </row>
    <row r="635" spans="1:2" x14ac:dyDescent="0.2">
      <c r="A635" s="59"/>
      <c r="B635" s="59"/>
    </row>
    <row r="636" spans="1:2" x14ac:dyDescent="0.2">
      <c r="A636" s="59"/>
      <c r="B636" s="59"/>
    </row>
    <row r="637" spans="1:2" x14ac:dyDescent="0.2">
      <c r="A637" s="59"/>
      <c r="B637" s="59"/>
    </row>
    <row r="638" spans="1:2" x14ac:dyDescent="0.2">
      <c r="A638" s="59"/>
      <c r="B638" s="59"/>
    </row>
    <row r="639" spans="1:2" x14ac:dyDescent="0.2">
      <c r="A639" s="59"/>
      <c r="B639" s="59"/>
    </row>
    <row r="640" spans="1:2" x14ac:dyDescent="0.2">
      <c r="A640" s="59"/>
      <c r="B640" s="59"/>
    </row>
    <row r="641" spans="1:2" x14ac:dyDescent="0.2">
      <c r="A641" s="59"/>
      <c r="B641" s="59"/>
    </row>
    <row r="642" spans="1:2" x14ac:dyDescent="0.2">
      <c r="A642" s="59"/>
      <c r="B642" s="59"/>
    </row>
    <row r="643" spans="1:2" x14ac:dyDescent="0.2">
      <c r="A643" s="59"/>
      <c r="B643" s="59"/>
    </row>
    <row r="644" spans="1:2" x14ac:dyDescent="0.2">
      <c r="A644" s="59"/>
      <c r="B644" s="59"/>
    </row>
    <row r="645" spans="1:2" x14ac:dyDescent="0.2">
      <c r="A645" s="59"/>
      <c r="B645" s="59"/>
    </row>
    <row r="646" spans="1:2" x14ac:dyDescent="0.2">
      <c r="A646" s="59"/>
      <c r="B646" s="59"/>
    </row>
    <row r="647" spans="1:2" x14ac:dyDescent="0.2">
      <c r="A647" s="59"/>
      <c r="B647" s="59"/>
    </row>
    <row r="648" spans="1:2" x14ac:dyDescent="0.2">
      <c r="A648" s="59"/>
      <c r="B648" s="59"/>
    </row>
    <row r="649" spans="1:2" x14ac:dyDescent="0.2">
      <c r="A649" s="59"/>
      <c r="B649" s="59"/>
    </row>
    <row r="650" spans="1:2" x14ac:dyDescent="0.2">
      <c r="A650" s="59"/>
      <c r="B650" s="59"/>
    </row>
    <row r="651" spans="1:2" x14ac:dyDescent="0.2">
      <c r="A651" s="59"/>
      <c r="B651" s="59"/>
    </row>
    <row r="652" spans="1:2" x14ac:dyDescent="0.2">
      <c r="A652" s="59"/>
      <c r="B652" s="59"/>
    </row>
    <row r="653" spans="1:2" x14ac:dyDescent="0.2">
      <c r="A653" s="59"/>
      <c r="B653" s="59"/>
    </row>
    <row r="654" spans="1:2" x14ac:dyDescent="0.2">
      <c r="A654" s="59"/>
      <c r="B654" s="59"/>
    </row>
    <row r="655" spans="1:2" x14ac:dyDescent="0.2">
      <c r="A655" s="59"/>
      <c r="B655" s="59"/>
    </row>
    <row r="656" spans="1:2" x14ac:dyDescent="0.2">
      <c r="A656" s="59"/>
      <c r="B656" s="59"/>
    </row>
    <row r="657" spans="1:2" x14ac:dyDescent="0.2">
      <c r="A657" s="59"/>
      <c r="B657" s="59"/>
    </row>
    <row r="658" spans="1:2" x14ac:dyDescent="0.2">
      <c r="A658" s="59"/>
      <c r="B658" s="59"/>
    </row>
    <row r="659" spans="1:2" x14ac:dyDescent="0.2">
      <c r="A659" s="59"/>
      <c r="B659" s="59"/>
    </row>
    <row r="660" spans="1:2" x14ac:dyDescent="0.2">
      <c r="A660" s="59"/>
      <c r="B660" s="59"/>
    </row>
    <row r="661" spans="1:2" x14ac:dyDescent="0.2">
      <c r="A661" s="59"/>
      <c r="B661" s="59"/>
    </row>
    <row r="662" spans="1:2" x14ac:dyDescent="0.2">
      <c r="A662" s="59"/>
      <c r="B662" s="59"/>
    </row>
    <row r="663" spans="1:2" x14ac:dyDescent="0.2">
      <c r="A663" s="59"/>
      <c r="B663" s="59"/>
    </row>
    <row r="664" spans="1:2" x14ac:dyDescent="0.2">
      <c r="A664" s="59"/>
      <c r="B664" s="59"/>
    </row>
    <row r="665" spans="1:2" x14ac:dyDescent="0.2">
      <c r="A665" s="59"/>
      <c r="B665" s="59"/>
    </row>
    <row r="666" spans="1:2" x14ac:dyDescent="0.2">
      <c r="A666" s="59"/>
      <c r="B666" s="59"/>
    </row>
    <row r="667" spans="1:2" x14ac:dyDescent="0.2">
      <c r="A667" s="59"/>
      <c r="B667" s="59"/>
    </row>
    <row r="668" spans="1:2" x14ac:dyDescent="0.2">
      <c r="A668" s="59"/>
      <c r="B668" s="59"/>
    </row>
    <row r="669" spans="1:2" x14ac:dyDescent="0.2">
      <c r="A669" s="59"/>
      <c r="B669" s="59"/>
    </row>
    <row r="670" spans="1:2" x14ac:dyDescent="0.2">
      <c r="A670" s="59"/>
      <c r="B670" s="59"/>
    </row>
    <row r="671" spans="1:2" x14ac:dyDescent="0.2">
      <c r="A671" s="59"/>
      <c r="B671" s="59"/>
    </row>
    <row r="672" spans="1:2" x14ac:dyDescent="0.2">
      <c r="A672" s="59"/>
      <c r="B672" s="59"/>
    </row>
    <row r="673" spans="1:2" x14ac:dyDescent="0.2">
      <c r="A673" s="59"/>
      <c r="B673" s="59"/>
    </row>
    <row r="674" spans="1:2" x14ac:dyDescent="0.2">
      <c r="A674" s="59"/>
      <c r="B674" s="59"/>
    </row>
    <row r="675" spans="1:2" x14ac:dyDescent="0.2">
      <c r="A675" s="59"/>
      <c r="B675" s="59"/>
    </row>
    <row r="676" spans="1:2" x14ac:dyDescent="0.2">
      <c r="A676" s="59"/>
      <c r="B676" s="59"/>
    </row>
    <row r="677" spans="1:2" x14ac:dyDescent="0.2">
      <c r="A677" s="59"/>
      <c r="B677" s="59"/>
    </row>
    <row r="678" spans="1:2" x14ac:dyDescent="0.2">
      <c r="A678" s="59"/>
      <c r="B678" s="59"/>
    </row>
    <row r="679" spans="1:2" x14ac:dyDescent="0.2">
      <c r="A679" s="59"/>
      <c r="B679" s="59"/>
    </row>
    <row r="680" spans="1:2" x14ac:dyDescent="0.2">
      <c r="A680" s="59"/>
      <c r="B680" s="59"/>
    </row>
    <row r="681" spans="1:2" x14ac:dyDescent="0.2">
      <c r="A681" s="59"/>
      <c r="B681" s="59"/>
    </row>
    <row r="682" spans="1:2" x14ac:dyDescent="0.2">
      <c r="A682" s="59"/>
      <c r="B682" s="59"/>
    </row>
    <row r="683" spans="1:2" x14ac:dyDescent="0.2">
      <c r="A683" s="59"/>
      <c r="B683" s="59"/>
    </row>
    <row r="684" spans="1:2" x14ac:dyDescent="0.2">
      <c r="A684" s="59"/>
      <c r="B684" s="59"/>
    </row>
    <row r="685" spans="1:2" x14ac:dyDescent="0.2">
      <c r="A685" s="59"/>
      <c r="B685" s="59"/>
    </row>
    <row r="686" spans="1:2" x14ac:dyDescent="0.2">
      <c r="A686" s="59"/>
      <c r="B686" s="59"/>
    </row>
    <row r="687" spans="1:2" x14ac:dyDescent="0.2">
      <c r="A687" s="59"/>
      <c r="B687" s="59"/>
    </row>
    <row r="688" spans="1:2" x14ac:dyDescent="0.2">
      <c r="A688" s="59"/>
      <c r="B688" s="59"/>
    </row>
    <row r="689" spans="1:2" x14ac:dyDescent="0.2">
      <c r="A689" s="59"/>
      <c r="B689" s="59"/>
    </row>
    <row r="690" spans="1:2" x14ac:dyDescent="0.2">
      <c r="A690" s="59"/>
      <c r="B690" s="59"/>
    </row>
    <row r="691" spans="1:2" x14ac:dyDescent="0.2">
      <c r="A691" s="59"/>
      <c r="B691" s="59"/>
    </row>
    <row r="692" spans="1:2" x14ac:dyDescent="0.2">
      <c r="A692" s="59"/>
      <c r="B692" s="59"/>
    </row>
    <row r="693" spans="1:2" x14ac:dyDescent="0.2">
      <c r="A693" s="59"/>
      <c r="B693" s="59"/>
    </row>
    <row r="694" spans="1:2" x14ac:dyDescent="0.2">
      <c r="A694" s="59"/>
      <c r="B694" s="59"/>
    </row>
    <row r="695" spans="1:2" x14ac:dyDescent="0.2">
      <c r="A695" s="59"/>
      <c r="B695" s="59"/>
    </row>
    <row r="696" spans="1:2" x14ac:dyDescent="0.2">
      <c r="A696" s="59"/>
      <c r="B696" s="59"/>
    </row>
    <row r="697" spans="1:2" x14ac:dyDescent="0.2">
      <c r="A697" s="59"/>
      <c r="B697" s="59"/>
    </row>
    <row r="698" spans="1:2" x14ac:dyDescent="0.2">
      <c r="A698" s="59"/>
      <c r="B698" s="59"/>
    </row>
    <row r="699" spans="1:2" x14ac:dyDescent="0.2">
      <c r="A699" s="59"/>
      <c r="B699" s="59"/>
    </row>
    <row r="700" spans="1:2" x14ac:dyDescent="0.2">
      <c r="A700" s="59"/>
      <c r="B700" s="59"/>
    </row>
    <row r="701" spans="1:2" x14ac:dyDescent="0.2">
      <c r="A701" s="59"/>
      <c r="B701" s="59"/>
    </row>
    <row r="702" spans="1:2" x14ac:dyDescent="0.2">
      <c r="A702" s="59"/>
      <c r="B702" s="59"/>
    </row>
    <row r="703" spans="1:2" x14ac:dyDescent="0.2">
      <c r="A703" s="59"/>
      <c r="B703" s="59"/>
    </row>
    <row r="704" spans="1:2" x14ac:dyDescent="0.2">
      <c r="A704" s="59"/>
      <c r="B704" s="59"/>
    </row>
    <row r="705" spans="1:2" x14ac:dyDescent="0.2">
      <c r="A705" s="59"/>
      <c r="B705" s="59"/>
    </row>
    <row r="706" spans="1:2" x14ac:dyDescent="0.2">
      <c r="A706" s="59"/>
      <c r="B706" s="59"/>
    </row>
    <row r="707" spans="1:2" x14ac:dyDescent="0.2">
      <c r="A707" s="59"/>
      <c r="B707" s="59"/>
    </row>
    <row r="708" spans="1:2" x14ac:dyDescent="0.2">
      <c r="A708" s="59"/>
      <c r="B708" s="59"/>
    </row>
    <row r="709" spans="1:2" x14ac:dyDescent="0.2">
      <c r="A709" s="59"/>
      <c r="B709" s="59"/>
    </row>
    <row r="710" spans="1:2" x14ac:dyDescent="0.2">
      <c r="A710" s="59"/>
      <c r="B710" s="59"/>
    </row>
    <row r="711" spans="1:2" x14ac:dyDescent="0.2">
      <c r="A711" s="59"/>
      <c r="B711" s="59"/>
    </row>
    <row r="712" spans="1:2" x14ac:dyDescent="0.2">
      <c r="A712" s="59"/>
      <c r="B712" s="59"/>
    </row>
    <row r="713" spans="1:2" x14ac:dyDescent="0.2">
      <c r="A713" s="59"/>
      <c r="B713" s="59"/>
    </row>
    <row r="714" spans="1:2" x14ac:dyDescent="0.2">
      <c r="A714" s="59"/>
      <c r="B714" s="59"/>
    </row>
    <row r="715" spans="1:2" x14ac:dyDescent="0.2">
      <c r="A715" s="59"/>
      <c r="B715" s="59"/>
    </row>
    <row r="716" spans="1:2" x14ac:dyDescent="0.2">
      <c r="A716" s="59"/>
      <c r="B716" s="59"/>
    </row>
    <row r="717" spans="1:2" x14ac:dyDescent="0.2">
      <c r="A717" s="59"/>
      <c r="B717" s="59"/>
    </row>
    <row r="718" spans="1:2" x14ac:dyDescent="0.2">
      <c r="A718" s="59"/>
      <c r="B718" s="59"/>
    </row>
    <row r="719" spans="1:2" x14ac:dyDescent="0.2">
      <c r="A719" s="59"/>
      <c r="B719" s="59"/>
    </row>
    <row r="720" spans="1:2" x14ac:dyDescent="0.2">
      <c r="A720" s="59"/>
      <c r="B720" s="59"/>
    </row>
    <row r="721" spans="1:2" x14ac:dyDescent="0.2">
      <c r="A721" s="59"/>
      <c r="B721" s="59"/>
    </row>
    <row r="722" spans="1:2" x14ac:dyDescent="0.2">
      <c r="A722" s="59"/>
      <c r="B722" s="59"/>
    </row>
    <row r="723" spans="1:2" x14ac:dyDescent="0.2">
      <c r="A723" s="59"/>
      <c r="B723" s="59"/>
    </row>
    <row r="724" spans="1:2" x14ac:dyDescent="0.2">
      <c r="A724" s="59"/>
      <c r="B724" s="59"/>
    </row>
    <row r="725" spans="1:2" x14ac:dyDescent="0.2">
      <c r="A725" s="59"/>
      <c r="B725" s="59"/>
    </row>
    <row r="726" spans="1:2" x14ac:dyDescent="0.2">
      <c r="A726" s="59"/>
      <c r="B726" s="59"/>
    </row>
    <row r="727" spans="1:2" x14ac:dyDescent="0.2">
      <c r="A727" s="59"/>
      <c r="B727" s="59"/>
    </row>
    <row r="728" spans="1:2" x14ac:dyDescent="0.2">
      <c r="A728" s="59"/>
      <c r="B728" s="59"/>
    </row>
    <row r="729" spans="1:2" x14ac:dyDescent="0.2">
      <c r="A729" s="59"/>
      <c r="B729" s="59"/>
    </row>
    <row r="730" spans="1:2" x14ac:dyDescent="0.2">
      <c r="A730" s="59"/>
      <c r="B730" s="59"/>
    </row>
    <row r="731" spans="1:2" x14ac:dyDescent="0.2">
      <c r="A731" s="59"/>
      <c r="B731" s="59"/>
    </row>
    <row r="732" spans="1:2" x14ac:dyDescent="0.2">
      <c r="A732" s="59"/>
      <c r="B732" s="59"/>
    </row>
    <row r="733" spans="1:2" x14ac:dyDescent="0.2">
      <c r="A733" s="59"/>
      <c r="B733" s="59"/>
    </row>
    <row r="734" spans="1:2" x14ac:dyDescent="0.2">
      <c r="A734" s="59"/>
      <c r="B734" s="59"/>
    </row>
    <row r="735" spans="1:2" x14ac:dyDescent="0.2">
      <c r="A735" s="59"/>
      <c r="B735" s="59"/>
    </row>
    <row r="736" spans="1:2" x14ac:dyDescent="0.2">
      <c r="A736" s="59"/>
      <c r="B736" s="59"/>
    </row>
    <row r="737" spans="1:2" x14ac:dyDescent="0.2">
      <c r="A737" s="59"/>
      <c r="B737" s="59"/>
    </row>
    <row r="738" spans="1:2" x14ac:dyDescent="0.2">
      <c r="A738" s="59"/>
      <c r="B738" s="59"/>
    </row>
    <row r="739" spans="1:2" x14ac:dyDescent="0.2">
      <c r="A739" s="59"/>
      <c r="B739" s="59"/>
    </row>
    <row r="740" spans="1:2" x14ac:dyDescent="0.2">
      <c r="A740" s="59"/>
      <c r="B740" s="59"/>
    </row>
    <row r="741" spans="1:2" x14ac:dyDescent="0.2">
      <c r="A741" s="59"/>
      <c r="B741" s="59"/>
    </row>
    <row r="742" spans="1:2" x14ac:dyDescent="0.2">
      <c r="A742" s="59"/>
      <c r="B742" s="59"/>
    </row>
    <row r="743" spans="1:2" x14ac:dyDescent="0.2">
      <c r="A743" s="59"/>
      <c r="B743" s="59"/>
    </row>
    <row r="744" spans="1:2" x14ac:dyDescent="0.2">
      <c r="A744" s="59"/>
      <c r="B744" s="59"/>
    </row>
    <row r="745" spans="1:2" x14ac:dyDescent="0.2">
      <c r="A745" s="59"/>
      <c r="B745" s="59"/>
    </row>
    <row r="746" spans="1:2" x14ac:dyDescent="0.2">
      <c r="A746" s="59"/>
      <c r="B746" s="59"/>
    </row>
    <row r="747" spans="1:2" x14ac:dyDescent="0.2">
      <c r="A747" s="59"/>
      <c r="B747" s="59"/>
    </row>
    <row r="748" spans="1:2" x14ac:dyDescent="0.2">
      <c r="A748" s="59"/>
      <c r="B748" s="59"/>
    </row>
    <row r="749" spans="1:2" x14ac:dyDescent="0.2">
      <c r="A749" s="59"/>
      <c r="B749" s="59"/>
    </row>
    <row r="750" spans="1:2" x14ac:dyDescent="0.2">
      <c r="A750" s="59"/>
      <c r="B750" s="59"/>
    </row>
    <row r="751" spans="1:2" x14ac:dyDescent="0.2">
      <c r="A751" s="59"/>
      <c r="B751" s="59"/>
    </row>
    <row r="752" spans="1:2" x14ac:dyDescent="0.2">
      <c r="A752" s="59"/>
      <c r="B752" s="59"/>
    </row>
    <row r="753" spans="1:2" x14ac:dyDescent="0.2">
      <c r="A753" s="59"/>
      <c r="B753" s="59"/>
    </row>
    <row r="754" spans="1:2" x14ac:dyDescent="0.2">
      <c r="A754" s="59"/>
      <c r="B754" s="59"/>
    </row>
    <row r="755" spans="1:2" x14ac:dyDescent="0.2">
      <c r="A755" s="59"/>
      <c r="B755" s="59"/>
    </row>
    <row r="756" spans="1:2" x14ac:dyDescent="0.2">
      <c r="A756" s="59"/>
      <c r="B756" s="59"/>
    </row>
    <row r="757" spans="1:2" x14ac:dyDescent="0.2">
      <c r="A757" s="59"/>
      <c r="B757" s="59"/>
    </row>
    <row r="758" spans="1:2" x14ac:dyDescent="0.2">
      <c r="A758" s="59"/>
      <c r="B758" s="59"/>
    </row>
    <row r="759" spans="1:2" x14ac:dyDescent="0.2">
      <c r="A759" s="59"/>
      <c r="B759" s="59"/>
    </row>
    <row r="760" spans="1:2" x14ac:dyDescent="0.2">
      <c r="A760" s="59"/>
      <c r="B760" s="59"/>
    </row>
    <row r="761" spans="1:2" x14ac:dyDescent="0.2">
      <c r="A761" s="59"/>
      <c r="B761" s="59"/>
    </row>
    <row r="762" spans="1:2" x14ac:dyDescent="0.2">
      <c r="A762" s="59"/>
      <c r="B762" s="59"/>
    </row>
    <row r="763" spans="1:2" x14ac:dyDescent="0.2">
      <c r="A763" s="59"/>
      <c r="B763" s="59"/>
    </row>
    <row r="764" spans="1:2" x14ac:dyDescent="0.2">
      <c r="A764" s="59"/>
      <c r="B764" s="59"/>
    </row>
    <row r="765" spans="1:2" x14ac:dyDescent="0.2">
      <c r="A765" s="59"/>
      <c r="B765" s="59"/>
    </row>
    <row r="766" spans="1:2" x14ac:dyDescent="0.2">
      <c r="A766" s="59"/>
      <c r="B766" s="59"/>
    </row>
    <row r="767" spans="1:2" x14ac:dyDescent="0.2">
      <c r="A767" s="59"/>
      <c r="B767" s="59"/>
    </row>
    <row r="768" spans="1:2" x14ac:dyDescent="0.2">
      <c r="A768" s="59"/>
      <c r="B768" s="59"/>
    </row>
    <row r="769" spans="1:2" x14ac:dyDescent="0.2">
      <c r="A769" s="59"/>
      <c r="B769" s="59"/>
    </row>
    <row r="770" spans="1:2" x14ac:dyDescent="0.2">
      <c r="A770" s="59"/>
      <c r="B770" s="59"/>
    </row>
    <row r="771" spans="1:2" x14ac:dyDescent="0.2">
      <c r="A771" s="59"/>
      <c r="B771" s="59"/>
    </row>
    <row r="772" spans="1:2" x14ac:dyDescent="0.2">
      <c r="A772" s="59"/>
      <c r="B772" s="59"/>
    </row>
    <row r="773" spans="1:2" x14ac:dyDescent="0.2">
      <c r="A773" s="59"/>
      <c r="B773" s="59"/>
    </row>
    <row r="774" spans="1:2" x14ac:dyDescent="0.2">
      <c r="A774" s="59"/>
      <c r="B774" s="59"/>
    </row>
    <row r="775" spans="1:2" x14ac:dyDescent="0.2">
      <c r="A775" s="59"/>
      <c r="B775" s="59"/>
    </row>
    <row r="776" spans="1:2" x14ac:dyDescent="0.2">
      <c r="A776" s="59"/>
      <c r="B776" s="59"/>
    </row>
    <row r="777" spans="1:2" x14ac:dyDescent="0.2">
      <c r="A777" s="59"/>
      <c r="B777" s="59"/>
    </row>
    <row r="778" spans="1:2" x14ac:dyDescent="0.2">
      <c r="A778" s="59"/>
      <c r="B778" s="59"/>
    </row>
    <row r="779" spans="1:2" x14ac:dyDescent="0.2">
      <c r="A779" s="59"/>
      <c r="B779" s="59"/>
    </row>
    <row r="780" spans="1:2" x14ac:dyDescent="0.2">
      <c r="A780" s="59"/>
      <c r="B780" s="59"/>
    </row>
    <row r="781" spans="1:2" x14ac:dyDescent="0.2">
      <c r="A781" s="59"/>
      <c r="B781" s="59"/>
    </row>
    <row r="782" spans="1:2" x14ac:dyDescent="0.2">
      <c r="A782" s="59"/>
      <c r="B782" s="59"/>
    </row>
    <row r="783" spans="1:2" x14ac:dyDescent="0.2">
      <c r="A783" s="59"/>
      <c r="B783" s="59"/>
    </row>
    <row r="784" spans="1:2" x14ac:dyDescent="0.2">
      <c r="A784" s="59"/>
      <c r="B784" s="59"/>
    </row>
    <row r="785" spans="1:2" x14ac:dyDescent="0.2">
      <c r="A785" s="59"/>
      <c r="B785" s="59"/>
    </row>
    <row r="786" spans="1:2" x14ac:dyDescent="0.2">
      <c r="A786" s="59"/>
      <c r="B786" s="59"/>
    </row>
    <row r="787" spans="1:2" x14ac:dyDescent="0.2">
      <c r="A787" s="59"/>
      <c r="B787" s="59"/>
    </row>
    <row r="788" spans="1:2" x14ac:dyDescent="0.2">
      <c r="A788" s="59"/>
      <c r="B788" s="59"/>
    </row>
    <row r="789" spans="1:2" x14ac:dyDescent="0.2">
      <c r="A789" s="59"/>
      <c r="B789" s="59"/>
    </row>
    <row r="790" spans="1:2" x14ac:dyDescent="0.2">
      <c r="A790" s="59"/>
      <c r="B790" s="59"/>
    </row>
    <row r="791" spans="1:2" x14ac:dyDescent="0.2">
      <c r="A791" s="59"/>
      <c r="B791" s="59"/>
    </row>
    <row r="792" spans="1:2" x14ac:dyDescent="0.2">
      <c r="A792" s="59"/>
      <c r="B792" s="59"/>
    </row>
    <row r="793" spans="1:2" x14ac:dyDescent="0.2">
      <c r="A793" s="59"/>
      <c r="B793" s="59"/>
    </row>
    <row r="794" spans="1:2" x14ac:dyDescent="0.2">
      <c r="A794" s="59"/>
      <c r="B794" s="59"/>
    </row>
    <row r="795" spans="1:2" x14ac:dyDescent="0.2">
      <c r="A795" s="59"/>
      <c r="B795" s="59"/>
    </row>
    <row r="796" spans="1:2" x14ac:dyDescent="0.2">
      <c r="A796" s="59"/>
      <c r="B796" s="59"/>
    </row>
    <row r="797" spans="1:2" x14ac:dyDescent="0.2">
      <c r="A797" s="59"/>
      <c r="B797" s="59"/>
    </row>
    <row r="798" spans="1:2" x14ac:dyDescent="0.2">
      <c r="A798" s="59"/>
      <c r="B798" s="59"/>
    </row>
    <row r="799" spans="1:2" x14ac:dyDescent="0.2">
      <c r="A799" s="59"/>
      <c r="B799" s="59"/>
    </row>
    <row r="800" spans="1:2" x14ac:dyDescent="0.2">
      <c r="A800" s="59"/>
      <c r="B800" s="59"/>
    </row>
    <row r="801" spans="1:2" x14ac:dyDescent="0.2">
      <c r="A801" s="59"/>
      <c r="B801" s="59"/>
    </row>
    <row r="802" spans="1:2" x14ac:dyDescent="0.2">
      <c r="A802" s="59"/>
      <c r="B802" s="59"/>
    </row>
    <row r="803" spans="1:2" x14ac:dyDescent="0.2">
      <c r="A803" s="59"/>
      <c r="B803" s="59"/>
    </row>
    <row r="804" spans="1:2" x14ac:dyDescent="0.2">
      <c r="A804" s="59"/>
      <c r="B804" s="59"/>
    </row>
    <row r="805" spans="1:2" x14ac:dyDescent="0.2">
      <c r="A805" s="59"/>
      <c r="B805" s="59"/>
    </row>
    <row r="806" spans="1:2" x14ac:dyDescent="0.2">
      <c r="A806" s="59"/>
      <c r="B806" s="59"/>
    </row>
    <row r="807" spans="1:2" x14ac:dyDescent="0.2">
      <c r="A807" s="59"/>
      <c r="B807" s="59"/>
    </row>
    <row r="808" spans="1:2" x14ac:dyDescent="0.2">
      <c r="A808" s="59"/>
      <c r="B808" s="59"/>
    </row>
    <row r="809" spans="1:2" x14ac:dyDescent="0.2">
      <c r="A809" s="59"/>
      <c r="B809" s="59"/>
    </row>
    <row r="810" spans="1:2" x14ac:dyDescent="0.2">
      <c r="A810" s="59"/>
      <c r="B810" s="59"/>
    </row>
    <row r="811" spans="1:2" x14ac:dyDescent="0.2">
      <c r="A811" s="59"/>
      <c r="B811" s="59"/>
    </row>
    <row r="812" spans="1:2" x14ac:dyDescent="0.2">
      <c r="A812" s="59"/>
      <c r="B812" s="59"/>
    </row>
    <row r="813" spans="1:2" x14ac:dyDescent="0.2">
      <c r="A813" s="59"/>
      <c r="B813" s="59"/>
    </row>
    <row r="814" spans="1:2" x14ac:dyDescent="0.2">
      <c r="A814" s="59"/>
      <c r="B814" s="59"/>
    </row>
    <row r="815" spans="1:2" x14ac:dyDescent="0.2">
      <c r="A815" s="59"/>
      <c r="B815" s="59"/>
    </row>
    <row r="816" spans="1:2" x14ac:dyDescent="0.2">
      <c r="A816" s="59"/>
      <c r="B816" s="59"/>
    </row>
    <row r="817" spans="1:2" x14ac:dyDescent="0.2">
      <c r="A817" s="59"/>
      <c r="B817" s="59"/>
    </row>
    <row r="818" spans="1:2" x14ac:dyDescent="0.2">
      <c r="A818" s="59"/>
      <c r="B818" s="59"/>
    </row>
    <row r="819" spans="1:2" x14ac:dyDescent="0.2">
      <c r="A819" s="59"/>
      <c r="B819" s="59"/>
    </row>
    <row r="820" spans="1:2" x14ac:dyDescent="0.2">
      <c r="A820" s="59"/>
      <c r="B820" s="59"/>
    </row>
    <row r="821" spans="1:2" x14ac:dyDescent="0.2">
      <c r="A821" s="59"/>
      <c r="B821" s="59"/>
    </row>
    <row r="822" spans="1:2" x14ac:dyDescent="0.2">
      <c r="A822" s="59"/>
      <c r="B822" s="59"/>
    </row>
    <row r="823" spans="1:2" x14ac:dyDescent="0.2">
      <c r="A823" s="59"/>
      <c r="B823" s="59"/>
    </row>
    <row r="824" spans="1:2" x14ac:dyDescent="0.2">
      <c r="A824" s="59"/>
      <c r="B824" s="59"/>
    </row>
    <row r="825" spans="1:2" x14ac:dyDescent="0.2">
      <c r="A825" s="59"/>
      <c r="B825" s="59"/>
    </row>
    <row r="826" spans="1:2" x14ac:dyDescent="0.2">
      <c r="A826" s="59"/>
      <c r="B826" s="59"/>
    </row>
    <row r="827" spans="1:2" x14ac:dyDescent="0.2">
      <c r="A827" s="59"/>
      <c r="B827" s="59"/>
    </row>
    <row r="828" spans="1:2" x14ac:dyDescent="0.2">
      <c r="A828" s="59"/>
      <c r="B828" s="59"/>
    </row>
    <row r="829" spans="1:2" x14ac:dyDescent="0.2">
      <c r="A829" s="59"/>
      <c r="B829" s="59"/>
    </row>
    <row r="830" spans="1:2" x14ac:dyDescent="0.2">
      <c r="A830" s="59"/>
      <c r="B830" s="59"/>
    </row>
    <row r="831" spans="1:2" x14ac:dyDescent="0.2">
      <c r="A831" s="59"/>
      <c r="B831" s="59"/>
    </row>
    <row r="832" spans="1:2" x14ac:dyDescent="0.2">
      <c r="A832" s="59"/>
      <c r="B832" s="59"/>
    </row>
    <row r="833" spans="1:2" x14ac:dyDescent="0.2">
      <c r="A833" s="59"/>
      <c r="B833" s="59"/>
    </row>
    <row r="834" spans="1:2" x14ac:dyDescent="0.2">
      <c r="A834" s="59"/>
      <c r="B834" s="59"/>
    </row>
    <row r="835" spans="1:2" x14ac:dyDescent="0.2">
      <c r="A835" s="59"/>
      <c r="B835" s="59"/>
    </row>
    <row r="836" spans="1:2" x14ac:dyDescent="0.2">
      <c r="A836" s="59"/>
      <c r="B836" s="59"/>
    </row>
    <row r="837" spans="1:2" x14ac:dyDescent="0.2">
      <c r="A837" s="59"/>
      <c r="B837" s="59"/>
    </row>
    <row r="838" spans="1:2" x14ac:dyDescent="0.2">
      <c r="A838" s="59"/>
      <c r="B838" s="59"/>
    </row>
    <row r="839" spans="1:2" x14ac:dyDescent="0.2">
      <c r="A839" s="59"/>
      <c r="B839" s="59"/>
    </row>
    <row r="840" spans="1:2" x14ac:dyDescent="0.2">
      <c r="A840" s="59"/>
      <c r="B840" s="59"/>
    </row>
    <row r="841" spans="1:2" x14ac:dyDescent="0.2">
      <c r="A841" s="59"/>
      <c r="B841" s="59"/>
    </row>
    <row r="842" spans="1:2" x14ac:dyDescent="0.2">
      <c r="A842" s="59"/>
      <c r="B842" s="59"/>
    </row>
    <row r="843" spans="1:2" x14ac:dyDescent="0.2">
      <c r="A843" s="59"/>
      <c r="B843" s="59"/>
    </row>
    <row r="844" spans="1:2" x14ac:dyDescent="0.2">
      <c r="A844" s="59"/>
      <c r="B844" s="59"/>
    </row>
    <row r="845" spans="1:2" x14ac:dyDescent="0.2">
      <c r="A845" s="59"/>
      <c r="B845" s="59"/>
    </row>
    <row r="846" spans="1:2" x14ac:dyDescent="0.2">
      <c r="A846" s="59"/>
      <c r="B846" s="59"/>
    </row>
    <row r="847" spans="1:2" x14ac:dyDescent="0.2">
      <c r="A847" s="59"/>
      <c r="B847" s="59"/>
    </row>
    <row r="848" spans="1:2" x14ac:dyDescent="0.2">
      <c r="A848" s="59"/>
      <c r="B848" s="59"/>
    </row>
    <row r="849" spans="1:2" x14ac:dyDescent="0.2">
      <c r="A849" s="59"/>
      <c r="B849" s="59"/>
    </row>
    <row r="850" spans="1:2" x14ac:dyDescent="0.2">
      <c r="A850" s="59"/>
      <c r="B850" s="59"/>
    </row>
    <row r="851" spans="1:2" x14ac:dyDescent="0.2">
      <c r="A851" s="59"/>
      <c r="B851" s="59"/>
    </row>
    <row r="852" spans="1:2" x14ac:dyDescent="0.2">
      <c r="A852" s="59"/>
      <c r="B852" s="59"/>
    </row>
    <row r="853" spans="1:2" x14ac:dyDescent="0.2">
      <c r="A853" s="59"/>
      <c r="B853" s="59"/>
    </row>
    <row r="854" spans="1:2" x14ac:dyDescent="0.2">
      <c r="A854" s="59"/>
      <c r="B854" s="59"/>
    </row>
    <row r="855" spans="1:2" x14ac:dyDescent="0.2">
      <c r="A855" s="59"/>
      <c r="B855" s="59"/>
    </row>
    <row r="856" spans="1:2" x14ac:dyDescent="0.2">
      <c r="A856" s="59"/>
      <c r="B856" s="59"/>
    </row>
    <row r="857" spans="1:2" x14ac:dyDescent="0.2">
      <c r="A857" s="59"/>
      <c r="B857" s="59"/>
    </row>
    <row r="858" spans="1:2" x14ac:dyDescent="0.2">
      <c r="A858" s="59"/>
      <c r="B858" s="59"/>
    </row>
    <row r="859" spans="1:2" x14ac:dyDescent="0.2">
      <c r="A859" s="59"/>
      <c r="B859" s="59"/>
    </row>
    <row r="860" spans="1:2" x14ac:dyDescent="0.2">
      <c r="A860" s="59"/>
      <c r="B860" s="59"/>
    </row>
    <row r="861" spans="1:2" x14ac:dyDescent="0.2">
      <c r="A861" s="59"/>
      <c r="B861" s="59"/>
    </row>
    <row r="862" spans="1:2" x14ac:dyDescent="0.2">
      <c r="A862" s="59"/>
      <c r="B862" s="59"/>
    </row>
    <row r="863" spans="1:2" x14ac:dyDescent="0.2">
      <c r="A863" s="59"/>
      <c r="B863" s="59"/>
    </row>
    <row r="864" spans="1:2" x14ac:dyDescent="0.2">
      <c r="A864" s="59"/>
      <c r="B864" s="59"/>
    </row>
    <row r="865" spans="1:2" x14ac:dyDescent="0.2">
      <c r="A865" s="59"/>
      <c r="B865" s="59"/>
    </row>
    <row r="866" spans="1:2" x14ac:dyDescent="0.2">
      <c r="A866" s="59"/>
      <c r="B866" s="59"/>
    </row>
    <row r="867" spans="1:2" x14ac:dyDescent="0.2">
      <c r="A867" s="59"/>
      <c r="B867" s="59"/>
    </row>
    <row r="868" spans="1:2" x14ac:dyDescent="0.2">
      <c r="A868" s="59"/>
      <c r="B868" s="59"/>
    </row>
    <row r="869" spans="1:2" x14ac:dyDescent="0.2">
      <c r="A869" s="59"/>
      <c r="B869" s="59"/>
    </row>
    <row r="870" spans="1:2" x14ac:dyDescent="0.2">
      <c r="A870" s="59"/>
      <c r="B870" s="59"/>
    </row>
    <row r="871" spans="1:2" x14ac:dyDescent="0.2">
      <c r="A871" s="59"/>
      <c r="B871" s="59"/>
    </row>
    <row r="872" spans="1:2" x14ac:dyDescent="0.2">
      <c r="A872" s="59"/>
      <c r="B872" s="59"/>
    </row>
    <row r="873" spans="1:2" x14ac:dyDescent="0.2">
      <c r="A873" s="59"/>
      <c r="B873" s="59"/>
    </row>
    <row r="874" spans="1:2" x14ac:dyDescent="0.2">
      <c r="A874" s="59"/>
      <c r="B874" s="59"/>
    </row>
    <row r="875" spans="1:2" x14ac:dyDescent="0.2">
      <c r="A875" s="59"/>
      <c r="B875" s="59"/>
    </row>
    <row r="876" spans="1:2" x14ac:dyDescent="0.2">
      <c r="A876" s="59"/>
      <c r="B876" s="59"/>
    </row>
    <row r="877" spans="1:2" x14ac:dyDescent="0.2">
      <c r="A877" s="59"/>
      <c r="B877" s="59"/>
    </row>
    <row r="878" spans="1:2" x14ac:dyDescent="0.2">
      <c r="A878" s="59"/>
      <c r="B878" s="59"/>
    </row>
    <row r="879" spans="1:2" x14ac:dyDescent="0.2">
      <c r="A879" s="59"/>
      <c r="B879" s="59"/>
    </row>
    <row r="880" spans="1:2" x14ac:dyDescent="0.2">
      <c r="A880" s="59"/>
      <c r="B880" s="59"/>
    </row>
    <row r="881" spans="1:2" x14ac:dyDescent="0.2">
      <c r="A881" s="59"/>
      <c r="B881" s="59"/>
    </row>
    <row r="882" spans="1:2" x14ac:dyDescent="0.2">
      <c r="A882" s="59"/>
      <c r="B882" s="59"/>
    </row>
    <row r="883" spans="1:2" x14ac:dyDescent="0.2">
      <c r="A883" s="59"/>
      <c r="B883" s="59"/>
    </row>
    <row r="884" spans="1:2" x14ac:dyDescent="0.2">
      <c r="A884" s="59"/>
      <c r="B884" s="59"/>
    </row>
    <row r="885" spans="1:2" x14ac:dyDescent="0.2">
      <c r="A885" s="59"/>
      <c r="B885" s="59"/>
    </row>
    <row r="886" spans="1:2" x14ac:dyDescent="0.2">
      <c r="A886" s="59"/>
      <c r="B886" s="59"/>
    </row>
    <row r="887" spans="1:2" x14ac:dyDescent="0.2">
      <c r="A887" s="59"/>
      <c r="B887" s="59"/>
    </row>
    <row r="888" spans="1:2" x14ac:dyDescent="0.2">
      <c r="A888" s="59"/>
      <c r="B888" s="59"/>
    </row>
    <row r="889" spans="1:2" x14ac:dyDescent="0.2">
      <c r="A889" s="59"/>
      <c r="B889" s="59"/>
    </row>
    <row r="890" spans="1:2" x14ac:dyDescent="0.2">
      <c r="A890" s="59"/>
      <c r="B890" s="59"/>
    </row>
    <row r="891" spans="1:2" x14ac:dyDescent="0.2">
      <c r="A891" s="59"/>
      <c r="B891" s="59"/>
    </row>
    <row r="892" spans="1:2" x14ac:dyDescent="0.2">
      <c r="A892" s="59"/>
      <c r="B892" s="59"/>
    </row>
    <row r="893" spans="1:2" x14ac:dyDescent="0.2">
      <c r="A893" s="59"/>
      <c r="B893" s="59"/>
    </row>
    <row r="894" spans="1:2" x14ac:dyDescent="0.2">
      <c r="A894" s="59"/>
      <c r="B894" s="59"/>
    </row>
    <row r="895" spans="1:2" x14ac:dyDescent="0.2">
      <c r="A895" s="59"/>
      <c r="B895" s="59"/>
    </row>
    <row r="896" spans="1:2" x14ac:dyDescent="0.2">
      <c r="A896" s="59"/>
      <c r="B896" s="59"/>
    </row>
    <row r="897" spans="1:2" x14ac:dyDescent="0.2">
      <c r="A897" s="59"/>
      <c r="B897" s="59"/>
    </row>
    <row r="898" spans="1:2" x14ac:dyDescent="0.2">
      <c r="A898" s="59"/>
      <c r="B898" s="59"/>
    </row>
    <row r="899" spans="1:2" x14ac:dyDescent="0.2">
      <c r="A899" s="59"/>
      <c r="B899" s="59"/>
    </row>
    <row r="900" spans="1:2" x14ac:dyDescent="0.2">
      <c r="A900" s="59"/>
      <c r="B900" s="59"/>
    </row>
    <row r="901" spans="1:2" x14ac:dyDescent="0.2">
      <c r="A901" s="59"/>
      <c r="B901" s="59"/>
    </row>
    <row r="902" spans="1:2" x14ac:dyDescent="0.2">
      <c r="A902" s="59"/>
      <c r="B902" s="59"/>
    </row>
    <row r="903" spans="1:2" x14ac:dyDescent="0.2">
      <c r="A903" s="59"/>
      <c r="B903" s="59"/>
    </row>
    <row r="904" spans="1:2" x14ac:dyDescent="0.2">
      <c r="A904" s="59"/>
      <c r="B904" s="59"/>
    </row>
    <row r="905" spans="1:2" x14ac:dyDescent="0.2">
      <c r="A905" s="59"/>
      <c r="B905" s="59"/>
    </row>
    <row r="906" spans="1:2" x14ac:dyDescent="0.2">
      <c r="A906" s="59"/>
      <c r="B906" s="59"/>
    </row>
    <row r="907" spans="1:2" x14ac:dyDescent="0.2">
      <c r="A907" s="59"/>
      <c r="B907" s="59"/>
    </row>
    <row r="908" spans="1:2" x14ac:dyDescent="0.2">
      <c r="A908" s="59"/>
      <c r="B908" s="59"/>
    </row>
    <row r="909" spans="1:2" x14ac:dyDescent="0.2">
      <c r="A909" s="59"/>
      <c r="B909" s="59"/>
    </row>
    <row r="910" spans="1:2" x14ac:dyDescent="0.2">
      <c r="A910" s="59"/>
      <c r="B910" s="59"/>
    </row>
    <row r="911" spans="1:2" x14ac:dyDescent="0.2">
      <c r="A911" s="59"/>
      <c r="B911" s="59"/>
    </row>
    <row r="912" spans="1:2" x14ac:dyDescent="0.2">
      <c r="A912" s="59"/>
      <c r="B912" s="59"/>
    </row>
    <row r="913" spans="1:2" x14ac:dyDescent="0.2">
      <c r="A913" s="59"/>
      <c r="B913" s="59"/>
    </row>
    <row r="914" spans="1:2" x14ac:dyDescent="0.2">
      <c r="A914" s="59"/>
      <c r="B914" s="59"/>
    </row>
    <row r="915" spans="1:2" x14ac:dyDescent="0.2">
      <c r="A915" s="59"/>
      <c r="B915" s="59"/>
    </row>
    <row r="916" spans="1:2" x14ac:dyDescent="0.2">
      <c r="A916" s="59"/>
      <c r="B916" s="59"/>
    </row>
    <row r="917" spans="1:2" x14ac:dyDescent="0.2">
      <c r="A917" s="59"/>
      <c r="B917" s="59"/>
    </row>
    <row r="918" spans="1:2" x14ac:dyDescent="0.2">
      <c r="A918" s="59"/>
      <c r="B918" s="59"/>
    </row>
    <row r="919" spans="1:2" x14ac:dyDescent="0.2">
      <c r="A919" s="59"/>
      <c r="B919" s="59"/>
    </row>
    <row r="920" spans="1:2" x14ac:dyDescent="0.2">
      <c r="A920" s="59"/>
      <c r="B920" s="59"/>
    </row>
    <row r="921" spans="1:2" x14ac:dyDescent="0.2">
      <c r="A921" s="59"/>
      <c r="B921" s="59"/>
    </row>
    <row r="922" spans="1:2" x14ac:dyDescent="0.2">
      <c r="A922" s="59"/>
      <c r="B922" s="59"/>
    </row>
    <row r="923" spans="1:2" x14ac:dyDescent="0.2">
      <c r="A923" s="59"/>
      <c r="B923" s="59"/>
    </row>
    <row r="924" spans="1:2" x14ac:dyDescent="0.2">
      <c r="A924" s="59"/>
      <c r="B924" s="59"/>
    </row>
    <row r="925" spans="1:2" x14ac:dyDescent="0.2">
      <c r="A925" s="59"/>
      <c r="B925" s="59"/>
    </row>
    <row r="926" spans="1:2" x14ac:dyDescent="0.2">
      <c r="A926" s="59"/>
      <c r="B926" s="59"/>
    </row>
    <row r="927" spans="1:2" x14ac:dyDescent="0.2">
      <c r="A927" s="59"/>
      <c r="B927" s="59"/>
    </row>
    <row r="928" spans="1:2" x14ac:dyDescent="0.2">
      <c r="A928" s="59"/>
      <c r="B928" s="59"/>
    </row>
    <row r="929" spans="1:2" x14ac:dyDescent="0.2">
      <c r="A929" s="59"/>
      <c r="B929" s="59"/>
    </row>
    <row r="930" spans="1:2" x14ac:dyDescent="0.2">
      <c r="A930" s="59"/>
      <c r="B930" s="59"/>
    </row>
    <row r="931" spans="1:2" x14ac:dyDescent="0.2">
      <c r="A931" s="59"/>
      <c r="B931" s="59"/>
    </row>
    <row r="932" spans="1:2" x14ac:dyDescent="0.2">
      <c r="A932" s="59"/>
      <c r="B932" s="59"/>
    </row>
    <row r="933" spans="1:2" x14ac:dyDescent="0.2">
      <c r="A933" s="59"/>
      <c r="B933" s="59"/>
    </row>
    <row r="934" spans="1:2" x14ac:dyDescent="0.2">
      <c r="A934" s="59"/>
      <c r="B934" s="59"/>
    </row>
    <row r="935" spans="1:2" x14ac:dyDescent="0.2">
      <c r="A935" s="59"/>
      <c r="B935" s="59"/>
    </row>
    <row r="936" spans="1:2" x14ac:dyDescent="0.2">
      <c r="A936" s="59"/>
      <c r="B936" s="59"/>
    </row>
    <row r="937" spans="1:2" x14ac:dyDescent="0.2">
      <c r="A937" s="59"/>
      <c r="B937" s="59"/>
    </row>
    <row r="938" spans="1:2" x14ac:dyDescent="0.2">
      <c r="A938" s="59"/>
      <c r="B938" s="59"/>
    </row>
    <row r="939" spans="1:2" x14ac:dyDescent="0.2">
      <c r="A939" s="59"/>
      <c r="B939" s="59"/>
    </row>
    <row r="940" spans="1:2" x14ac:dyDescent="0.2">
      <c r="A940" s="59"/>
      <c r="B940" s="59"/>
    </row>
    <row r="941" spans="1:2" x14ac:dyDescent="0.2">
      <c r="A941" s="59"/>
      <c r="B941" s="59"/>
    </row>
    <row r="942" spans="1:2" x14ac:dyDescent="0.2">
      <c r="A942" s="59"/>
      <c r="B942" s="59"/>
    </row>
    <row r="943" spans="1:2" x14ac:dyDescent="0.2">
      <c r="A943" s="59"/>
      <c r="B943" s="59"/>
    </row>
    <row r="944" spans="1:2" x14ac:dyDescent="0.2">
      <c r="A944" s="59"/>
      <c r="B944" s="59"/>
    </row>
    <row r="945" spans="1:2" x14ac:dyDescent="0.2">
      <c r="A945" s="59"/>
      <c r="B945" s="59"/>
    </row>
    <row r="946" spans="1:2" x14ac:dyDescent="0.2">
      <c r="A946" s="59"/>
      <c r="B946" s="59"/>
    </row>
    <row r="947" spans="1:2" x14ac:dyDescent="0.2">
      <c r="A947" s="59"/>
      <c r="B947" s="59"/>
    </row>
    <row r="948" spans="1:2" x14ac:dyDescent="0.2">
      <c r="A948" s="59"/>
      <c r="B948" s="59"/>
    </row>
    <row r="949" spans="1:2" x14ac:dyDescent="0.2">
      <c r="A949" s="59"/>
      <c r="B949" s="59"/>
    </row>
    <row r="950" spans="1:2" x14ac:dyDescent="0.2">
      <c r="A950" s="59"/>
      <c r="B950" s="59"/>
    </row>
    <row r="951" spans="1:2" x14ac:dyDescent="0.2">
      <c r="A951" s="59"/>
      <c r="B951" s="59"/>
    </row>
    <row r="952" spans="1:2" x14ac:dyDescent="0.2">
      <c r="A952" s="59"/>
      <c r="B952" s="59"/>
    </row>
    <row r="953" spans="1:2" x14ac:dyDescent="0.2">
      <c r="A953" s="59"/>
      <c r="B953" s="59"/>
    </row>
    <row r="954" spans="1:2" x14ac:dyDescent="0.2">
      <c r="A954" s="59"/>
      <c r="B954" s="59"/>
    </row>
    <row r="955" spans="1:2" x14ac:dyDescent="0.2">
      <c r="A955" s="59"/>
      <c r="B955" s="59"/>
    </row>
    <row r="956" spans="1:2" x14ac:dyDescent="0.2">
      <c r="A956" s="59"/>
      <c r="B956" s="59"/>
    </row>
    <row r="957" spans="1:2" x14ac:dyDescent="0.2">
      <c r="A957" s="59"/>
      <c r="B957" s="59"/>
    </row>
    <row r="958" spans="1:2" x14ac:dyDescent="0.2">
      <c r="A958" s="59"/>
      <c r="B958" s="59"/>
    </row>
    <row r="959" spans="1:2" x14ac:dyDescent="0.2">
      <c r="A959" s="59"/>
      <c r="B959" s="59"/>
    </row>
    <row r="960" spans="1:2" x14ac:dyDescent="0.2">
      <c r="A960" s="59"/>
      <c r="B960" s="59"/>
    </row>
    <row r="961" spans="1:2" x14ac:dyDescent="0.2">
      <c r="A961" s="59"/>
      <c r="B961" s="59"/>
    </row>
    <row r="962" spans="1:2" x14ac:dyDescent="0.2">
      <c r="A962" s="59"/>
      <c r="B962" s="59"/>
    </row>
    <row r="963" spans="1:2" x14ac:dyDescent="0.2">
      <c r="A963" s="59"/>
      <c r="B963" s="59"/>
    </row>
    <row r="964" spans="1:2" x14ac:dyDescent="0.2">
      <c r="A964" s="59"/>
      <c r="B964" s="59"/>
    </row>
    <row r="965" spans="1:2" x14ac:dyDescent="0.2">
      <c r="A965" s="59"/>
      <c r="B965" s="59"/>
    </row>
    <row r="966" spans="1:2" x14ac:dyDescent="0.2">
      <c r="A966" s="59"/>
      <c r="B966" s="59"/>
    </row>
    <row r="967" spans="1:2" x14ac:dyDescent="0.2">
      <c r="A967" s="59"/>
      <c r="B967" s="59"/>
    </row>
    <row r="968" spans="1:2" x14ac:dyDescent="0.2">
      <c r="A968" s="59"/>
      <c r="B968" s="59"/>
    </row>
    <row r="969" spans="1:2" x14ac:dyDescent="0.2">
      <c r="A969" s="59"/>
      <c r="B969" s="59"/>
    </row>
    <row r="970" spans="1:2" x14ac:dyDescent="0.2">
      <c r="A970" s="59"/>
      <c r="B970" s="59"/>
    </row>
    <row r="971" spans="1:2" x14ac:dyDescent="0.2">
      <c r="A971" s="59"/>
      <c r="B971" s="59"/>
    </row>
    <row r="972" spans="1:2" x14ac:dyDescent="0.2">
      <c r="A972" s="59"/>
      <c r="B972" s="59"/>
    </row>
    <row r="973" spans="1:2" x14ac:dyDescent="0.2">
      <c r="A973" s="59"/>
      <c r="B973" s="59"/>
    </row>
    <row r="974" spans="1:2" x14ac:dyDescent="0.2">
      <c r="A974" s="59"/>
      <c r="B974" s="59"/>
    </row>
    <row r="975" spans="1:2" x14ac:dyDescent="0.2">
      <c r="A975" s="59"/>
      <c r="B975" s="59"/>
    </row>
    <row r="976" spans="1:2" x14ac:dyDescent="0.2">
      <c r="A976" s="59"/>
      <c r="B976" s="59"/>
    </row>
    <row r="977" spans="1:2" x14ac:dyDescent="0.2">
      <c r="A977" s="59"/>
      <c r="B977" s="59"/>
    </row>
    <row r="978" spans="1:2" x14ac:dyDescent="0.2">
      <c r="A978" s="59"/>
      <c r="B978" s="59"/>
    </row>
    <row r="979" spans="1:2" x14ac:dyDescent="0.2">
      <c r="A979" s="59"/>
      <c r="B979" s="59"/>
    </row>
    <row r="980" spans="1:2" x14ac:dyDescent="0.2">
      <c r="A980" s="59"/>
      <c r="B980" s="59"/>
    </row>
    <row r="981" spans="1:2" x14ac:dyDescent="0.2">
      <c r="A981" s="59"/>
      <c r="B981" s="59"/>
    </row>
    <row r="982" spans="1:2" x14ac:dyDescent="0.2">
      <c r="A982" s="59"/>
      <c r="B982" s="59"/>
    </row>
    <row r="983" spans="1:2" x14ac:dyDescent="0.2">
      <c r="A983" s="59"/>
      <c r="B983" s="59"/>
    </row>
    <row r="984" spans="1:2" x14ac:dyDescent="0.2">
      <c r="A984" s="59"/>
      <c r="B984" s="59"/>
    </row>
    <row r="985" spans="1:2" x14ac:dyDescent="0.2">
      <c r="A985" s="59"/>
      <c r="B985" s="59"/>
    </row>
    <row r="986" spans="1:2" x14ac:dyDescent="0.2">
      <c r="A986" s="59"/>
      <c r="B986" s="59"/>
    </row>
    <row r="987" spans="1:2" x14ac:dyDescent="0.2">
      <c r="A987" s="59"/>
      <c r="B987" s="59"/>
    </row>
    <row r="988" spans="1:2" x14ac:dyDescent="0.2">
      <c r="A988" s="59"/>
      <c r="B988" s="59"/>
    </row>
  </sheetData>
  <autoFilter ref="A1:E411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CCCCCC"/>
    <outlinePr summaryBelow="0" summaryRight="0"/>
  </sheetPr>
  <dimension ref="A1:J348"/>
  <sheetViews>
    <sheetView workbookViewId="0"/>
  </sheetViews>
  <sheetFormatPr defaultColWidth="12.5703125" defaultRowHeight="15.75" customHeight="1" x14ac:dyDescent="0.2"/>
  <cols>
    <col min="1" max="1" width="45.28515625" customWidth="1"/>
    <col min="2" max="2" width="15.42578125" customWidth="1"/>
    <col min="3" max="3" width="17.140625" customWidth="1"/>
    <col min="4" max="4" width="27.140625" customWidth="1"/>
  </cols>
  <sheetData>
    <row r="1" spans="1:10" x14ac:dyDescent="0.2">
      <c r="A1" s="43" t="s">
        <v>357</v>
      </c>
      <c r="B1" s="43" t="s">
        <v>732</v>
      </c>
      <c r="C1" s="43" t="s">
        <v>733</v>
      </c>
      <c r="D1" s="43" t="s">
        <v>734</v>
      </c>
    </row>
    <row r="3" spans="1:10" x14ac:dyDescent="0.2">
      <c r="A3" s="45" t="s">
        <v>735</v>
      </c>
      <c r="B3" s="60">
        <v>45595.5</v>
      </c>
      <c r="C3" s="50"/>
      <c r="D3" s="47"/>
    </row>
    <row r="4" spans="1:10" x14ac:dyDescent="0.2">
      <c r="A4" s="48" t="s">
        <v>736</v>
      </c>
      <c r="B4" s="61">
        <v>45595.333333333336</v>
      </c>
      <c r="C4" s="50" t="s">
        <v>13</v>
      </c>
      <c r="D4" s="50"/>
    </row>
    <row r="5" spans="1:10" x14ac:dyDescent="0.2">
      <c r="A5" s="48" t="s">
        <v>135</v>
      </c>
      <c r="B5" s="61">
        <v>45594.541666666664</v>
      </c>
      <c r="C5" s="50" t="s">
        <v>26</v>
      </c>
      <c r="D5" s="50" t="s">
        <v>737</v>
      </c>
    </row>
    <row r="6" spans="1:10" x14ac:dyDescent="0.2">
      <c r="A6" s="48" t="s">
        <v>138</v>
      </c>
      <c r="B6" s="61">
        <v>45589.625</v>
      </c>
      <c r="C6" s="50" t="s">
        <v>737</v>
      </c>
      <c r="D6" s="50" t="s">
        <v>26</v>
      </c>
    </row>
    <row r="7" spans="1:10" x14ac:dyDescent="0.2">
      <c r="A7" s="48" t="s">
        <v>738</v>
      </c>
      <c r="B7" s="61">
        <v>45589.583333333336</v>
      </c>
      <c r="C7" s="50" t="s">
        <v>13</v>
      </c>
      <c r="D7" s="50"/>
    </row>
    <row r="8" spans="1:10" x14ac:dyDescent="0.2">
      <c r="A8" s="48" t="s">
        <v>136</v>
      </c>
      <c r="B8" s="61">
        <v>45589.541666666664</v>
      </c>
      <c r="C8" s="50" t="s">
        <v>13</v>
      </c>
      <c r="D8" s="50" t="s">
        <v>739</v>
      </c>
    </row>
    <row r="9" spans="1:10" x14ac:dyDescent="0.2">
      <c r="A9" s="48" t="s">
        <v>740</v>
      </c>
      <c r="B9" s="61">
        <v>45589.416666666664</v>
      </c>
      <c r="C9" s="50" t="s">
        <v>13</v>
      </c>
      <c r="D9" s="50"/>
    </row>
    <row r="10" spans="1:10" x14ac:dyDescent="0.2">
      <c r="A10" s="48" t="s">
        <v>140</v>
      </c>
      <c r="B10" s="61">
        <v>45588.541666666664</v>
      </c>
      <c r="C10" s="50" t="s">
        <v>13</v>
      </c>
      <c r="D10" s="50"/>
    </row>
    <row r="11" spans="1:10" x14ac:dyDescent="0.2">
      <c r="A11" s="48" t="s">
        <v>141</v>
      </c>
      <c r="B11" s="61">
        <v>45588.458333333336</v>
      </c>
      <c r="C11" s="50" t="s">
        <v>13</v>
      </c>
      <c r="D11" s="50"/>
    </row>
    <row r="12" spans="1:10" x14ac:dyDescent="0.2">
      <c r="A12" s="52" t="s">
        <v>142</v>
      </c>
      <c r="B12" s="62">
        <v>45587.416666666664</v>
      </c>
      <c r="C12" s="54" t="s">
        <v>739</v>
      </c>
      <c r="D12" s="54" t="s">
        <v>13</v>
      </c>
      <c r="G12" s="48"/>
      <c r="H12" s="61"/>
      <c r="I12" s="50"/>
      <c r="J12" s="50"/>
    </row>
    <row r="13" spans="1:10" x14ac:dyDescent="0.2">
      <c r="A13" s="48" t="s">
        <v>144</v>
      </c>
      <c r="B13" s="61">
        <v>45586.583333333336</v>
      </c>
      <c r="C13" s="50"/>
      <c r="D13" s="50"/>
      <c r="G13" s="48"/>
      <c r="H13" s="61"/>
      <c r="I13" s="50"/>
      <c r="J13" s="50"/>
    </row>
    <row r="14" spans="1:10" x14ac:dyDescent="0.2">
      <c r="A14" s="48" t="s">
        <v>143</v>
      </c>
      <c r="B14" s="61">
        <v>45586.5</v>
      </c>
      <c r="C14" s="50" t="s">
        <v>13</v>
      </c>
      <c r="D14" s="50"/>
      <c r="G14" s="48"/>
      <c r="H14" s="61"/>
      <c r="I14" s="50"/>
      <c r="J14" s="50"/>
    </row>
    <row r="15" spans="1:10" x14ac:dyDescent="0.2">
      <c r="A15" s="52" t="s">
        <v>741</v>
      </c>
      <c r="B15" s="62">
        <v>45583.5</v>
      </c>
      <c r="C15" s="54" t="s">
        <v>742</v>
      </c>
      <c r="D15" s="54" t="s">
        <v>13</v>
      </c>
      <c r="G15" s="48"/>
      <c r="H15" s="61"/>
      <c r="I15" s="50"/>
      <c r="J15" s="50"/>
    </row>
    <row r="16" spans="1:10" x14ac:dyDescent="0.2">
      <c r="A16" s="48" t="s">
        <v>145</v>
      </c>
      <c r="B16" s="61">
        <v>45583.416666666664</v>
      </c>
      <c r="C16" s="50" t="s">
        <v>737</v>
      </c>
      <c r="D16" s="50" t="s">
        <v>26</v>
      </c>
      <c r="G16" s="48"/>
      <c r="H16" s="61"/>
      <c r="I16" s="50"/>
      <c r="J16" s="50"/>
    </row>
    <row r="17" spans="1:10" x14ac:dyDescent="0.2">
      <c r="A17" s="48" t="s">
        <v>146</v>
      </c>
      <c r="B17" s="61">
        <v>45583.416666666664</v>
      </c>
      <c r="C17" s="50" t="s">
        <v>13</v>
      </c>
      <c r="D17" s="50"/>
      <c r="G17" s="48"/>
      <c r="H17" s="61"/>
      <c r="I17" s="50"/>
      <c r="J17" s="50"/>
    </row>
    <row r="18" spans="1:10" x14ac:dyDescent="0.2">
      <c r="A18" s="48" t="s">
        <v>148</v>
      </c>
      <c r="B18" s="61">
        <v>45582.583333333336</v>
      </c>
      <c r="C18" s="50" t="s">
        <v>13</v>
      </c>
      <c r="D18" s="50"/>
      <c r="G18" s="48"/>
      <c r="H18" s="61"/>
      <c r="I18" s="50"/>
      <c r="J18" s="50"/>
    </row>
    <row r="19" spans="1:10" x14ac:dyDescent="0.2">
      <c r="A19" s="48" t="s">
        <v>147</v>
      </c>
      <c r="B19" s="61">
        <v>45582.541666666664</v>
      </c>
      <c r="C19" s="50" t="s">
        <v>739</v>
      </c>
      <c r="D19" s="50"/>
      <c r="G19" s="48"/>
      <c r="H19" s="61"/>
      <c r="I19" s="50"/>
      <c r="J19" s="50"/>
    </row>
    <row r="20" spans="1:10" x14ac:dyDescent="0.2">
      <c r="A20" s="48" t="s">
        <v>150</v>
      </c>
      <c r="B20" s="61">
        <v>45581.583333333336</v>
      </c>
      <c r="C20" s="50" t="s">
        <v>739</v>
      </c>
      <c r="D20" s="50"/>
      <c r="G20" s="48"/>
      <c r="H20" s="61"/>
      <c r="I20" s="50"/>
      <c r="J20" s="50"/>
    </row>
    <row r="21" spans="1:10" x14ac:dyDescent="0.2">
      <c r="A21" s="48" t="s">
        <v>149</v>
      </c>
      <c r="B21" s="61">
        <v>45581.5</v>
      </c>
      <c r="C21" s="50"/>
      <c r="D21" s="50"/>
      <c r="G21" s="55"/>
      <c r="H21" s="63"/>
      <c r="I21" s="57"/>
      <c r="J21" s="57"/>
    </row>
    <row r="22" spans="1:10" x14ac:dyDescent="0.2">
      <c r="A22" s="48" t="s">
        <v>153</v>
      </c>
      <c r="B22" s="61">
        <v>45580.583333333336</v>
      </c>
      <c r="C22" s="50" t="s">
        <v>737</v>
      </c>
      <c r="D22" s="50" t="s">
        <v>26</v>
      </c>
    </row>
    <row r="23" spans="1:10" x14ac:dyDescent="0.2">
      <c r="A23" s="48" t="s">
        <v>152</v>
      </c>
      <c r="B23" s="61">
        <v>45580.541666666664</v>
      </c>
      <c r="C23" s="50" t="s">
        <v>13</v>
      </c>
      <c r="D23" s="50"/>
    </row>
    <row r="24" spans="1:10" x14ac:dyDescent="0.2">
      <c r="A24" s="48" t="s">
        <v>743</v>
      </c>
      <c r="B24" s="61">
        <v>45580.458333333336</v>
      </c>
      <c r="C24" s="50" t="s">
        <v>13</v>
      </c>
      <c r="D24" s="50" t="s">
        <v>737</v>
      </c>
    </row>
    <row r="25" spans="1:10" x14ac:dyDescent="0.2">
      <c r="A25" s="48" t="s">
        <v>154</v>
      </c>
      <c r="B25" s="61">
        <v>45579.458333333336</v>
      </c>
      <c r="C25" s="50" t="s">
        <v>13</v>
      </c>
      <c r="D25" s="50" t="s">
        <v>739</v>
      </c>
    </row>
    <row r="26" spans="1:10" x14ac:dyDescent="0.2">
      <c r="A26" s="48" t="s">
        <v>155</v>
      </c>
      <c r="B26" s="61">
        <v>45579.458333333336</v>
      </c>
      <c r="C26" s="50" t="s">
        <v>737</v>
      </c>
      <c r="D26" s="50"/>
    </row>
    <row r="27" spans="1:10" x14ac:dyDescent="0.2">
      <c r="A27" s="48" t="s">
        <v>156</v>
      </c>
      <c r="B27" s="61">
        <v>45576.416666666664</v>
      </c>
      <c r="C27" s="50" t="s">
        <v>13</v>
      </c>
      <c r="D27" s="50"/>
    </row>
    <row r="28" spans="1:10" x14ac:dyDescent="0.2">
      <c r="A28" s="48" t="s">
        <v>158</v>
      </c>
      <c r="B28" s="61">
        <v>45575.604166666664</v>
      </c>
      <c r="C28" s="50" t="s">
        <v>13</v>
      </c>
      <c r="D28" s="50"/>
    </row>
    <row r="29" spans="1:10" x14ac:dyDescent="0.2">
      <c r="A29" s="48" t="s">
        <v>744</v>
      </c>
      <c r="B29" s="61">
        <v>45575.583333333336</v>
      </c>
      <c r="C29" s="50" t="s">
        <v>13</v>
      </c>
      <c r="D29" s="50"/>
    </row>
    <row r="30" spans="1:10" x14ac:dyDescent="0.2">
      <c r="A30" s="48" t="s">
        <v>159</v>
      </c>
      <c r="B30" s="61">
        <v>45575.583333333336</v>
      </c>
      <c r="C30" s="50" t="s">
        <v>737</v>
      </c>
      <c r="D30" s="50" t="s">
        <v>26</v>
      </c>
    </row>
    <row r="31" spans="1:10" x14ac:dyDescent="0.2">
      <c r="A31" s="48" t="s">
        <v>157</v>
      </c>
      <c r="B31" s="61">
        <v>45575.458333333336</v>
      </c>
      <c r="C31" s="50" t="s">
        <v>13</v>
      </c>
      <c r="D31" s="50"/>
    </row>
    <row r="32" spans="1:10" x14ac:dyDescent="0.2">
      <c r="A32" s="48" t="s">
        <v>160</v>
      </c>
      <c r="B32" s="61">
        <v>45574.458333333336</v>
      </c>
      <c r="C32" s="50"/>
      <c r="D32" s="50"/>
    </row>
    <row r="33" spans="1:6" x14ac:dyDescent="0.2">
      <c r="A33" s="48" t="s">
        <v>162</v>
      </c>
      <c r="B33" s="61">
        <v>45573.520833333336</v>
      </c>
      <c r="C33" s="50" t="s">
        <v>739</v>
      </c>
      <c r="D33" s="50" t="s">
        <v>13</v>
      </c>
    </row>
    <row r="34" spans="1:6" x14ac:dyDescent="0.2">
      <c r="A34" s="48" t="s">
        <v>161</v>
      </c>
      <c r="B34" s="61">
        <v>45573.458333333336</v>
      </c>
      <c r="C34" s="50" t="s">
        <v>13</v>
      </c>
      <c r="D34" s="50" t="s">
        <v>737</v>
      </c>
    </row>
    <row r="35" spans="1:6" x14ac:dyDescent="0.2">
      <c r="A35" s="48" t="s">
        <v>163</v>
      </c>
      <c r="B35" s="61">
        <v>45573.416666666664</v>
      </c>
      <c r="C35" s="50" t="s">
        <v>739</v>
      </c>
      <c r="D35" s="50"/>
    </row>
    <row r="36" spans="1:6" x14ac:dyDescent="0.2">
      <c r="A36" s="48" t="s">
        <v>213</v>
      </c>
      <c r="B36" s="61">
        <v>45572.583333333336</v>
      </c>
      <c r="C36" s="50" t="s">
        <v>737</v>
      </c>
      <c r="D36" s="50"/>
    </row>
    <row r="37" spans="1:6" x14ac:dyDescent="0.2">
      <c r="A37" s="48" t="s">
        <v>166</v>
      </c>
      <c r="B37" s="61">
        <v>45572.583333333336</v>
      </c>
      <c r="C37" s="50" t="s">
        <v>737</v>
      </c>
      <c r="D37" s="50"/>
    </row>
    <row r="38" spans="1:6" x14ac:dyDescent="0.2">
      <c r="A38" s="48" t="s">
        <v>165</v>
      </c>
      <c r="B38" s="61">
        <v>45572.458333333336</v>
      </c>
      <c r="C38" s="50" t="s">
        <v>13</v>
      </c>
      <c r="D38" s="50" t="s">
        <v>745</v>
      </c>
      <c r="F38" s="48"/>
    </row>
    <row r="39" spans="1:6" x14ac:dyDescent="0.2">
      <c r="A39" s="48" t="s">
        <v>164</v>
      </c>
      <c r="B39" s="61">
        <v>45572.416666666664</v>
      </c>
      <c r="C39" s="50" t="s">
        <v>13</v>
      </c>
      <c r="D39" s="50" t="s">
        <v>739</v>
      </c>
    </row>
    <row r="40" spans="1:6" x14ac:dyDescent="0.2">
      <c r="A40" s="48" t="s">
        <v>746</v>
      </c>
      <c r="B40" s="61">
        <v>45569.625</v>
      </c>
      <c r="C40" s="50"/>
      <c r="D40" s="50"/>
    </row>
    <row r="41" spans="1:6" x14ac:dyDescent="0.2">
      <c r="A41" s="48" t="s">
        <v>167</v>
      </c>
      <c r="B41" s="61">
        <v>45568.583333333336</v>
      </c>
      <c r="C41" s="50" t="s">
        <v>739</v>
      </c>
      <c r="D41" s="50"/>
    </row>
    <row r="42" spans="1:6" x14ac:dyDescent="0.2">
      <c r="A42" s="48" t="s">
        <v>169</v>
      </c>
      <c r="B42" s="61">
        <v>45567.541666666664</v>
      </c>
      <c r="C42" s="50" t="s">
        <v>13</v>
      </c>
      <c r="D42" s="50"/>
    </row>
    <row r="43" spans="1:6" x14ac:dyDescent="0.2">
      <c r="A43" s="48" t="s">
        <v>168</v>
      </c>
      <c r="B43" s="61">
        <v>45567.458333333336</v>
      </c>
      <c r="C43" s="50" t="s">
        <v>737</v>
      </c>
      <c r="D43" s="50" t="s">
        <v>13</v>
      </c>
    </row>
    <row r="44" spans="1:6" x14ac:dyDescent="0.2">
      <c r="A44" s="48" t="s">
        <v>171</v>
      </c>
      <c r="B44" s="61">
        <v>45566.583333333336</v>
      </c>
      <c r="C44" s="50" t="s">
        <v>739</v>
      </c>
      <c r="D44" s="50" t="s">
        <v>747</v>
      </c>
    </row>
    <row r="45" spans="1:6" x14ac:dyDescent="0.2">
      <c r="A45" s="48" t="s">
        <v>170</v>
      </c>
      <c r="B45" s="61">
        <v>45566.458333333336</v>
      </c>
      <c r="C45" s="50" t="s">
        <v>748</v>
      </c>
      <c r="D45" s="50" t="s">
        <v>749</v>
      </c>
    </row>
    <row r="46" spans="1:6" x14ac:dyDescent="0.2">
      <c r="A46" s="48" t="s">
        <v>750</v>
      </c>
      <c r="B46" s="61">
        <v>45561.583333333336</v>
      </c>
      <c r="C46" s="50" t="s">
        <v>13</v>
      </c>
      <c r="D46" s="50"/>
    </row>
    <row r="47" spans="1:6" x14ac:dyDescent="0.2">
      <c r="A47" s="48" t="s">
        <v>172</v>
      </c>
      <c r="B47" s="61">
        <v>45561.541666666664</v>
      </c>
      <c r="C47" s="50" t="s">
        <v>737</v>
      </c>
      <c r="D47" s="50" t="s">
        <v>751</v>
      </c>
    </row>
    <row r="48" spans="1:6" x14ac:dyDescent="0.2">
      <c r="A48" s="48" t="s">
        <v>752</v>
      </c>
      <c r="B48" s="61">
        <v>45561.333333333336</v>
      </c>
      <c r="C48" s="50" t="s">
        <v>13</v>
      </c>
      <c r="D48" s="50" t="s">
        <v>737</v>
      </c>
    </row>
    <row r="49" spans="1:4" x14ac:dyDescent="0.2">
      <c r="A49" s="48" t="s">
        <v>173</v>
      </c>
      <c r="B49" s="61">
        <v>45554.541666666664</v>
      </c>
      <c r="C49" s="50" t="s">
        <v>737</v>
      </c>
      <c r="D49" s="50" t="s">
        <v>753</v>
      </c>
    </row>
    <row r="50" spans="1:4" x14ac:dyDescent="0.2">
      <c r="A50" s="48" t="s">
        <v>174</v>
      </c>
      <c r="B50" s="61">
        <v>45553.416666666664</v>
      </c>
      <c r="C50" s="50" t="s">
        <v>13</v>
      </c>
      <c r="D50" s="50"/>
    </row>
    <row r="51" spans="1:4" x14ac:dyDescent="0.2">
      <c r="A51" s="48" t="s">
        <v>175</v>
      </c>
      <c r="B51" s="61">
        <v>45552.458333333336</v>
      </c>
      <c r="C51" s="50" t="s">
        <v>737</v>
      </c>
      <c r="D51" s="50"/>
    </row>
    <row r="52" spans="1:4" x14ac:dyDescent="0.2">
      <c r="A52" s="48" t="s">
        <v>177</v>
      </c>
      <c r="B52" s="61">
        <v>45545.583333333336</v>
      </c>
      <c r="C52" s="50" t="s">
        <v>13</v>
      </c>
      <c r="D52" s="50"/>
    </row>
    <row r="53" spans="1:4" x14ac:dyDescent="0.2">
      <c r="A53" s="48" t="s">
        <v>176</v>
      </c>
      <c r="B53" s="61">
        <v>45545.458333333336</v>
      </c>
      <c r="C53" s="50" t="s">
        <v>739</v>
      </c>
      <c r="D53" s="50"/>
    </row>
    <row r="54" spans="1:4" x14ac:dyDescent="0.2">
      <c r="A54" s="48" t="s">
        <v>178</v>
      </c>
      <c r="B54" s="61">
        <v>45540.583333333336</v>
      </c>
      <c r="C54" s="50" t="s">
        <v>13</v>
      </c>
      <c r="D54" s="50" t="s">
        <v>739</v>
      </c>
    </row>
    <row r="55" spans="1:4" x14ac:dyDescent="0.2">
      <c r="A55" s="48" t="s">
        <v>179</v>
      </c>
      <c r="B55" s="61">
        <v>45527.416666666664</v>
      </c>
      <c r="C55" s="50" t="s">
        <v>737</v>
      </c>
      <c r="D55" s="50" t="s">
        <v>26</v>
      </c>
    </row>
    <row r="56" spans="1:4" x14ac:dyDescent="0.2">
      <c r="A56" s="48" t="s">
        <v>754</v>
      </c>
      <c r="B56" s="61">
        <v>45526.541666666664</v>
      </c>
      <c r="C56" s="50" t="s">
        <v>739</v>
      </c>
      <c r="D56" s="50"/>
    </row>
    <row r="57" spans="1:4" x14ac:dyDescent="0.2">
      <c r="A57" s="48" t="s">
        <v>180</v>
      </c>
      <c r="B57" s="61">
        <v>45518.604166666664</v>
      </c>
      <c r="C57" s="50" t="s">
        <v>737</v>
      </c>
      <c r="D57" s="50" t="s">
        <v>26</v>
      </c>
    </row>
    <row r="58" spans="1:4" x14ac:dyDescent="0.2">
      <c r="A58" s="48" t="s">
        <v>755</v>
      </c>
      <c r="B58" s="61">
        <v>45511.583333333336</v>
      </c>
      <c r="C58" s="50" t="s">
        <v>13</v>
      </c>
      <c r="D58" s="50"/>
    </row>
    <row r="59" spans="1:4" x14ac:dyDescent="0.2">
      <c r="A59" s="48" t="s">
        <v>181</v>
      </c>
      <c r="B59" s="61">
        <v>45511.458333333336</v>
      </c>
      <c r="C59" s="50" t="s">
        <v>13</v>
      </c>
      <c r="D59" s="50"/>
    </row>
    <row r="60" spans="1:4" x14ac:dyDescent="0.2">
      <c r="A60" s="48" t="s">
        <v>756</v>
      </c>
      <c r="B60" s="61">
        <v>45510.402777777781</v>
      </c>
      <c r="C60" s="50" t="s">
        <v>737</v>
      </c>
      <c r="D60" s="50" t="s">
        <v>26</v>
      </c>
    </row>
    <row r="61" spans="1:4" x14ac:dyDescent="0.2">
      <c r="A61" s="48" t="s">
        <v>182</v>
      </c>
      <c r="B61" s="61">
        <v>45506.583333333336</v>
      </c>
      <c r="C61" s="50" t="s">
        <v>13</v>
      </c>
      <c r="D61" s="50" t="s">
        <v>739</v>
      </c>
    </row>
    <row r="62" spans="1:4" x14ac:dyDescent="0.2">
      <c r="A62" s="48" t="s">
        <v>183</v>
      </c>
      <c r="B62" s="61">
        <v>45505.416666666664</v>
      </c>
      <c r="C62" s="50" t="s">
        <v>13</v>
      </c>
      <c r="D62" s="50"/>
    </row>
    <row r="63" spans="1:4" x14ac:dyDescent="0.2">
      <c r="A63" s="48" t="s">
        <v>184</v>
      </c>
      <c r="B63" s="61">
        <v>45503.458333333336</v>
      </c>
      <c r="C63" s="50" t="s">
        <v>739</v>
      </c>
      <c r="D63" s="50"/>
    </row>
    <row r="64" spans="1:4" x14ac:dyDescent="0.2">
      <c r="A64" s="48" t="s">
        <v>185</v>
      </c>
      <c r="B64" s="61">
        <v>45499.416666666664</v>
      </c>
      <c r="C64" s="50" t="s">
        <v>13</v>
      </c>
      <c r="D64" s="50"/>
    </row>
    <row r="65" spans="1:4" x14ac:dyDescent="0.2">
      <c r="A65" s="48" t="s">
        <v>190</v>
      </c>
      <c r="B65" s="61">
        <v>45498.583333333336</v>
      </c>
      <c r="C65" s="50" t="s">
        <v>739</v>
      </c>
      <c r="D65" s="50"/>
    </row>
    <row r="66" spans="1:4" x14ac:dyDescent="0.2">
      <c r="A66" s="48" t="s">
        <v>189</v>
      </c>
      <c r="B66" s="61">
        <v>45498.5625</v>
      </c>
      <c r="C66" s="50" t="s">
        <v>13</v>
      </c>
      <c r="D66" s="50"/>
    </row>
    <row r="67" spans="1:4" x14ac:dyDescent="0.2">
      <c r="A67" s="48" t="s">
        <v>186</v>
      </c>
      <c r="B67" s="61">
        <v>45498.5</v>
      </c>
      <c r="C67" s="50" t="s">
        <v>13</v>
      </c>
      <c r="D67" s="50"/>
    </row>
    <row r="68" spans="1:4" x14ac:dyDescent="0.2">
      <c r="A68" s="48" t="s">
        <v>188</v>
      </c>
      <c r="B68" s="61">
        <v>45498.416666666664</v>
      </c>
      <c r="C68" s="50" t="s">
        <v>737</v>
      </c>
      <c r="D68" s="50"/>
    </row>
    <row r="69" spans="1:4" x14ac:dyDescent="0.2">
      <c r="A69" s="48" t="s">
        <v>187</v>
      </c>
      <c r="B69" s="61">
        <v>45497.583333333336</v>
      </c>
      <c r="C69" s="50" t="s">
        <v>737</v>
      </c>
      <c r="D69" s="50" t="s">
        <v>26</v>
      </c>
    </row>
    <row r="70" spans="1:4" x14ac:dyDescent="0.2">
      <c r="A70" s="48" t="s">
        <v>191</v>
      </c>
      <c r="B70" s="61">
        <v>45497.416666666664</v>
      </c>
      <c r="C70" s="50" t="s">
        <v>742</v>
      </c>
      <c r="D70" s="50" t="s">
        <v>13</v>
      </c>
    </row>
    <row r="71" spans="1:4" x14ac:dyDescent="0.2">
      <c r="A71" s="48" t="s">
        <v>193</v>
      </c>
      <c r="B71" s="61">
        <v>45496.5</v>
      </c>
      <c r="C71" s="50" t="s">
        <v>739</v>
      </c>
      <c r="D71" s="50"/>
    </row>
    <row r="72" spans="1:4" x14ac:dyDescent="0.2">
      <c r="A72" s="48" t="s">
        <v>194</v>
      </c>
      <c r="B72" s="61">
        <v>45496.458333333336</v>
      </c>
      <c r="C72" s="50"/>
      <c r="D72" s="50"/>
    </row>
    <row r="73" spans="1:4" x14ac:dyDescent="0.2">
      <c r="A73" s="48" t="s">
        <v>192</v>
      </c>
      <c r="B73" s="61">
        <v>45496.4375</v>
      </c>
      <c r="C73" s="50" t="s">
        <v>737</v>
      </c>
      <c r="D73" s="50" t="s">
        <v>753</v>
      </c>
    </row>
    <row r="74" spans="1:4" x14ac:dyDescent="0.2">
      <c r="A74" s="48" t="s">
        <v>197</v>
      </c>
      <c r="B74" s="61">
        <v>45495.5</v>
      </c>
      <c r="C74" s="50"/>
      <c r="D74" s="50"/>
    </row>
    <row r="75" spans="1:4" x14ac:dyDescent="0.2">
      <c r="A75" s="48" t="s">
        <v>196</v>
      </c>
      <c r="B75" s="61">
        <v>45495.458333333336</v>
      </c>
      <c r="C75" s="50" t="s">
        <v>737</v>
      </c>
      <c r="D75" s="50"/>
    </row>
    <row r="76" spans="1:4" x14ac:dyDescent="0.2">
      <c r="A76" s="48" t="s">
        <v>195</v>
      </c>
      <c r="B76" s="61">
        <v>45495.416666666664</v>
      </c>
      <c r="C76" s="50" t="s">
        <v>13</v>
      </c>
      <c r="D76" s="50" t="s">
        <v>739</v>
      </c>
    </row>
    <row r="77" spans="1:4" x14ac:dyDescent="0.2">
      <c r="A77" s="48" t="s">
        <v>198</v>
      </c>
      <c r="B77" s="61">
        <v>45492.458333333336</v>
      </c>
      <c r="C77" s="50" t="s">
        <v>13</v>
      </c>
      <c r="D77" s="50" t="s">
        <v>737</v>
      </c>
    </row>
    <row r="78" spans="1:4" x14ac:dyDescent="0.2">
      <c r="A78" s="48" t="s">
        <v>199</v>
      </c>
      <c r="B78" s="61">
        <v>45492.416666666664</v>
      </c>
      <c r="C78" s="50" t="s">
        <v>13</v>
      </c>
      <c r="D78" s="50"/>
    </row>
    <row r="79" spans="1:4" x14ac:dyDescent="0.2">
      <c r="A79" s="48" t="s">
        <v>201</v>
      </c>
      <c r="B79" s="61">
        <v>45491.541666666664</v>
      </c>
      <c r="C79" s="50" t="s">
        <v>13</v>
      </c>
      <c r="D79" s="50"/>
    </row>
    <row r="80" spans="1:4" x14ac:dyDescent="0.2">
      <c r="A80" s="48" t="s">
        <v>200</v>
      </c>
      <c r="B80" s="61">
        <v>45491.458333333336</v>
      </c>
      <c r="C80" s="50" t="s">
        <v>13</v>
      </c>
      <c r="D80" s="50"/>
    </row>
    <row r="81" spans="1:4" x14ac:dyDescent="0.2">
      <c r="A81" s="48" t="s">
        <v>203</v>
      </c>
      <c r="B81" s="61">
        <v>45490.583333333336</v>
      </c>
      <c r="C81" s="50" t="s">
        <v>737</v>
      </c>
      <c r="D81" s="50" t="s">
        <v>26</v>
      </c>
    </row>
    <row r="82" spans="1:4" x14ac:dyDescent="0.2">
      <c r="A82" s="48" t="s">
        <v>204</v>
      </c>
      <c r="B82" s="61">
        <v>45490.583333333336</v>
      </c>
      <c r="C82" s="50" t="s">
        <v>13</v>
      </c>
      <c r="D82" s="50"/>
    </row>
    <row r="83" spans="1:4" x14ac:dyDescent="0.2">
      <c r="A83" s="48" t="s">
        <v>757</v>
      </c>
      <c r="B83" s="61">
        <v>45490.5</v>
      </c>
      <c r="C83" s="50" t="s">
        <v>13</v>
      </c>
      <c r="D83" s="50"/>
    </row>
    <row r="84" spans="1:4" x14ac:dyDescent="0.2">
      <c r="A84" s="48" t="s">
        <v>202</v>
      </c>
      <c r="B84" s="61">
        <v>45490.416666666664</v>
      </c>
      <c r="C84" s="50" t="s">
        <v>13</v>
      </c>
      <c r="D84" s="50" t="s">
        <v>739</v>
      </c>
    </row>
    <row r="85" spans="1:4" x14ac:dyDescent="0.2">
      <c r="A85" s="48" t="s">
        <v>206</v>
      </c>
      <c r="B85" s="61">
        <v>45489.583333333336</v>
      </c>
      <c r="C85" s="50" t="s">
        <v>737</v>
      </c>
      <c r="D85" s="50"/>
    </row>
    <row r="86" spans="1:4" x14ac:dyDescent="0.2">
      <c r="A86" s="48" t="s">
        <v>205</v>
      </c>
      <c r="B86" s="61">
        <v>45489.541666666664</v>
      </c>
      <c r="C86" s="50" t="s">
        <v>748</v>
      </c>
      <c r="D86" s="50" t="s">
        <v>749</v>
      </c>
    </row>
    <row r="87" spans="1:4" x14ac:dyDescent="0.2">
      <c r="A87" s="48" t="s">
        <v>209</v>
      </c>
      <c r="B87" s="61">
        <v>45488.583333333336</v>
      </c>
      <c r="C87" s="50" t="s">
        <v>737</v>
      </c>
      <c r="D87" s="50"/>
    </row>
    <row r="88" spans="1:4" x14ac:dyDescent="0.2">
      <c r="A88" s="48" t="s">
        <v>208</v>
      </c>
      <c r="B88" s="61">
        <v>45488.541666666664</v>
      </c>
      <c r="C88" s="50" t="s">
        <v>758</v>
      </c>
      <c r="D88" s="50"/>
    </row>
    <row r="89" spans="1:4" x14ac:dyDescent="0.2">
      <c r="A89" s="48" t="s">
        <v>207</v>
      </c>
      <c r="B89" s="61">
        <v>45488.4375</v>
      </c>
      <c r="C89" s="50" t="s">
        <v>13</v>
      </c>
      <c r="D89" s="50"/>
    </row>
    <row r="90" spans="1:4" x14ac:dyDescent="0.2">
      <c r="A90" s="48" t="s">
        <v>210</v>
      </c>
      <c r="B90" s="61">
        <v>45485.458333333336</v>
      </c>
      <c r="C90" s="50" t="s">
        <v>739</v>
      </c>
      <c r="D90" s="50"/>
    </row>
    <row r="91" spans="1:4" x14ac:dyDescent="0.2">
      <c r="A91" s="48" t="s">
        <v>211</v>
      </c>
      <c r="B91" s="61">
        <v>45485.416666666664</v>
      </c>
      <c r="C91" s="50" t="s">
        <v>739</v>
      </c>
      <c r="D91" s="50"/>
    </row>
    <row r="92" spans="1:4" x14ac:dyDescent="0.2">
      <c r="A92" s="48" t="s">
        <v>107</v>
      </c>
      <c r="B92" s="61">
        <v>45484.458333333336</v>
      </c>
      <c r="C92" s="50" t="s">
        <v>737</v>
      </c>
      <c r="D92" s="50"/>
    </row>
    <row r="93" spans="1:4" x14ac:dyDescent="0.2">
      <c r="A93" s="48" t="s">
        <v>212</v>
      </c>
      <c r="B93" s="61">
        <v>45483.541666666664</v>
      </c>
      <c r="C93" s="50" t="s">
        <v>739</v>
      </c>
      <c r="D93" s="50"/>
    </row>
    <row r="94" spans="1:4" x14ac:dyDescent="0.2">
      <c r="A94" s="48" t="s">
        <v>214</v>
      </c>
      <c r="B94" s="61">
        <v>45482.458333333336</v>
      </c>
      <c r="C94" s="50" t="s">
        <v>13</v>
      </c>
      <c r="D94" s="50" t="s">
        <v>745</v>
      </c>
    </row>
    <row r="95" spans="1:4" x14ac:dyDescent="0.2">
      <c r="A95" s="48" t="s">
        <v>759</v>
      </c>
      <c r="B95" s="61">
        <v>45476.416666666664</v>
      </c>
      <c r="C95" s="50" t="s">
        <v>739</v>
      </c>
      <c r="D95" s="50"/>
    </row>
    <row r="96" spans="1:4" x14ac:dyDescent="0.2">
      <c r="A96" s="48" t="s">
        <v>216</v>
      </c>
      <c r="B96" s="61">
        <v>45475.541666666664</v>
      </c>
      <c r="C96" s="50" t="s">
        <v>13</v>
      </c>
      <c r="D96" s="50"/>
    </row>
    <row r="97" spans="1:4" x14ac:dyDescent="0.2">
      <c r="A97" s="48" t="s">
        <v>215</v>
      </c>
      <c r="B97" s="61">
        <v>45475.458333333336</v>
      </c>
      <c r="C97" s="50" t="s">
        <v>737</v>
      </c>
      <c r="D97" s="50" t="s">
        <v>13</v>
      </c>
    </row>
    <row r="98" spans="1:4" x14ac:dyDescent="0.2">
      <c r="A98" s="48" t="s">
        <v>217</v>
      </c>
      <c r="B98" s="61">
        <v>45475.416666666664</v>
      </c>
      <c r="C98" s="50" t="s">
        <v>13</v>
      </c>
      <c r="D98" s="50" t="s">
        <v>739</v>
      </c>
    </row>
    <row r="99" spans="1:4" x14ac:dyDescent="0.2">
      <c r="A99" s="48" t="s">
        <v>218</v>
      </c>
      <c r="B99" s="61">
        <v>45474.625</v>
      </c>
      <c r="C99" s="50" t="s">
        <v>737</v>
      </c>
      <c r="D99" s="50" t="s">
        <v>13</v>
      </c>
    </row>
    <row r="100" spans="1:4" x14ac:dyDescent="0.2">
      <c r="A100" s="48" t="s">
        <v>219</v>
      </c>
      <c r="B100" s="61">
        <v>45471.458333333336</v>
      </c>
      <c r="C100" s="50" t="s">
        <v>13</v>
      </c>
      <c r="D100" s="50"/>
    </row>
    <row r="101" spans="1:4" x14ac:dyDescent="0.2">
      <c r="A101" s="48" t="s">
        <v>220</v>
      </c>
      <c r="B101" s="61">
        <v>45470.458333333336</v>
      </c>
      <c r="C101" s="50" t="s">
        <v>737</v>
      </c>
      <c r="D101" s="50"/>
    </row>
    <row r="102" spans="1:4" x14ac:dyDescent="0.2">
      <c r="A102" s="48" t="s">
        <v>221</v>
      </c>
      <c r="B102" s="61">
        <v>45467.583333333336</v>
      </c>
      <c r="C102" s="50" t="s">
        <v>737</v>
      </c>
      <c r="D102" s="50"/>
    </row>
    <row r="103" spans="1:4" x14ac:dyDescent="0.2">
      <c r="A103" s="48" t="s">
        <v>222</v>
      </c>
      <c r="B103" s="61">
        <v>45467.458333333336</v>
      </c>
      <c r="C103" s="50" t="s">
        <v>737</v>
      </c>
      <c r="D103" s="50" t="s">
        <v>13</v>
      </c>
    </row>
    <row r="104" spans="1:4" x14ac:dyDescent="0.2">
      <c r="A104" s="48" t="s">
        <v>223</v>
      </c>
      <c r="B104" s="61">
        <v>45463.541666666664</v>
      </c>
      <c r="C104" s="50" t="s">
        <v>13</v>
      </c>
      <c r="D104" s="50"/>
    </row>
    <row r="105" spans="1:4" x14ac:dyDescent="0.2">
      <c r="A105" s="48" t="s">
        <v>760</v>
      </c>
      <c r="B105" s="61">
        <v>45462.541666666664</v>
      </c>
      <c r="C105" s="50" t="s">
        <v>13</v>
      </c>
      <c r="D105" s="50"/>
    </row>
    <row r="106" spans="1:4" x14ac:dyDescent="0.2">
      <c r="A106" s="48" t="s">
        <v>224</v>
      </c>
      <c r="B106" s="61">
        <v>45454.458333333336</v>
      </c>
      <c r="C106" s="50" t="s">
        <v>739</v>
      </c>
      <c r="D106" s="50"/>
    </row>
    <row r="107" spans="1:4" x14ac:dyDescent="0.2">
      <c r="A107" s="48" t="s">
        <v>761</v>
      </c>
      <c r="B107" s="61">
        <v>45442.541666666664</v>
      </c>
      <c r="C107" s="50" t="s">
        <v>737</v>
      </c>
      <c r="D107" s="50"/>
    </row>
    <row r="108" spans="1:4" x14ac:dyDescent="0.2">
      <c r="A108" s="48" t="s">
        <v>225</v>
      </c>
      <c r="B108" s="61">
        <v>45441.416666666664</v>
      </c>
      <c r="C108" s="50" t="s">
        <v>13</v>
      </c>
      <c r="D108" s="50"/>
    </row>
    <row r="109" spans="1:4" x14ac:dyDescent="0.2">
      <c r="A109" s="48" t="s">
        <v>226</v>
      </c>
      <c r="B109" s="61">
        <v>45440.5</v>
      </c>
      <c r="C109" s="50" t="s">
        <v>739</v>
      </c>
      <c r="D109" s="50"/>
    </row>
    <row r="110" spans="1:4" x14ac:dyDescent="0.2">
      <c r="A110" s="48" t="s">
        <v>762</v>
      </c>
      <c r="B110" s="61">
        <v>45435.625</v>
      </c>
      <c r="C110" s="50" t="s">
        <v>13</v>
      </c>
      <c r="D110" s="50"/>
    </row>
    <row r="111" spans="1:4" x14ac:dyDescent="0.2">
      <c r="A111" s="48" t="s">
        <v>228</v>
      </c>
      <c r="B111" s="61">
        <v>45434.583333333336</v>
      </c>
      <c r="C111" s="50" t="s">
        <v>13</v>
      </c>
      <c r="D111" s="50" t="s">
        <v>739</v>
      </c>
    </row>
    <row r="112" spans="1:4" x14ac:dyDescent="0.2">
      <c r="A112" s="48" t="s">
        <v>227</v>
      </c>
      <c r="B112" s="61">
        <v>45434.458333333336</v>
      </c>
      <c r="C112" s="50" t="s">
        <v>737</v>
      </c>
      <c r="D112" s="50"/>
    </row>
    <row r="113" spans="1:4" x14ac:dyDescent="0.2">
      <c r="A113" s="48" t="s">
        <v>229</v>
      </c>
      <c r="B113" s="61">
        <v>45429.416666666664</v>
      </c>
      <c r="C113" s="50" t="s">
        <v>737</v>
      </c>
      <c r="D113" s="50"/>
    </row>
    <row r="114" spans="1:4" x14ac:dyDescent="0.2">
      <c r="A114" s="48" t="s">
        <v>230</v>
      </c>
      <c r="B114" s="61">
        <v>45428.458333333336</v>
      </c>
      <c r="C114" s="50" t="s">
        <v>737</v>
      </c>
      <c r="D114" s="50" t="s">
        <v>13</v>
      </c>
    </row>
    <row r="115" spans="1:4" x14ac:dyDescent="0.2">
      <c r="A115" s="48" t="s">
        <v>231</v>
      </c>
      <c r="B115" s="61">
        <v>45421.583333333336</v>
      </c>
      <c r="C115" s="50" t="s">
        <v>13</v>
      </c>
      <c r="D115" s="50"/>
    </row>
    <row r="116" spans="1:4" x14ac:dyDescent="0.2">
      <c r="A116" s="48" t="s">
        <v>232</v>
      </c>
      <c r="B116" s="61">
        <v>45414.458333333336</v>
      </c>
      <c r="C116" s="50" t="s">
        <v>13</v>
      </c>
      <c r="D116" s="50" t="s">
        <v>737</v>
      </c>
    </row>
    <row r="117" spans="1:4" x14ac:dyDescent="0.2">
      <c r="A117" s="48" t="s">
        <v>763</v>
      </c>
      <c r="B117" s="61">
        <v>45413.375</v>
      </c>
      <c r="C117" s="50" t="s">
        <v>737</v>
      </c>
      <c r="D117" s="50" t="s">
        <v>13</v>
      </c>
    </row>
    <row r="118" spans="1:4" x14ac:dyDescent="0.2">
      <c r="A118" s="48" t="s">
        <v>233</v>
      </c>
      <c r="B118" s="61">
        <v>45412.583333333336</v>
      </c>
      <c r="C118" s="50" t="s">
        <v>737</v>
      </c>
      <c r="D118" s="50"/>
    </row>
    <row r="119" spans="1:4" x14ac:dyDescent="0.2">
      <c r="A119" s="48" t="s">
        <v>235</v>
      </c>
      <c r="B119" s="61">
        <v>45412.458333333336</v>
      </c>
      <c r="C119" s="50" t="s">
        <v>737</v>
      </c>
      <c r="D119" s="50" t="s">
        <v>13</v>
      </c>
    </row>
    <row r="120" spans="1:4" x14ac:dyDescent="0.2">
      <c r="A120" s="48" t="s">
        <v>234</v>
      </c>
      <c r="B120" s="61">
        <v>45412.416666666664</v>
      </c>
      <c r="C120" s="50" t="s">
        <v>13</v>
      </c>
      <c r="D120" s="50"/>
    </row>
    <row r="121" spans="1:4" x14ac:dyDescent="0.2">
      <c r="A121" s="48" t="s">
        <v>764</v>
      </c>
      <c r="B121" s="61">
        <v>45411.625</v>
      </c>
      <c r="C121" s="50" t="s">
        <v>13</v>
      </c>
      <c r="D121" s="50"/>
    </row>
    <row r="122" spans="1:4" x14ac:dyDescent="0.2">
      <c r="A122" s="48" t="s">
        <v>236</v>
      </c>
      <c r="B122" s="61">
        <v>45411.583333333336</v>
      </c>
      <c r="C122" s="50" t="s">
        <v>13</v>
      </c>
      <c r="D122" s="50"/>
    </row>
    <row r="123" spans="1:4" x14ac:dyDescent="0.2">
      <c r="A123" s="48" t="s">
        <v>237</v>
      </c>
      <c r="B123" s="61">
        <v>45408.416666666664</v>
      </c>
      <c r="C123" s="50" t="s">
        <v>13</v>
      </c>
      <c r="D123" s="50"/>
    </row>
    <row r="124" spans="1:4" x14ac:dyDescent="0.2">
      <c r="A124" s="48" t="s">
        <v>238</v>
      </c>
      <c r="B124" s="61">
        <v>45407.583333333336</v>
      </c>
      <c r="C124" s="50" t="s">
        <v>737</v>
      </c>
      <c r="D124" s="50"/>
    </row>
    <row r="125" spans="1:4" x14ac:dyDescent="0.2">
      <c r="A125" s="48" t="s">
        <v>239</v>
      </c>
      <c r="B125" s="61">
        <v>45407.416666666664</v>
      </c>
      <c r="C125" s="50" t="s">
        <v>13</v>
      </c>
      <c r="D125" s="50"/>
    </row>
    <row r="126" spans="1:4" x14ac:dyDescent="0.2">
      <c r="A126" s="48" t="s">
        <v>240</v>
      </c>
      <c r="B126" s="61">
        <v>45405.458333333336</v>
      </c>
      <c r="C126" s="50" t="s">
        <v>739</v>
      </c>
      <c r="D126" s="50" t="s">
        <v>13</v>
      </c>
    </row>
    <row r="127" spans="1:4" x14ac:dyDescent="0.2">
      <c r="A127" s="48" t="s">
        <v>765</v>
      </c>
      <c r="B127" s="61">
        <v>45404.541666666664</v>
      </c>
      <c r="C127" s="50" t="s">
        <v>737</v>
      </c>
      <c r="D127" s="50"/>
    </row>
    <row r="128" spans="1:4" x14ac:dyDescent="0.2">
      <c r="A128" s="48" t="s">
        <v>241</v>
      </c>
      <c r="B128" s="61">
        <v>45404.458333333336</v>
      </c>
      <c r="C128" s="50" t="s">
        <v>737</v>
      </c>
      <c r="D128" s="50"/>
    </row>
    <row r="129" spans="1:4" x14ac:dyDescent="0.2">
      <c r="A129" s="48" t="s">
        <v>242</v>
      </c>
      <c r="B129" s="61">
        <v>45401.416666666664</v>
      </c>
      <c r="C129" s="50" t="s">
        <v>13</v>
      </c>
      <c r="D129" s="50"/>
    </row>
    <row r="130" spans="1:4" x14ac:dyDescent="0.2">
      <c r="A130" s="48" t="s">
        <v>243</v>
      </c>
      <c r="B130" s="61">
        <v>45400.583333333336</v>
      </c>
      <c r="C130" s="50" t="s">
        <v>13</v>
      </c>
      <c r="D130" s="50"/>
    </row>
    <row r="131" spans="1:4" x14ac:dyDescent="0.2">
      <c r="A131" s="48" t="s">
        <v>244</v>
      </c>
      <c r="B131" s="61">
        <v>45400.458333333336</v>
      </c>
      <c r="C131" s="50" t="s">
        <v>13</v>
      </c>
      <c r="D131" s="50"/>
    </row>
    <row r="132" spans="1:4" x14ac:dyDescent="0.2">
      <c r="A132" s="48" t="s">
        <v>246</v>
      </c>
      <c r="B132" s="61">
        <v>45399.5625</v>
      </c>
      <c r="C132" s="50" t="s">
        <v>737</v>
      </c>
      <c r="D132" s="50"/>
    </row>
    <row r="133" spans="1:4" x14ac:dyDescent="0.2">
      <c r="A133" s="48" t="s">
        <v>766</v>
      </c>
      <c r="B133" s="61">
        <v>45399.479166666664</v>
      </c>
      <c r="C133" s="50" t="s">
        <v>13</v>
      </c>
      <c r="D133" s="50"/>
    </row>
    <row r="134" spans="1:4" x14ac:dyDescent="0.2">
      <c r="A134" s="48" t="s">
        <v>245</v>
      </c>
      <c r="B134" s="61">
        <v>45399.416666666664</v>
      </c>
      <c r="C134" s="50" t="s">
        <v>13</v>
      </c>
      <c r="D134" s="50"/>
    </row>
    <row r="135" spans="1:4" x14ac:dyDescent="0.2">
      <c r="A135" s="48" t="s">
        <v>767</v>
      </c>
      <c r="B135" s="61">
        <v>45398.625</v>
      </c>
      <c r="C135" s="50" t="s">
        <v>13</v>
      </c>
      <c r="D135" s="50"/>
    </row>
    <row r="136" spans="1:4" x14ac:dyDescent="0.2">
      <c r="A136" s="48" t="s">
        <v>247</v>
      </c>
      <c r="B136" s="61">
        <v>45398.541666666664</v>
      </c>
      <c r="C136" s="50" t="s">
        <v>737</v>
      </c>
      <c r="D136" s="50"/>
    </row>
    <row r="137" spans="1:4" x14ac:dyDescent="0.2">
      <c r="A137" s="48" t="s">
        <v>768</v>
      </c>
      <c r="B137" s="61">
        <v>45397.625</v>
      </c>
      <c r="C137" s="50"/>
      <c r="D137" s="50"/>
    </row>
    <row r="138" spans="1:4" x14ac:dyDescent="0.2">
      <c r="A138" s="48" t="s">
        <v>248</v>
      </c>
      <c r="B138" s="61">
        <v>45397.583333333336</v>
      </c>
      <c r="C138" s="50" t="s">
        <v>13</v>
      </c>
      <c r="D138" s="50"/>
    </row>
    <row r="139" spans="1:4" x14ac:dyDescent="0.2">
      <c r="A139" s="48" t="s">
        <v>769</v>
      </c>
      <c r="B139" s="61">
        <v>45394.541666666664</v>
      </c>
      <c r="C139" s="50" t="s">
        <v>13</v>
      </c>
      <c r="D139" s="50"/>
    </row>
    <row r="140" spans="1:4" x14ac:dyDescent="0.2">
      <c r="A140" s="48" t="s">
        <v>249</v>
      </c>
      <c r="B140" s="61">
        <v>45394.541666666664</v>
      </c>
      <c r="C140" s="50" t="s">
        <v>13</v>
      </c>
      <c r="D140" s="50"/>
    </row>
    <row r="141" spans="1:4" x14ac:dyDescent="0.2">
      <c r="A141" s="48" t="s">
        <v>250</v>
      </c>
      <c r="B141" s="61">
        <v>45392.5625</v>
      </c>
      <c r="C141" s="50" t="s">
        <v>737</v>
      </c>
      <c r="D141" s="50"/>
    </row>
    <row r="142" spans="1:4" x14ac:dyDescent="0.2">
      <c r="A142" s="48" t="s">
        <v>251</v>
      </c>
      <c r="B142" s="61">
        <v>45390.458333333336</v>
      </c>
      <c r="C142" s="50" t="s">
        <v>737</v>
      </c>
      <c r="D142" s="50"/>
    </row>
    <row r="143" spans="1:4" x14ac:dyDescent="0.2">
      <c r="A143" s="48" t="s">
        <v>252</v>
      </c>
      <c r="B143" s="61">
        <v>45385.583333333336</v>
      </c>
      <c r="C143" s="50" t="s">
        <v>739</v>
      </c>
      <c r="D143" s="50" t="s">
        <v>745</v>
      </c>
    </row>
    <row r="144" spans="1:4" x14ac:dyDescent="0.2">
      <c r="A144" s="48" t="s">
        <v>254</v>
      </c>
      <c r="B144" s="61">
        <v>45384.583333333336</v>
      </c>
      <c r="C144" s="50" t="s">
        <v>13</v>
      </c>
      <c r="D144" s="50"/>
    </row>
    <row r="145" spans="1:4" x14ac:dyDescent="0.2">
      <c r="A145" s="48" t="s">
        <v>253</v>
      </c>
      <c r="B145" s="61">
        <v>45384.458333333336</v>
      </c>
      <c r="C145" s="50" t="s">
        <v>737</v>
      </c>
      <c r="D145" s="50" t="s">
        <v>13</v>
      </c>
    </row>
    <row r="146" spans="1:4" x14ac:dyDescent="0.2">
      <c r="A146" s="48" t="s">
        <v>770</v>
      </c>
      <c r="B146" s="61">
        <v>45379.541666666664</v>
      </c>
      <c r="C146" s="50" t="s">
        <v>13</v>
      </c>
      <c r="D146" s="50"/>
    </row>
    <row r="147" spans="1:4" x14ac:dyDescent="0.2">
      <c r="A147" s="48" t="s">
        <v>256</v>
      </c>
      <c r="B147" s="61">
        <v>45377.458333333336</v>
      </c>
      <c r="C147" s="50" t="s">
        <v>13</v>
      </c>
      <c r="D147" s="50"/>
    </row>
    <row r="148" spans="1:4" x14ac:dyDescent="0.2">
      <c r="A148" s="48" t="s">
        <v>255</v>
      </c>
      <c r="B148" s="61">
        <v>45377.416666666664</v>
      </c>
      <c r="C148" s="50" t="s">
        <v>758</v>
      </c>
      <c r="D148" s="50"/>
    </row>
    <row r="149" spans="1:4" x14ac:dyDescent="0.2">
      <c r="A149" s="48" t="s">
        <v>257</v>
      </c>
      <c r="B149" s="61">
        <v>45372.541666666664</v>
      </c>
      <c r="C149" s="50" t="s">
        <v>737</v>
      </c>
      <c r="D149" s="50" t="s">
        <v>742</v>
      </c>
    </row>
    <row r="150" spans="1:4" x14ac:dyDescent="0.2">
      <c r="A150" s="48" t="s">
        <v>258</v>
      </c>
      <c r="B150" s="61">
        <v>45370.416666666664</v>
      </c>
      <c r="C150" s="50" t="s">
        <v>13</v>
      </c>
      <c r="D150" s="50"/>
    </row>
    <row r="151" spans="1:4" x14ac:dyDescent="0.2">
      <c r="A151" s="48" t="s">
        <v>771</v>
      </c>
      <c r="B151" s="61">
        <v>45370.416666666664</v>
      </c>
      <c r="C151" s="50" t="s">
        <v>13</v>
      </c>
      <c r="D151" s="50"/>
    </row>
    <row r="152" spans="1:4" x14ac:dyDescent="0.2">
      <c r="A152" s="48" t="s">
        <v>772</v>
      </c>
      <c r="B152" s="61">
        <v>45358.416666666664</v>
      </c>
      <c r="C152" s="50"/>
      <c r="D152" s="50"/>
    </row>
    <row r="153" spans="1:4" x14ac:dyDescent="0.2">
      <c r="A153" s="48" t="s">
        <v>259</v>
      </c>
      <c r="B153" s="61">
        <v>45357.458333333336</v>
      </c>
      <c r="C153" s="50" t="s">
        <v>737</v>
      </c>
      <c r="D153" s="50" t="s">
        <v>739</v>
      </c>
    </row>
    <row r="154" spans="1:4" x14ac:dyDescent="0.2">
      <c r="A154" s="48" t="s">
        <v>773</v>
      </c>
      <c r="B154" s="61">
        <v>45353.416666666664</v>
      </c>
      <c r="C154" s="50" t="s">
        <v>13</v>
      </c>
      <c r="D154" s="50"/>
    </row>
    <row r="155" spans="1:4" x14ac:dyDescent="0.2">
      <c r="A155" s="48" t="s">
        <v>260</v>
      </c>
      <c r="B155" s="61">
        <v>45350.583333333336</v>
      </c>
      <c r="C155" s="50" t="s">
        <v>739</v>
      </c>
      <c r="D155" s="50"/>
    </row>
    <row r="156" spans="1:4" x14ac:dyDescent="0.2">
      <c r="A156" s="48" t="s">
        <v>261</v>
      </c>
      <c r="B156" s="61">
        <v>45348.458333333336</v>
      </c>
      <c r="C156" s="50" t="s">
        <v>13</v>
      </c>
      <c r="D156" s="50" t="s">
        <v>737</v>
      </c>
    </row>
    <row r="157" spans="1:4" x14ac:dyDescent="0.2">
      <c r="A157" s="48" t="s">
        <v>262</v>
      </c>
      <c r="B157" s="61">
        <v>45345.416666666664</v>
      </c>
      <c r="C157" s="50" t="s">
        <v>13</v>
      </c>
      <c r="D157" s="50" t="s">
        <v>739</v>
      </c>
    </row>
    <row r="158" spans="1:4" x14ac:dyDescent="0.2">
      <c r="A158" s="48" t="s">
        <v>263</v>
      </c>
      <c r="B158" s="61">
        <v>45343.458333333336</v>
      </c>
      <c r="C158" s="50" t="s">
        <v>13</v>
      </c>
      <c r="D158" s="50"/>
    </row>
    <row r="159" spans="1:4" x14ac:dyDescent="0.2">
      <c r="A159" s="48" t="s">
        <v>264</v>
      </c>
      <c r="B159" s="61">
        <v>45342.625</v>
      </c>
      <c r="C159" s="50" t="s">
        <v>13</v>
      </c>
      <c r="D159" s="50" t="s">
        <v>739</v>
      </c>
    </row>
    <row r="160" spans="1:4" x14ac:dyDescent="0.2">
      <c r="A160" s="45" t="s">
        <v>266</v>
      </c>
      <c r="B160" s="60">
        <v>45337.458333333336</v>
      </c>
      <c r="C160" s="47" t="s">
        <v>13</v>
      </c>
      <c r="D160" s="47" t="s">
        <v>737</v>
      </c>
    </row>
    <row r="161" spans="1:4" x14ac:dyDescent="0.2">
      <c r="A161" s="48" t="s">
        <v>265</v>
      </c>
      <c r="B161" s="61">
        <v>45337.416666666664</v>
      </c>
      <c r="C161" s="50" t="s">
        <v>13</v>
      </c>
      <c r="D161" s="50"/>
    </row>
    <row r="162" spans="1:4" x14ac:dyDescent="0.2">
      <c r="A162" s="48" t="s">
        <v>774</v>
      </c>
      <c r="B162" s="61">
        <v>45336.458333333336</v>
      </c>
      <c r="C162" s="50" t="s">
        <v>737</v>
      </c>
      <c r="D162" s="50"/>
    </row>
    <row r="163" spans="1:4" x14ac:dyDescent="0.2">
      <c r="A163" s="48" t="s">
        <v>775</v>
      </c>
      <c r="B163" s="61">
        <v>45335.541666666664</v>
      </c>
      <c r="C163" s="50"/>
      <c r="D163" s="50"/>
    </row>
    <row r="164" spans="1:4" x14ac:dyDescent="0.2">
      <c r="A164" s="48" t="s">
        <v>268</v>
      </c>
      <c r="B164" s="61">
        <v>45334.541666666664</v>
      </c>
      <c r="C164" s="50" t="s">
        <v>737</v>
      </c>
      <c r="D164" s="50"/>
    </row>
    <row r="165" spans="1:4" x14ac:dyDescent="0.2">
      <c r="A165" s="48" t="s">
        <v>267</v>
      </c>
      <c r="B165" s="61">
        <v>45334.541666666664</v>
      </c>
      <c r="C165" s="50" t="s">
        <v>13</v>
      </c>
      <c r="D165" s="50"/>
    </row>
    <row r="166" spans="1:4" x14ac:dyDescent="0.2">
      <c r="A166" s="48" t="s">
        <v>776</v>
      </c>
      <c r="B166" s="61">
        <v>45334.375</v>
      </c>
      <c r="C166" s="50" t="s">
        <v>13</v>
      </c>
      <c r="D166" s="50"/>
    </row>
    <row r="167" spans="1:4" x14ac:dyDescent="0.2">
      <c r="A167" s="48" t="s">
        <v>269</v>
      </c>
      <c r="B167" s="61">
        <v>45330.625</v>
      </c>
      <c r="C167" s="50" t="s">
        <v>737</v>
      </c>
      <c r="D167" s="50"/>
    </row>
    <row r="168" spans="1:4" x14ac:dyDescent="0.2">
      <c r="A168" s="48" t="s">
        <v>270</v>
      </c>
      <c r="B168" s="61">
        <v>45329.625</v>
      </c>
      <c r="C168" s="50" t="s">
        <v>737</v>
      </c>
      <c r="D168" s="50"/>
    </row>
    <row r="169" spans="1:4" x14ac:dyDescent="0.2">
      <c r="A169" s="48" t="s">
        <v>777</v>
      </c>
      <c r="B169" s="61">
        <v>45328.541666666664</v>
      </c>
      <c r="C169" s="50" t="s">
        <v>13</v>
      </c>
      <c r="D169" s="50"/>
    </row>
    <row r="170" spans="1:4" x14ac:dyDescent="0.2">
      <c r="A170" s="48" t="s">
        <v>778</v>
      </c>
      <c r="B170" s="61">
        <v>45328.333333333336</v>
      </c>
      <c r="C170" s="50" t="s">
        <v>13</v>
      </c>
      <c r="D170" s="50"/>
    </row>
    <row r="171" spans="1:4" x14ac:dyDescent="0.2">
      <c r="A171" s="48" t="s">
        <v>271</v>
      </c>
      <c r="B171" s="61">
        <v>45323.583333333336</v>
      </c>
      <c r="C171" s="50" t="s">
        <v>737</v>
      </c>
      <c r="D171" s="50"/>
    </row>
    <row r="172" spans="1:4" x14ac:dyDescent="0.2">
      <c r="A172" s="48" t="s">
        <v>272</v>
      </c>
      <c r="B172" s="61">
        <v>45321.583333333336</v>
      </c>
      <c r="C172" s="50" t="s">
        <v>13</v>
      </c>
      <c r="D172" s="50"/>
    </row>
    <row r="173" spans="1:4" x14ac:dyDescent="0.2">
      <c r="A173" s="48" t="s">
        <v>273</v>
      </c>
      <c r="B173" s="61">
        <v>45317.416666666664</v>
      </c>
      <c r="C173" s="50" t="s">
        <v>13</v>
      </c>
      <c r="D173" s="50"/>
    </row>
    <row r="174" spans="1:4" x14ac:dyDescent="0.2">
      <c r="A174" s="48" t="s">
        <v>275</v>
      </c>
      <c r="B174" s="61">
        <v>45315.583333333336</v>
      </c>
      <c r="C174" s="50" t="s">
        <v>737</v>
      </c>
      <c r="D174" s="50"/>
    </row>
    <row r="175" spans="1:4" x14ac:dyDescent="0.2">
      <c r="A175" s="48" t="s">
        <v>274</v>
      </c>
      <c r="B175" s="61">
        <v>45315.541666666664</v>
      </c>
      <c r="C175" s="50"/>
      <c r="D175" s="50"/>
    </row>
    <row r="176" spans="1:4" x14ac:dyDescent="0.2">
      <c r="A176" s="48" t="s">
        <v>276</v>
      </c>
      <c r="B176" s="61">
        <v>45315.458333333336</v>
      </c>
      <c r="C176" s="50" t="s">
        <v>739</v>
      </c>
      <c r="D176" s="50"/>
    </row>
    <row r="177" spans="1:4" x14ac:dyDescent="0.2">
      <c r="A177" s="48" t="s">
        <v>277</v>
      </c>
      <c r="B177" s="61">
        <v>45314.583333333336</v>
      </c>
      <c r="C177" s="50" t="s">
        <v>737</v>
      </c>
      <c r="D177" s="50"/>
    </row>
    <row r="178" spans="1:4" x14ac:dyDescent="0.2">
      <c r="A178" s="48" t="s">
        <v>278</v>
      </c>
      <c r="B178" s="61">
        <v>45314.541666666664</v>
      </c>
      <c r="C178" s="50" t="s">
        <v>13</v>
      </c>
      <c r="D178" s="50"/>
    </row>
    <row r="179" spans="1:4" x14ac:dyDescent="0.2">
      <c r="A179" s="48" t="s">
        <v>279</v>
      </c>
      <c r="B179" s="61">
        <v>45313.479166666664</v>
      </c>
      <c r="C179" s="50" t="s">
        <v>739</v>
      </c>
      <c r="D179" s="50"/>
    </row>
    <row r="180" spans="1:4" x14ac:dyDescent="0.2">
      <c r="A180" s="48" t="s">
        <v>280</v>
      </c>
      <c r="B180" s="61">
        <v>45309.583333333336</v>
      </c>
      <c r="C180" s="50" t="s">
        <v>737</v>
      </c>
      <c r="D180" s="50"/>
    </row>
    <row r="181" spans="1:4" x14ac:dyDescent="0.2">
      <c r="A181" s="48" t="s">
        <v>281</v>
      </c>
      <c r="B181" s="61">
        <v>45309.458333333336</v>
      </c>
      <c r="C181" s="50" t="s">
        <v>737</v>
      </c>
      <c r="D181" s="50"/>
    </row>
    <row r="182" spans="1:4" x14ac:dyDescent="0.2">
      <c r="A182" s="48" t="s">
        <v>779</v>
      </c>
      <c r="B182" s="61">
        <v>45307.458333333336</v>
      </c>
      <c r="C182" s="50" t="s">
        <v>13</v>
      </c>
      <c r="D182" s="50"/>
    </row>
    <row r="183" spans="1:4" x14ac:dyDescent="0.2">
      <c r="A183" s="48" t="s">
        <v>282</v>
      </c>
      <c r="B183" s="61">
        <v>45302.583333333336</v>
      </c>
      <c r="C183" s="50" t="s">
        <v>737</v>
      </c>
      <c r="D183" s="50"/>
    </row>
    <row r="184" spans="1:4" x14ac:dyDescent="0.2">
      <c r="A184" s="48" t="s">
        <v>283</v>
      </c>
      <c r="B184" s="61">
        <v>45302.458333333336</v>
      </c>
      <c r="C184" s="50" t="s">
        <v>13</v>
      </c>
      <c r="D184" s="50"/>
    </row>
    <row r="185" spans="1:4" x14ac:dyDescent="0.2">
      <c r="A185" s="48" t="s">
        <v>284</v>
      </c>
      <c r="B185" s="61">
        <v>45300.583333333336</v>
      </c>
      <c r="C185" s="50" t="s">
        <v>737</v>
      </c>
      <c r="D185" s="50"/>
    </row>
    <row r="186" spans="1:4" x14ac:dyDescent="0.2">
      <c r="A186" s="48" t="s">
        <v>285</v>
      </c>
      <c r="B186" s="61">
        <v>45299.541666666664</v>
      </c>
      <c r="C186" s="50" t="s">
        <v>13</v>
      </c>
      <c r="D186" s="50"/>
    </row>
    <row r="187" spans="1:4" x14ac:dyDescent="0.2">
      <c r="A187" s="48" t="s">
        <v>780</v>
      </c>
      <c r="B187" s="61">
        <v>45295.458333333336</v>
      </c>
      <c r="C187" s="50" t="s">
        <v>13</v>
      </c>
      <c r="D187" s="50" t="s">
        <v>745</v>
      </c>
    </row>
    <row r="188" spans="1:4" x14ac:dyDescent="0.2">
      <c r="A188" s="48" t="s">
        <v>781</v>
      </c>
      <c r="B188" s="61">
        <v>45278.583333333336</v>
      </c>
      <c r="C188" s="50" t="s">
        <v>13</v>
      </c>
      <c r="D188" s="50"/>
    </row>
    <row r="189" spans="1:4" x14ac:dyDescent="0.2">
      <c r="A189" s="48" t="s">
        <v>782</v>
      </c>
      <c r="B189" s="61">
        <v>45274.583333333336</v>
      </c>
      <c r="C189" s="50" t="s">
        <v>739</v>
      </c>
      <c r="D189" s="50"/>
    </row>
    <row r="190" spans="1:4" x14ac:dyDescent="0.2">
      <c r="A190" s="48" t="s">
        <v>783</v>
      </c>
      <c r="B190" s="61">
        <v>45274.458333333336</v>
      </c>
      <c r="C190" s="50" t="s">
        <v>13</v>
      </c>
      <c r="D190" s="50" t="s">
        <v>737</v>
      </c>
    </row>
    <row r="191" spans="1:4" x14ac:dyDescent="0.2">
      <c r="A191" s="48" t="s">
        <v>784</v>
      </c>
      <c r="B191" s="61">
        <v>45273.583333333336</v>
      </c>
      <c r="C191" s="50" t="s">
        <v>748</v>
      </c>
      <c r="D191" s="50"/>
    </row>
    <row r="192" spans="1:4" x14ac:dyDescent="0.2">
      <c r="A192" s="48" t="s">
        <v>785</v>
      </c>
      <c r="B192" s="61">
        <v>45266.5</v>
      </c>
      <c r="C192" s="50"/>
      <c r="D192" s="50"/>
    </row>
    <row r="193" spans="1:4" x14ac:dyDescent="0.2">
      <c r="A193" s="48" t="s">
        <v>786</v>
      </c>
      <c r="B193" s="61">
        <v>45251.458333333336</v>
      </c>
      <c r="C193" s="50" t="s">
        <v>13</v>
      </c>
      <c r="D193" s="50"/>
    </row>
    <row r="194" spans="1:4" x14ac:dyDescent="0.2">
      <c r="A194" s="48" t="s">
        <v>787</v>
      </c>
      <c r="B194" s="61">
        <v>45245.583333333336</v>
      </c>
      <c r="C194" s="50" t="s">
        <v>737</v>
      </c>
      <c r="D194" s="50" t="s">
        <v>13</v>
      </c>
    </row>
    <row r="195" spans="1:4" x14ac:dyDescent="0.2">
      <c r="A195" s="48" t="s">
        <v>788</v>
      </c>
      <c r="B195" s="61">
        <v>45244.541666666664</v>
      </c>
      <c r="C195" s="50" t="s">
        <v>739</v>
      </c>
      <c r="D195" s="50"/>
    </row>
    <row r="196" spans="1:4" x14ac:dyDescent="0.2">
      <c r="A196" s="48" t="s">
        <v>789</v>
      </c>
      <c r="B196" s="61">
        <v>45238.583333333336</v>
      </c>
      <c r="C196" s="50" t="s">
        <v>13</v>
      </c>
      <c r="D196" s="50"/>
    </row>
    <row r="197" spans="1:4" x14ac:dyDescent="0.2">
      <c r="A197" s="48" t="s">
        <v>790</v>
      </c>
      <c r="B197" s="61">
        <v>45231.458333333336</v>
      </c>
      <c r="C197" s="50" t="s">
        <v>13</v>
      </c>
      <c r="D197" s="50"/>
    </row>
    <row r="198" spans="1:4" x14ac:dyDescent="0.2">
      <c r="A198" s="48" t="s">
        <v>791</v>
      </c>
      <c r="B198" s="61">
        <v>45229.583333333336</v>
      </c>
      <c r="C198" s="50" t="s">
        <v>13</v>
      </c>
      <c r="D198" s="50"/>
    </row>
    <row r="199" spans="1:4" x14ac:dyDescent="0.2">
      <c r="A199" s="48" t="s">
        <v>792</v>
      </c>
      <c r="B199" s="61">
        <v>45229.458333333336</v>
      </c>
      <c r="C199" s="50" t="s">
        <v>13</v>
      </c>
      <c r="D199" s="50" t="s">
        <v>737</v>
      </c>
    </row>
    <row r="200" spans="1:4" x14ac:dyDescent="0.2">
      <c r="A200" s="48" t="s">
        <v>793</v>
      </c>
      <c r="B200" s="61">
        <v>45226.5</v>
      </c>
      <c r="C200" s="50" t="s">
        <v>737</v>
      </c>
      <c r="D200" s="50"/>
    </row>
    <row r="201" spans="1:4" x14ac:dyDescent="0.2">
      <c r="A201" s="48" t="s">
        <v>794</v>
      </c>
      <c r="B201" s="61">
        <v>45224.583333333336</v>
      </c>
      <c r="C201" s="50" t="s">
        <v>13</v>
      </c>
      <c r="D201" s="50"/>
    </row>
    <row r="202" spans="1:4" x14ac:dyDescent="0.2">
      <c r="A202" s="48" t="s">
        <v>795</v>
      </c>
      <c r="B202" s="61">
        <v>45223.458333333336</v>
      </c>
      <c r="C202" s="50" t="s">
        <v>739</v>
      </c>
      <c r="D202" s="50"/>
    </row>
    <row r="203" spans="1:4" x14ac:dyDescent="0.2">
      <c r="A203" s="48" t="s">
        <v>796</v>
      </c>
      <c r="B203" s="61">
        <v>45222.541666666664</v>
      </c>
      <c r="C203" s="50" t="s">
        <v>739</v>
      </c>
      <c r="D203" s="50"/>
    </row>
    <row r="204" spans="1:4" x14ac:dyDescent="0.2">
      <c r="A204" s="48" t="s">
        <v>797</v>
      </c>
      <c r="B204" s="61">
        <v>45219.458333333336</v>
      </c>
      <c r="C204" s="50" t="s">
        <v>739</v>
      </c>
      <c r="D204" s="50"/>
    </row>
    <row r="205" spans="1:4" x14ac:dyDescent="0.2">
      <c r="A205" s="48" t="s">
        <v>798</v>
      </c>
      <c r="B205" s="61">
        <v>45219.291666666664</v>
      </c>
      <c r="C205" s="50" t="s">
        <v>737</v>
      </c>
      <c r="D205" s="50" t="s">
        <v>13</v>
      </c>
    </row>
    <row r="206" spans="1:4" x14ac:dyDescent="0.2">
      <c r="A206" s="48" t="s">
        <v>799</v>
      </c>
      <c r="B206" s="61">
        <v>45219.291666666664</v>
      </c>
      <c r="C206" s="50" t="s">
        <v>13</v>
      </c>
      <c r="D206" s="50" t="s">
        <v>800</v>
      </c>
    </row>
    <row r="207" spans="1:4" x14ac:dyDescent="0.2">
      <c r="A207" s="48" t="s">
        <v>801</v>
      </c>
      <c r="B207" s="61">
        <v>45218.541666666664</v>
      </c>
      <c r="C207" s="50" t="s">
        <v>737</v>
      </c>
      <c r="D207" s="50"/>
    </row>
    <row r="208" spans="1:4" x14ac:dyDescent="0.2">
      <c r="A208" s="48" t="s">
        <v>802</v>
      </c>
      <c r="B208" s="61">
        <v>45218.541666666664</v>
      </c>
      <c r="C208" s="50" t="s">
        <v>13</v>
      </c>
      <c r="D208" s="50" t="s">
        <v>21</v>
      </c>
    </row>
    <row r="209" spans="1:4" x14ac:dyDescent="0.2">
      <c r="A209" s="48" t="s">
        <v>803</v>
      </c>
      <c r="B209" s="61">
        <v>45217.604166666664</v>
      </c>
      <c r="C209" s="50" t="s">
        <v>13</v>
      </c>
      <c r="D209" s="50"/>
    </row>
    <row r="210" spans="1:4" x14ac:dyDescent="0.2">
      <c r="A210" s="48" t="s">
        <v>804</v>
      </c>
      <c r="B210" s="61">
        <v>45217.458333333336</v>
      </c>
      <c r="C210" s="50" t="s">
        <v>13</v>
      </c>
      <c r="D210" s="50" t="s">
        <v>739</v>
      </c>
    </row>
    <row r="211" spans="1:4" x14ac:dyDescent="0.2">
      <c r="A211" s="48" t="s">
        <v>805</v>
      </c>
      <c r="B211" s="61">
        <v>45216.583333333336</v>
      </c>
      <c r="C211" s="50" t="s">
        <v>737</v>
      </c>
      <c r="D211" s="50"/>
    </row>
    <row r="212" spans="1:4" x14ac:dyDescent="0.2">
      <c r="A212" s="48" t="s">
        <v>806</v>
      </c>
      <c r="B212" s="61">
        <v>45216.458333333336</v>
      </c>
      <c r="C212" s="50" t="s">
        <v>739</v>
      </c>
      <c r="D212" s="50"/>
    </row>
    <row r="213" spans="1:4" x14ac:dyDescent="0.2">
      <c r="A213" s="48" t="s">
        <v>807</v>
      </c>
      <c r="B213" s="61">
        <v>45216.416666666664</v>
      </c>
      <c r="C213" s="50" t="s">
        <v>13</v>
      </c>
      <c r="D213" s="50"/>
    </row>
    <row r="214" spans="1:4" x14ac:dyDescent="0.2">
      <c r="A214" s="48" t="s">
        <v>808</v>
      </c>
      <c r="B214" s="61">
        <v>45215.458333333336</v>
      </c>
      <c r="C214" s="50" t="s">
        <v>13</v>
      </c>
      <c r="D214" s="50" t="s">
        <v>737</v>
      </c>
    </row>
    <row r="215" spans="1:4" x14ac:dyDescent="0.2">
      <c r="A215" s="48" t="s">
        <v>809</v>
      </c>
      <c r="B215" s="61">
        <v>45212.416666666664</v>
      </c>
      <c r="C215" s="50" t="s">
        <v>13</v>
      </c>
      <c r="D215" s="50" t="s">
        <v>737</v>
      </c>
    </row>
    <row r="216" spans="1:4" x14ac:dyDescent="0.2">
      <c r="A216" s="48" t="s">
        <v>810</v>
      </c>
      <c r="B216" s="61">
        <v>45211.583333333336</v>
      </c>
      <c r="C216" s="50" t="s">
        <v>737</v>
      </c>
      <c r="D216" s="50"/>
    </row>
    <row r="217" spans="1:4" x14ac:dyDescent="0.2">
      <c r="A217" s="48" t="s">
        <v>811</v>
      </c>
      <c r="B217" s="61">
        <v>45210.458333333336</v>
      </c>
      <c r="C217" s="50" t="s">
        <v>13</v>
      </c>
      <c r="D217" s="50" t="s">
        <v>745</v>
      </c>
    </row>
    <row r="218" spans="1:4" x14ac:dyDescent="0.2">
      <c r="A218" s="48" t="s">
        <v>812</v>
      </c>
      <c r="B218" s="61">
        <v>45209.583333333336</v>
      </c>
      <c r="C218" s="50" t="s">
        <v>13</v>
      </c>
      <c r="D218" s="50" t="s">
        <v>739</v>
      </c>
    </row>
    <row r="219" spans="1:4" x14ac:dyDescent="0.2">
      <c r="A219" s="48" t="s">
        <v>813</v>
      </c>
      <c r="B219" s="61">
        <v>45209.583333333336</v>
      </c>
      <c r="C219" s="50" t="s">
        <v>737</v>
      </c>
      <c r="D219" s="50"/>
    </row>
    <row r="220" spans="1:4" x14ac:dyDescent="0.2">
      <c r="A220" s="48" t="s">
        <v>814</v>
      </c>
      <c r="B220" s="61">
        <v>45204.583333333336</v>
      </c>
      <c r="C220" s="50" t="s">
        <v>737</v>
      </c>
      <c r="D220" s="50"/>
    </row>
    <row r="221" spans="1:4" x14ac:dyDescent="0.2">
      <c r="A221" s="48" t="s">
        <v>815</v>
      </c>
      <c r="B221" s="61">
        <v>45204.458333333336</v>
      </c>
      <c r="C221" s="50" t="s">
        <v>13</v>
      </c>
      <c r="D221" s="50"/>
    </row>
    <row r="222" spans="1:4" x14ac:dyDescent="0.2">
      <c r="A222" s="48" t="s">
        <v>816</v>
      </c>
      <c r="B222" s="61">
        <v>45202.583333333336</v>
      </c>
      <c r="C222" s="50" t="s">
        <v>737</v>
      </c>
      <c r="D222" s="50"/>
    </row>
    <row r="223" spans="1:4" x14ac:dyDescent="0.2">
      <c r="A223" s="48" t="s">
        <v>817</v>
      </c>
      <c r="B223" s="61">
        <v>45201.458333333336</v>
      </c>
      <c r="C223" s="50" t="s">
        <v>13</v>
      </c>
      <c r="D223" s="50" t="s">
        <v>737</v>
      </c>
    </row>
    <row r="224" spans="1:4" x14ac:dyDescent="0.2">
      <c r="A224" s="48" t="s">
        <v>818</v>
      </c>
      <c r="B224" s="61">
        <v>45198.458333333336</v>
      </c>
      <c r="C224" s="50" t="s">
        <v>13</v>
      </c>
      <c r="D224" s="50"/>
    </row>
    <row r="225" spans="1:4" x14ac:dyDescent="0.2">
      <c r="A225" s="48" t="s">
        <v>819</v>
      </c>
      <c r="B225" s="61">
        <v>45198.416666666664</v>
      </c>
      <c r="C225" s="50" t="s">
        <v>13</v>
      </c>
      <c r="D225" s="50" t="s">
        <v>737</v>
      </c>
    </row>
    <row r="226" spans="1:4" x14ac:dyDescent="0.2">
      <c r="A226" s="48" t="s">
        <v>820</v>
      </c>
      <c r="B226" s="61">
        <v>45196.541666666664</v>
      </c>
      <c r="C226" s="50" t="s">
        <v>13</v>
      </c>
      <c r="D226" s="50"/>
    </row>
    <row r="227" spans="1:4" x14ac:dyDescent="0.2">
      <c r="A227" s="48" t="s">
        <v>821</v>
      </c>
      <c r="B227" s="61">
        <v>45195.458333333336</v>
      </c>
      <c r="C227" s="50" t="s">
        <v>737</v>
      </c>
      <c r="D227" s="50" t="s">
        <v>13</v>
      </c>
    </row>
    <row r="228" spans="1:4" x14ac:dyDescent="0.2">
      <c r="A228" s="48" t="s">
        <v>822</v>
      </c>
      <c r="B228" s="61">
        <v>45191.458333333336</v>
      </c>
      <c r="C228" s="50" t="s">
        <v>13</v>
      </c>
      <c r="D228" s="50" t="s">
        <v>739</v>
      </c>
    </row>
    <row r="229" spans="1:4" x14ac:dyDescent="0.2">
      <c r="A229" s="48" t="s">
        <v>823</v>
      </c>
      <c r="B229" s="61">
        <v>45190.458333333336</v>
      </c>
      <c r="C229" s="50" t="s">
        <v>737</v>
      </c>
      <c r="D229" s="50" t="s">
        <v>13</v>
      </c>
    </row>
    <row r="230" spans="1:4" x14ac:dyDescent="0.2">
      <c r="A230" s="48" t="s">
        <v>824</v>
      </c>
      <c r="B230" s="61">
        <v>45189.416666666664</v>
      </c>
      <c r="C230" s="50" t="s">
        <v>13</v>
      </c>
      <c r="D230" s="50"/>
    </row>
    <row r="231" spans="1:4" x14ac:dyDescent="0.2">
      <c r="A231" s="48" t="s">
        <v>825</v>
      </c>
      <c r="B231" s="61">
        <v>45184.458333333336</v>
      </c>
      <c r="C231" s="50" t="s">
        <v>742</v>
      </c>
      <c r="D231" s="50"/>
    </row>
    <row r="232" spans="1:4" x14ac:dyDescent="0.2">
      <c r="A232" s="48" t="s">
        <v>826</v>
      </c>
      <c r="B232" s="61">
        <v>45181.458333333336</v>
      </c>
      <c r="C232" s="50" t="s">
        <v>737</v>
      </c>
      <c r="D232" s="50" t="s">
        <v>13</v>
      </c>
    </row>
    <row r="233" spans="1:4" x14ac:dyDescent="0.2">
      <c r="A233" s="48" t="s">
        <v>827</v>
      </c>
      <c r="B233" s="61">
        <v>45177.583333333336</v>
      </c>
      <c r="C233" s="50" t="s">
        <v>13</v>
      </c>
      <c r="D233" s="50"/>
    </row>
    <row r="234" spans="1:4" x14ac:dyDescent="0.2">
      <c r="A234" s="48" t="s">
        <v>828</v>
      </c>
      <c r="B234" s="61">
        <v>45177.520833333336</v>
      </c>
      <c r="C234" s="50" t="s">
        <v>742</v>
      </c>
      <c r="D234" s="50"/>
    </row>
    <row r="235" spans="1:4" x14ac:dyDescent="0.2">
      <c r="A235" s="48" t="s">
        <v>829</v>
      </c>
      <c r="B235" s="61">
        <v>45177.479166666664</v>
      </c>
      <c r="C235" s="50" t="s">
        <v>737</v>
      </c>
      <c r="D235" s="50"/>
    </row>
    <row r="236" spans="1:4" x14ac:dyDescent="0.2">
      <c r="A236" s="48" t="s">
        <v>830</v>
      </c>
      <c r="B236" s="61">
        <v>45175.458333333336</v>
      </c>
      <c r="C236" s="50" t="s">
        <v>737</v>
      </c>
      <c r="D236" s="50" t="s">
        <v>13</v>
      </c>
    </row>
    <row r="237" spans="1:4" x14ac:dyDescent="0.2">
      <c r="A237" s="48" t="s">
        <v>831</v>
      </c>
      <c r="B237" s="61">
        <v>45159.458333333336</v>
      </c>
      <c r="C237" s="50" t="s">
        <v>737</v>
      </c>
      <c r="D237" s="50" t="s">
        <v>13</v>
      </c>
    </row>
    <row r="238" spans="1:4" x14ac:dyDescent="0.2">
      <c r="A238" s="48" t="s">
        <v>832</v>
      </c>
      <c r="B238" s="61">
        <v>45155.458333333336</v>
      </c>
      <c r="C238" s="50" t="s">
        <v>737</v>
      </c>
      <c r="D238" s="50" t="s">
        <v>13</v>
      </c>
    </row>
    <row r="239" spans="1:4" x14ac:dyDescent="0.2">
      <c r="A239" s="48" t="s">
        <v>833</v>
      </c>
      <c r="B239" s="61">
        <v>45148.416666666664</v>
      </c>
      <c r="C239" s="50" t="s">
        <v>13</v>
      </c>
      <c r="D239" s="50"/>
    </row>
    <row r="240" spans="1:4" x14ac:dyDescent="0.2">
      <c r="A240" s="48" t="s">
        <v>834</v>
      </c>
      <c r="B240" s="61">
        <v>45147.583333333336</v>
      </c>
      <c r="C240" s="50" t="s">
        <v>13</v>
      </c>
      <c r="D240" s="50"/>
    </row>
    <row r="241" spans="1:4" x14ac:dyDescent="0.2">
      <c r="A241" s="48" t="s">
        <v>835</v>
      </c>
      <c r="B241" s="61">
        <v>45140.458333333336</v>
      </c>
      <c r="C241" s="50" t="s">
        <v>737</v>
      </c>
      <c r="D241" s="50"/>
    </row>
    <row r="242" spans="1:4" x14ac:dyDescent="0.2">
      <c r="A242" s="48" t="s">
        <v>836</v>
      </c>
      <c r="B242" s="61">
        <v>45134.458333333336</v>
      </c>
      <c r="C242" s="50" t="s">
        <v>13</v>
      </c>
      <c r="D242" s="50"/>
    </row>
    <row r="243" spans="1:4" x14ac:dyDescent="0.2">
      <c r="A243" s="48" t="s">
        <v>837</v>
      </c>
      <c r="B243" s="61">
        <v>45133.583333333336</v>
      </c>
      <c r="C243" s="50" t="s">
        <v>739</v>
      </c>
      <c r="D243" s="50"/>
    </row>
    <row r="244" spans="1:4" x14ac:dyDescent="0.2">
      <c r="A244" s="48" t="s">
        <v>838</v>
      </c>
      <c r="B244" s="61">
        <v>45133.416666666664</v>
      </c>
      <c r="C244" s="50" t="s">
        <v>13</v>
      </c>
      <c r="D244" s="50"/>
    </row>
    <row r="245" spans="1:4" x14ac:dyDescent="0.2">
      <c r="A245" s="48" t="s">
        <v>839</v>
      </c>
      <c r="B245" s="61">
        <v>45131.458333333336</v>
      </c>
      <c r="C245" s="50" t="s">
        <v>13</v>
      </c>
      <c r="D245" s="50" t="s">
        <v>739</v>
      </c>
    </row>
    <row r="246" spans="1:4" x14ac:dyDescent="0.2">
      <c r="A246" s="48" t="s">
        <v>840</v>
      </c>
      <c r="B246" s="61">
        <v>45128.458333333336</v>
      </c>
      <c r="C246" s="50" t="s">
        <v>737</v>
      </c>
      <c r="D246" s="50"/>
    </row>
    <row r="247" spans="1:4" x14ac:dyDescent="0.2">
      <c r="A247" s="48" t="s">
        <v>841</v>
      </c>
      <c r="B247" s="61">
        <v>45128.458333333336</v>
      </c>
      <c r="C247" s="50" t="s">
        <v>737</v>
      </c>
      <c r="D247" s="50"/>
    </row>
    <row r="248" spans="1:4" x14ac:dyDescent="0.2">
      <c r="A248" s="48" t="s">
        <v>842</v>
      </c>
      <c r="B248" s="61">
        <v>45128.208333333336</v>
      </c>
      <c r="C248" s="50" t="s">
        <v>737</v>
      </c>
      <c r="D248" s="50" t="s">
        <v>13</v>
      </c>
    </row>
    <row r="249" spans="1:4" x14ac:dyDescent="0.2">
      <c r="A249" s="48" t="s">
        <v>843</v>
      </c>
      <c r="B249" s="61">
        <v>45127.583333333336</v>
      </c>
      <c r="C249" s="50" t="s">
        <v>13</v>
      </c>
      <c r="D249" s="50"/>
    </row>
    <row r="250" spans="1:4" x14ac:dyDescent="0.2">
      <c r="A250" s="48" t="s">
        <v>844</v>
      </c>
      <c r="B250" s="61">
        <v>45127.416666666664</v>
      </c>
      <c r="C250" s="50" t="s">
        <v>13</v>
      </c>
      <c r="D250" s="50"/>
    </row>
    <row r="251" spans="1:4" x14ac:dyDescent="0.2">
      <c r="A251" s="48" t="s">
        <v>845</v>
      </c>
      <c r="B251" s="61">
        <v>45126.541666666664</v>
      </c>
      <c r="C251" s="50" t="s">
        <v>737</v>
      </c>
      <c r="D251" s="50" t="s">
        <v>13</v>
      </c>
    </row>
    <row r="252" spans="1:4" x14ac:dyDescent="0.2">
      <c r="A252" s="48" t="s">
        <v>846</v>
      </c>
      <c r="B252" s="61">
        <v>45125.541666666664</v>
      </c>
      <c r="C252" s="50" t="s">
        <v>739</v>
      </c>
      <c r="D252" s="50"/>
    </row>
    <row r="253" spans="1:4" x14ac:dyDescent="0.2">
      <c r="A253" s="48" t="s">
        <v>847</v>
      </c>
      <c r="B253" s="61">
        <v>45125.416666666664</v>
      </c>
      <c r="C253" s="50" t="s">
        <v>13</v>
      </c>
      <c r="D253" s="50"/>
    </row>
    <row r="254" spans="1:4" x14ac:dyDescent="0.2">
      <c r="A254" s="48" t="s">
        <v>848</v>
      </c>
      <c r="B254" s="61">
        <v>45121.458333333336</v>
      </c>
      <c r="C254" s="50" t="s">
        <v>737</v>
      </c>
      <c r="D254" s="50"/>
    </row>
    <row r="255" spans="1:4" x14ac:dyDescent="0.2">
      <c r="A255" s="48" t="s">
        <v>849</v>
      </c>
      <c r="B255" s="61">
        <v>45120.625</v>
      </c>
      <c r="C255" s="50" t="s">
        <v>739</v>
      </c>
      <c r="D255" s="50"/>
    </row>
    <row r="256" spans="1:4" x14ac:dyDescent="0.2">
      <c r="A256" s="48" t="s">
        <v>850</v>
      </c>
      <c r="B256" s="61">
        <v>45120.458333333336</v>
      </c>
      <c r="C256" s="50" t="s">
        <v>737</v>
      </c>
      <c r="D256" s="50" t="s">
        <v>13</v>
      </c>
    </row>
    <row r="257" spans="1:4" x14ac:dyDescent="0.2">
      <c r="A257" s="48" t="s">
        <v>851</v>
      </c>
      <c r="B257" s="61">
        <v>45118.541666666664</v>
      </c>
      <c r="C257" s="50" t="s">
        <v>13</v>
      </c>
      <c r="D257" s="50"/>
    </row>
    <row r="258" spans="1:4" x14ac:dyDescent="0.2">
      <c r="A258" s="48" t="s">
        <v>852</v>
      </c>
      <c r="B258" s="61">
        <v>45114.541666666664</v>
      </c>
      <c r="C258" s="50" t="s">
        <v>13</v>
      </c>
      <c r="D258" s="50"/>
    </row>
    <row r="259" spans="1:4" x14ac:dyDescent="0.2">
      <c r="A259" s="48" t="s">
        <v>853</v>
      </c>
      <c r="B259" s="61">
        <v>45114.458333333336</v>
      </c>
      <c r="C259" s="50" t="s">
        <v>13</v>
      </c>
      <c r="D259" s="50" t="s">
        <v>737</v>
      </c>
    </row>
    <row r="260" spans="1:4" x14ac:dyDescent="0.2">
      <c r="A260" s="48" t="s">
        <v>854</v>
      </c>
      <c r="B260" s="61">
        <v>45106.458333333336</v>
      </c>
      <c r="C260" s="50"/>
      <c r="D260" s="50"/>
    </row>
    <row r="261" spans="1:4" x14ac:dyDescent="0.2">
      <c r="A261" s="48" t="s">
        <v>855</v>
      </c>
      <c r="B261" s="61">
        <v>45104.583333333336</v>
      </c>
      <c r="C261" s="50" t="s">
        <v>13</v>
      </c>
      <c r="D261" s="50"/>
    </row>
    <row r="262" spans="1:4" x14ac:dyDescent="0.2">
      <c r="A262" s="48" t="s">
        <v>856</v>
      </c>
      <c r="B262" s="61">
        <v>45099.583333333336</v>
      </c>
      <c r="C262" s="50" t="s">
        <v>737</v>
      </c>
      <c r="D262" s="50" t="s">
        <v>13</v>
      </c>
    </row>
    <row r="263" spans="1:4" x14ac:dyDescent="0.2">
      <c r="A263" s="48" t="s">
        <v>857</v>
      </c>
      <c r="B263" s="61">
        <v>45098.541666666664</v>
      </c>
      <c r="C263" s="50" t="s">
        <v>13</v>
      </c>
      <c r="D263" s="50" t="s">
        <v>737</v>
      </c>
    </row>
    <row r="264" spans="1:4" x14ac:dyDescent="0.2">
      <c r="A264" s="48" t="s">
        <v>858</v>
      </c>
      <c r="B264" s="61">
        <v>45097.541666666664</v>
      </c>
      <c r="C264" s="50" t="s">
        <v>13</v>
      </c>
      <c r="D264" s="50"/>
    </row>
    <row r="265" spans="1:4" x14ac:dyDescent="0.2">
      <c r="A265" s="48" t="s">
        <v>859</v>
      </c>
      <c r="B265" s="61">
        <v>45089.583333333336</v>
      </c>
      <c r="C265" s="50" t="s">
        <v>13</v>
      </c>
      <c r="D265" s="50"/>
    </row>
    <row r="266" spans="1:4" x14ac:dyDescent="0.2">
      <c r="A266" s="48" t="s">
        <v>860</v>
      </c>
      <c r="B266" s="61">
        <v>45089.458333333336</v>
      </c>
      <c r="C266" s="50" t="s">
        <v>737</v>
      </c>
      <c r="D266" s="50" t="s">
        <v>13</v>
      </c>
    </row>
    <row r="267" spans="1:4" x14ac:dyDescent="0.2">
      <c r="A267" s="48" t="s">
        <v>861</v>
      </c>
      <c r="B267" s="61">
        <v>45085.5</v>
      </c>
      <c r="C267" s="50" t="s">
        <v>737</v>
      </c>
      <c r="D267" s="50" t="s">
        <v>13</v>
      </c>
    </row>
    <row r="268" spans="1:4" x14ac:dyDescent="0.2">
      <c r="A268" s="48" t="s">
        <v>862</v>
      </c>
      <c r="B268" s="61">
        <v>45083.583333333336</v>
      </c>
      <c r="C268" s="50" t="s">
        <v>737</v>
      </c>
      <c r="D268" s="50"/>
    </row>
    <row r="269" spans="1:4" x14ac:dyDescent="0.2">
      <c r="A269" s="48" t="s">
        <v>863</v>
      </c>
      <c r="B269" s="61">
        <v>45079.458333333336</v>
      </c>
      <c r="C269" s="50" t="s">
        <v>13</v>
      </c>
      <c r="D269" s="50" t="s">
        <v>737</v>
      </c>
    </row>
    <row r="270" spans="1:4" x14ac:dyDescent="0.2">
      <c r="A270" s="48" t="s">
        <v>864</v>
      </c>
      <c r="B270" s="61">
        <v>45077.5</v>
      </c>
      <c r="C270" s="50" t="s">
        <v>737</v>
      </c>
      <c r="D270" s="50"/>
    </row>
    <row r="271" spans="1:4" x14ac:dyDescent="0.2">
      <c r="A271" s="48" t="s">
        <v>865</v>
      </c>
      <c r="B271" s="61">
        <v>45071.583333333336</v>
      </c>
      <c r="C271" s="50" t="s">
        <v>13</v>
      </c>
      <c r="D271" s="50"/>
    </row>
    <row r="272" spans="1:4" x14ac:dyDescent="0.2">
      <c r="A272" s="48" t="s">
        <v>866</v>
      </c>
      <c r="B272" s="61">
        <v>45062.583333333336</v>
      </c>
      <c r="C272" s="50" t="s">
        <v>13</v>
      </c>
      <c r="D272" s="50" t="s">
        <v>739</v>
      </c>
    </row>
    <row r="273" spans="1:4" x14ac:dyDescent="0.2">
      <c r="A273" s="48" t="s">
        <v>867</v>
      </c>
      <c r="B273" s="61">
        <v>45061.583333333336</v>
      </c>
      <c r="C273" s="50" t="s">
        <v>737</v>
      </c>
      <c r="D273" s="50"/>
    </row>
    <row r="274" spans="1:4" x14ac:dyDescent="0.2">
      <c r="A274" s="48" t="s">
        <v>868</v>
      </c>
      <c r="B274" s="61">
        <v>45058.583333333336</v>
      </c>
      <c r="C274" s="50" t="s">
        <v>13</v>
      </c>
      <c r="D274" s="50"/>
    </row>
    <row r="275" spans="1:4" x14ac:dyDescent="0.2">
      <c r="A275" s="48" t="s">
        <v>869</v>
      </c>
      <c r="B275" s="61">
        <v>45056.541666666664</v>
      </c>
      <c r="C275" s="50" t="s">
        <v>737</v>
      </c>
      <c r="D275" s="50"/>
    </row>
    <row r="276" spans="1:4" x14ac:dyDescent="0.2">
      <c r="A276" s="48" t="s">
        <v>870</v>
      </c>
      <c r="B276" s="61">
        <v>45054.416666666664</v>
      </c>
      <c r="C276" s="50" t="s">
        <v>13</v>
      </c>
      <c r="D276" s="50" t="s">
        <v>739</v>
      </c>
    </row>
    <row r="277" spans="1:4" x14ac:dyDescent="0.2">
      <c r="A277" s="48" t="s">
        <v>871</v>
      </c>
      <c r="B277" s="61">
        <v>45049.541666666664</v>
      </c>
      <c r="C277" s="50" t="s">
        <v>739</v>
      </c>
      <c r="D277" s="50"/>
    </row>
    <row r="278" spans="1:4" x14ac:dyDescent="0.2">
      <c r="A278" s="48" t="s">
        <v>872</v>
      </c>
      <c r="B278" s="61">
        <v>45048.416666666664</v>
      </c>
      <c r="C278" s="50"/>
      <c r="D278" s="50"/>
    </row>
    <row r="279" spans="1:4" x14ac:dyDescent="0.2">
      <c r="A279" s="48" t="s">
        <v>873</v>
      </c>
      <c r="B279" s="61">
        <v>45047.5</v>
      </c>
      <c r="C279" s="50" t="s">
        <v>737</v>
      </c>
      <c r="D279" s="50"/>
    </row>
    <row r="280" spans="1:4" x14ac:dyDescent="0.2">
      <c r="A280" s="48" t="s">
        <v>874</v>
      </c>
      <c r="B280" s="61">
        <v>45044.541666666664</v>
      </c>
      <c r="C280" s="50" t="s">
        <v>737</v>
      </c>
      <c r="D280" s="50"/>
    </row>
    <row r="281" spans="1:4" x14ac:dyDescent="0.2">
      <c r="A281" s="48" t="s">
        <v>875</v>
      </c>
      <c r="B281" s="61">
        <v>45043.458333333336</v>
      </c>
      <c r="C281" s="50" t="s">
        <v>13</v>
      </c>
      <c r="D281" s="50" t="s">
        <v>737</v>
      </c>
    </row>
    <row r="282" spans="1:4" x14ac:dyDescent="0.2">
      <c r="A282" s="48" t="s">
        <v>876</v>
      </c>
      <c r="B282" s="61">
        <v>45041.458333333336</v>
      </c>
      <c r="C282" s="50" t="s">
        <v>13</v>
      </c>
      <c r="D282" s="50" t="s">
        <v>745</v>
      </c>
    </row>
    <row r="283" spans="1:4" x14ac:dyDescent="0.2">
      <c r="A283" s="48" t="s">
        <v>877</v>
      </c>
      <c r="B283" s="61">
        <v>45037.458333333336</v>
      </c>
      <c r="C283" s="50" t="s">
        <v>737</v>
      </c>
      <c r="D283" s="50"/>
    </row>
    <row r="284" spans="1:4" x14ac:dyDescent="0.2">
      <c r="A284" s="48" t="s">
        <v>878</v>
      </c>
      <c r="B284" s="61">
        <v>45036.458333333336</v>
      </c>
      <c r="C284" s="50" t="s">
        <v>737</v>
      </c>
      <c r="D284" s="50"/>
    </row>
    <row r="285" spans="1:4" x14ac:dyDescent="0.2">
      <c r="A285" s="48" t="s">
        <v>879</v>
      </c>
      <c r="B285" s="61">
        <v>45036.458333333336</v>
      </c>
      <c r="C285" s="50" t="s">
        <v>13</v>
      </c>
      <c r="D285" s="50" t="s">
        <v>745</v>
      </c>
    </row>
    <row r="286" spans="1:4" x14ac:dyDescent="0.2">
      <c r="A286" s="48" t="s">
        <v>880</v>
      </c>
      <c r="B286" s="61">
        <v>45035.583333333336</v>
      </c>
      <c r="C286" s="50" t="s">
        <v>13</v>
      </c>
      <c r="D286" s="50"/>
    </row>
    <row r="287" spans="1:4" x14ac:dyDescent="0.2">
      <c r="A287" s="48" t="s">
        <v>881</v>
      </c>
      <c r="B287" s="61">
        <v>45034.458333333336</v>
      </c>
      <c r="C287" s="50" t="s">
        <v>13</v>
      </c>
      <c r="D287" s="50" t="s">
        <v>737</v>
      </c>
    </row>
    <row r="288" spans="1:4" x14ac:dyDescent="0.2">
      <c r="A288" s="48" t="s">
        <v>882</v>
      </c>
      <c r="B288" s="61">
        <v>45033.541666666664</v>
      </c>
      <c r="C288" s="50" t="s">
        <v>739</v>
      </c>
      <c r="D288" s="50" t="s">
        <v>13</v>
      </c>
    </row>
    <row r="289" spans="1:4" x14ac:dyDescent="0.2">
      <c r="A289" s="48" t="s">
        <v>883</v>
      </c>
      <c r="B289" s="61">
        <v>45033.458333333336</v>
      </c>
      <c r="C289" s="50" t="s">
        <v>13</v>
      </c>
      <c r="D289" s="50" t="s">
        <v>745</v>
      </c>
    </row>
    <row r="290" spans="1:4" x14ac:dyDescent="0.2">
      <c r="A290" s="48" t="s">
        <v>884</v>
      </c>
      <c r="B290" s="61">
        <v>45027.541666666664</v>
      </c>
      <c r="C290" s="50" t="s">
        <v>13</v>
      </c>
      <c r="D290" s="50"/>
    </row>
    <row r="291" spans="1:4" x14ac:dyDescent="0.2">
      <c r="A291" s="48" t="s">
        <v>885</v>
      </c>
      <c r="B291" s="61">
        <v>45026.458333333336</v>
      </c>
      <c r="C291" s="50" t="s">
        <v>739</v>
      </c>
      <c r="D291" s="50" t="s">
        <v>13</v>
      </c>
    </row>
    <row r="292" spans="1:4" x14ac:dyDescent="0.2">
      <c r="A292" s="48" t="s">
        <v>886</v>
      </c>
      <c r="B292" s="61">
        <v>45021.541666666664</v>
      </c>
      <c r="C292" s="50" t="s">
        <v>737</v>
      </c>
      <c r="D292" s="50"/>
    </row>
    <row r="293" spans="1:4" x14ac:dyDescent="0.2">
      <c r="A293" s="48" t="s">
        <v>887</v>
      </c>
      <c r="B293" s="61">
        <v>45014.583333333336</v>
      </c>
      <c r="C293" s="50" t="s">
        <v>13</v>
      </c>
      <c r="D293" s="50" t="s">
        <v>739</v>
      </c>
    </row>
    <row r="294" spans="1:4" x14ac:dyDescent="0.2">
      <c r="A294" s="48" t="s">
        <v>888</v>
      </c>
      <c r="B294" s="61">
        <v>45014.458333333336</v>
      </c>
      <c r="C294" s="50" t="s">
        <v>13</v>
      </c>
      <c r="D294" s="50"/>
    </row>
    <row r="295" spans="1:4" x14ac:dyDescent="0.2">
      <c r="A295" s="48" t="s">
        <v>889</v>
      </c>
      <c r="B295" s="61">
        <v>45012.458333333336</v>
      </c>
      <c r="C295" s="50" t="s">
        <v>737</v>
      </c>
      <c r="D295" s="50" t="s">
        <v>745</v>
      </c>
    </row>
    <row r="296" spans="1:4" x14ac:dyDescent="0.2">
      <c r="A296" s="48" t="s">
        <v>890</v>
      </c>
      <c r="B296" s="61">
        <v>45012.458333333336</v>
      </c>
      <c r="C296" s="50" t="s">
        <v>737</v>
      </c>
      <c r="D296" s="50" t="s">
        <v>13</v>
      </c>
    </row>
    <row r="297" spans="1:4" x14ac:dyDescent="0.2">
      <c r="A297" s="48" t="s">
        <v>891</v>
      </c>
      <c r="B297" s="61">
        <v>45009.666666666664</v>
      </c>
      <c r="C297" s="50" t="s">
        <v>737</v>
      </c>
      <c r="D297" s="50"/>
    </row>
    <row r="298" spans="1:4" x14ac:dyDescent="0.2">
      <c r="A298" s="48" t="s">
        <v>892</v>
      </c>
      <c r="B298" s="61">
        <v>45008.458333333336</v>
      </c>
      <c r="C298" s="50" t="s">
        <v>737</v>
      </c>
      <c r="D298" s="50" t="s">
        <v>13</v>
      </c>
    </row>
    <row r="299" spans="1:4" x14ac:dyDescent="0.2">
      <c r="A299" s="48" t="s">
        <v>893</v>
      </c>
      <c r="B299" s="61">
        <v>45000.458333333336</v>
      </c>
      <c r="C299" s="50" t="s">
        <v>13</v>
      </c>
      <c r="D299" s="50" t="s">
        <v>737</v>
      </c>
    </row>
    <row r="300" spans="1:4" x14ac:dyDescent="0.2">
      <c r="A300" s="48" t="s">
        <v>894</v>
      </c>
      <c r="B300" s="61">
        <v>44992.583333333336</v>
      </c>
      <c r="C300" s="50" t="s">
        <v>737</v>
      </c>
      <c r="D300" s="50"/>
    </row>
    <row r="301" spans="1:4" x14ac:dyDescent="0.2">
      <c r="A301" s="48" t="s">
        <v>895</v>
      </c>
      <c r="B301" s="61">
        <v>44988.416666666664</v>
      </c>
      <c r="C301" s="50" t="s">
        <v>13</v>
      </c>
      <c r="D301" s="50"/>
    </row>
    <row r="302" spans="1:4" x14ac:dyDescent="0.2">
      <c r="A302" s="48" t="s">
        <v>896</v>
      </c>
      <c r="B302" s="61">
        <v>44986.583333333336</v>
      </c>
      <c r="C302" s="50" t="s">
        <v>13</v>
      </c>
      <c r="D302" s="50"/>
    </row>
    <row r="303" spans="1:4" x14ac:dyDescent="0.2">
      <c r="A303" s="48" t="s">
        <v>897</v>
      </c>
      <c r="B303" s="61">
        <v>44984.430555555555</v>
      </c>
      <c r="C303" s="50" t="s">
        <v>737</v>
      </c>
      <c r="D303" s="50"/>
    </row>
    <row r="304" spans="1:4" x14ac:dyDescent="0.2">
      <c r="A304" s="48" t="s">
        <v>898</v>
      </c>
      <c r="B304" s="61">
        <v>44981.4375</v>
      </c>
      <c r="C304" s="50" t="s">
        <v>737</v>
      </c>
      <c r="D304" s="50"/>
    </row>
    <row r="305" spans="1:4" x14ac:dyDescent="0.2">
      <c r="A305" s="48" t="s">
        <v>899</v>
      </c>
      <c r="B305" s="61">
        <v>44973.583333333336</v>
      </c>
      <c r="C305" s="50" t="s">
        <v>13</v>
      </c>
      <c r="D305" s="50"/>
    </row>
    <row r="306" spans="1:4" x14ac:dyDescent="0.2">
      <c r="A306" s="48" t="s">
        <v>900</v>
      </c>
      <c r="B306" s="61">
        <v>44972.583333333336</v>
      </c>
      <c r="C306" s="50" t="s">
        <v>13</v>
      </c>
      <c r="D306" s="50" t="s">
        <v>739</v>
      </c>
    </row>
    <row r="307" spans="1:4" x14ac:dyDescent="0.2">
      <c r="A307" s="48" t="s">
        <v>901</v>
      </c>
      <c r="B307" s="61">
        <v>44970.458333333336</v>
      </c>
      <c r="C307" s="50" t="s">
        <v>13</v>
      </c>
      <c r="D307" s="50"/>
    </row>
    <row r="308" spans="1:4" x14ac:dyDescent="0.2">
      <c r="A308" s="48" t="s">
        <v>902</v>
      </c>
      <c r="B308" s="61">
        <v>44970.416666666664</v>
      </c>
      <c r="C308" s="50" t="s">
        <v>13</v>
      </c>
      <c r="D308" s="50" t="s">
        <v>737</v>
      </c>
    </row>
    <row r="309" spans="1:4" x14ac:dyDescent="0.2">
      <c r="A309" s="48" t="s">
        <v>903</v>
      </c>
      <c r="B309" s="61">
        <v>44966.583333333336</v>
      </c>
      <c r="C309" s="50" t="s">
        <v>13</v>
      </c>
      <c r="D309" s="50"/>
    </row>
    <row r="310" spans="1:4" x14ac:dyDescent="0.2">
      <c r="A310" s="48" t="s">
        <v>904</v>
      </c>
      <c r="B310" s="61">
        <v>44966.458333333336</v>
      </c>
      <c r="C310" s="50" t="s">
        <v>13</v>
      </c>
      <c r="D310" s="50" t="s">
        <v>737</v>
      </c>
    </row>
    <row r="311" spans="1:4" x14ac:dyDescent="0.2">
      <c r="A311" s="48" t="s">
        <v>905</v>
      </c>
      <c r="B311" s="61">
        <v>44965.583333333336</v>
      </c>
      <c r="C311" s="50" t="s">
        <v>13</v>
      </c>
      <c r="D311" s="50" t="s">
        <v>739</v>
      </c>
    </row>
    <row r="312" spans="1:4" x14ac:dyDescent="0.2">
      <c r="A312" s="48" t="s">
        <v>906</v>
      </c>
      <c r="B312" s="61">
        <v>44965.458333333336</v>
      </c>
      <c r="C312" s="50" t="s">
        <v>737</v>
      </c>
      <c r="D312" s="50" t="s">
        <v>13</v>
      </c>
    </row>
    <row r="313" spans="1:4" x14ac:dyDescent="0.2">
      <c r="A313" s="48" t="s">
        <v>907</v>
      </c>
      <c r="B313" s="61">
        <v>44964.583333333336</v>
      </c>
      <c r="C313" s="50" t="s">
        <v>737</v>
      </c>
      <c r="D313" s="50"/>
    </row>
    <row r="314" spans="1:4" x14ac:dyDescent="0.2">
      <c r="A314" s="48" t="s">
        <v>908</v>
      </c>
      <c r="B314" s="61">
        <v>44964.541666666664</v>
      </c>
      <c r="C314" s="50" t="s">
        <v>737</v>
      </c>
      <c r="D314" s="50"/>
    </row>
    <row r="315" spans="1:4" x14ac:dyDescent="0.2">
      <c r="A315" s="48" t="s">
        <v>909</v>
      </c>
      <c r="B315" s="61">
        <v>44959.458333333336</v>
      </c>
      <c r="C315" s="50" t="s">
        <v>739</v>
      </c>
      <c r="D315" s="50"/>
    </row>
    <row r="316" spans="1:4" x14ac:dyDescent="0.2">
      <c r="A316" s="48" t="s">
        <v>910</v>
      </c>
      <c r="B316" s="61">
        <v>44957.458333333336</v>
      </c>
      <c r="C316" s="50" t="s">
        <v>13</v>
      </c>
      <c r="D316" s="50" t="s">
        <v>737</v>
      </c>
    </row>
    <row r="317" spans="1:4" x14ac:dyDescent="0.2">
      <c r="A317" s="48" t="s">
        <v>911</v>
      </c>
      <c r="B317" s="61">
        <v>44957.416666666664</v>
      </c>
      <c r="C317" s="50" t="s">
        <v>13</v>
      </c>
      <c r="D317" s="50"/>
    </row>
    <row r="318" spans="1:4" x14ac:dyDescent="0.2">
      <c r="A318" s="48" t="s">
        <v>912</v>
      </c>
      <c r="B318" s="61">
        <v>44956.541666666664</v>
      </c>
      <c r="C318" s="50" t="s">
        <v>13</v>
      </c>
      <c r="D318" s="50" t="s">
        <v>739</v>
      </c>
    </row>
    <row r="319" spans="1:4" x14ac:dyDescent="0.2">
      <c r="A319" s="48" t="s">
        <v>913</v>
      </c>
      <c r="B319" s="61">
        <v>44956.416666666664</v>
      </c>
      <c r="C319" s="50" t="s">
        <v>739</v>
      </c>
      <c r="D319" s="50"/>
    </row>
    <row r="320" spans="1:4" x14ac:dyDescent="0.2">
      <c r="A320" s="48" t="s">
        <v>914</v>
      </c>
      <c r="B320" s="61">
        <v>44952.416666666664</v>
      </c>
      <c r="C320" s="50" t="s">
        <v>13</v>
      </c>
      <c r="D320" s="50"/>
    </row>
    <row r="321" spans="1:4" x14ac:dyDescent="0.2">
      <c r="A321" s="48" t="s">
        <v>915</v>
      </c>
      <c r="B321" s="61">
        <v>44950.5</v>
      </c>
      <c r="C321" s="50" t="s">
        <v>737</v>
      </c>
      <c r="D321" s="50"/>
    </row>
    <row r="322" spans="1:4" x14ac:dyDescent="0.2">
      <c r="A322" s="48" t="s">
        <v>916</v>
      </c>
      <c r="B322" s="61">
        <v>44950.416666666664</v>
      </c>
      <c r="C322" s="50" t="s">
        <v>13</v>
      </c>
      <c r="D322" s="50"/>
    </row>
    <row r="323" spans="1:4" x14ac:dyDescent="0.2">
      <c r="A323" s="48" t="s">
        <v>917</v>
      </c>
      <c r="B323" s="61">
        <v>44949.583333333336</v>
      </c>
      <c r="C323" s="50" t="s">
        <v>737</v>
      </c>
      <c r="D323" s="50"/>
    </row>
    <row r="324" spans="1:4" x14ac:dyDescent="0.2">
      <c r="A324" s="48" t="s">
        <v>918</v>
      </c>
      <c r="B324" s="61">
        <v>44945.416666666664</v>
      </c>
      <c r="C324" s="50" t="s">
        <v>13</v>
      </c>
      <c r="D324" s="50" t="s">
        <v>739</v>
      </c>
    </row>
    <row r="325" spans="1:4" x14ac:dyDescent="0.2">
      <c r="A325" s="48" t="s">
        <v>919</v>
      </c>
      <c r="B325" s="61">
        <v>44943.458333333336</v>
      </c>
      <c r="C325" s="50" t="s">
        <v>13</v>
      </c>
      <c r="D325" s="50"/>
    </row>
    <row r="326" spans="1:4" x14ac:dyDescent="0.2">
      <c r="A326" s="48" t="s">
        <v>920</v>
      </c>
      <c r="B326" s="61">
        <v>44938.458333333336</v>
      </c>
      <c r="C326" s="50" t="s">
        <v>13</v>
      </c>
      <c r="D326" s="50" t="s">
        <v>745</v>
      </c>
    </row>
    <row r="327" spans="1:4" x14ac:dyDescent="0.2">
      <c r="A327" s="48"/>
      <c r="B327" s="61"/>
      <c r="C327" s="50"/>
      <c r="D327" s="50"/>
    </row>
    <row r="328" spans="1:4" x14ac:dyDescent="0.2">
      <c r="A328" s="48"/>
      <c r="B328" s="61"/>
      <c r="C328" s="50"/>
      <c r="D328" s="50"/>
    </row>
    <row r="329" spans="1:4" x14ac:dyDescent="0.2">
      <c r="A329" s="48"/>
      <c r="B329" s="61"/>
      <c r="C329" s="50"/>
      <c r="D329" s="50"/>
    </row>
    <row r="330" spans="1:4" x14ac:dyDescent="0.2">
      <c r="A330" s="48"/>
      <c r="B330" s="61"/>
      <c r="C330" s="50"/>
      <c r="D330" s="50"/>
    </row>
    <row r="331" spans="1:4" x14ac:dyDescent="0.2">
      <c r="A331" s="48"/>
      <c r="B331" s="61"/>
      <c r="C331" s="50"/>
      <c r="D331" s="50"/>
    </row>
    <row r="332" spans="1:4" x14ac:dyDescent="0.2">
      <c r="A332" s="48"/>
      <c r="B332" s="61"/>
      <c r="C332" s="50"/>
      <c r="D332" s="50"/>
    </row>
    <row r="333" spans="1:4" x14ac:dyDescent="0.2">
      <c r="A333" s="48"/>
      <c r="B333" s="61"/>
      <c r="C333" s="50"/>
      <c r="D333" s="50"/>
    </row>
    <row r="334" spans="1:4" x14ac:dyDescent="0.2">
      <c r="A334" s="48"/>
      <c r="B334" s="61"/>
      <c r="C334" s="50"/>
      <c r="D334" s="50"/>
    </row>
    <row r="335" spans="1:4" x14ac:dyDescent="0.2">
      <c r="A335" s="48"/>
      <c r="B335" s="61"/>
      <c r="C335" s="50"/>
      <c r="D335" s="50"/>
    </row>
    <row r="336" spans="1:4" x14ac:dyDescent="0.2">
      <c r="A336" s="48"/>
      <c r="B336" s="61"/>
      <c r="C336" s="50"/>
      <c r="D336" s="50"/>
    </row>
    <row r="337" spans="1:4" x14ac:dyDescent="0.2">
      <c r="A337" s="48"/>
      <c r="B337" s="61"/>
      <c r="C337" s="50"/>
      <c r="D337" s="50"/>
    </row>
    <row r="338" spans="1:4" x14ac:dyDescent="0.2">
      <c r="A338" s="48"/>
      <c r="B338" s="61"/>
      <c r="C338" s="50"/>
      <c r="D338" s="50"/>
    </row>
    <row r="339" spans="1:4" x14ac:dyDescent="0.2">
      <c r="A339" s="48"/>
      <c r="B339" s="61"/>
      <c r="C339" s="50"/>
      <c r="D339" s="50"/>
    </row>
    <row r="340" spans="1:4" x14ac:dyDescent="0.2">
      <c r="A340" s="48"/>
      <c r="B340" s="61"/>
      <c r="C340" s="50"/>
      <c r="D340" s="50"/>
    </row>
    <row r="341" spans="1:4" x14ac:dyDescent="0.2">
      <c r="A341" s="48"/>
      <c r="B341" s="61"/>
      <c r="C341" s="50"/>
      <c r="D341" s="50"/>
    </row>
    <row r="342" spans="1:4" x14ac:dyDescent="0.2">
      <c r="A342" s="48"/>
      <c r="B342" s="61"/>
      <c r="C342" s="50"/>
      <c r="D342" s="50"/>
    </row>
    <row r="343" spans="1:4" x14ac:dyDescent="0.2">
      <c r="A343" s="48"/>
      <c r="B343" s="61"/>
      <c r="C343" s="50"/>
      <c r="D343" s="50"/>
    </row>
    <row r="344" spans="1:4" x14ac:dyDescent="0.2">
      <c r="A344" s="48"/>
      <c r="B344" s="61"/>
      <c r="C344" s="50"/>
      <c r="D344" s="50"/>
    </row>
    <row r="345" spans="1:4" x14ac:dyDescent="0.2">
      <c r="A345" s="48"/>
      <c r="B345" s="61"/>
      <c r="C345" s="50"/>
      <c r="D345" s="50"/>
    </row>
    <row r="346" spans="1:4" x14ac:dyDescent="0.2">
      <c r="A346" s="48"/>
      <c r="B346" s="61"/>
      <c r="C346" s="50"/>
      <c r="D346" s="50"/>
    </row>
    <row r="347" spans="1:4" x14ac:dyDescent="0.2">
      <c r="A347" s="48"/>
      <c r="B347" s="61"/>
      <c r="C347" s="50"/>
      <c r="D347" s="50"/>
    </row>
    <row r="348" spans="1:4" x14ac:dyDescent="0.2">
      <c r="A348" s="48"/>
      <c r="B348" s="61"/>
      <c r="C348" s="50"/>
      <c r="D348" s="50"/>
    </row>
  </sheetData>
  <autoFilter ref="A1:D348" xr:uid="{00000000-0009-0000-0000-000004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Takeaways Pipeline</vt:lpstr>
      <vt:lpstr>Conference Call Tracker</vt:lpstr>
      <vt:lpstr>Shared Values</vt:lpstr>
      <vt:lpstr>Published Replays</vt:lpstr>
      <vt:lpstr>Calls without 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 Buccigrossi</dc:creator>
  <cp:lastModifiedBy>Tyler  Buccigrossi</cp:lastModifiedBy>
  <dcterms:created xsi:type="dcterms:W3CDTF">2025-04-24T17:52:02Z</dcterms:created>
  <dcterms:modified xsi:type="dcterms:W3CDTF">2025-04-24T18:04:06Z</dcterms:modified>
</cp:coreProperties>
</file>