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campbell/PyPSA-GB/TC Meng Project/"/>
    </mc:Choice>
  </mc:AlternateContent>
  <xr:revisionPtr revIDLastSave="0" documentId="13_ncr:1_{638E5B75-DA7A-2B45-BEAC-99F9577AD2BF}" xr6:coauthVersionLast="47" xr6:coauthVersionMax="47" xr10:uidLastSave="{00000000-0000-0000-0000-000000000000}"/>
  <bookViews>
    <workbookView xWindow="0" yWindow="740" windowWidth="19420" windowHeight="10420" xr2:uid="{09E78692-84B1-204D-9132-26039FF1568D}"/>
  </bookViews>
  <sheets>
    <sheet name="Capex costs" sheetId="2" r:id="rId1"/>
    <sheet name="Sheet2" sheetId="5" r:id="rId2"/>
    <sheet name="Refere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B14" i="2"/>
  <c r="B12" i="2"/>
  <c r="C12" i="2"/>
  <c r="D12" i="2"/>
  <c r="E12" i="2"/>
  <c r="F12" i="2"/>
  <c r="G12" i="2"/>
  <c r="H12" i="2"/>
  <c r="I12" i="2"/>
  <c r="J12" i="2"/>
  <c r="C11" i="2"/>
  <c r="D11" i="2"/>
  <c r="E11" i="2"/>
  <c r="F11" i="2"/>
  <c r="G11" i="2"/>
  <c r="H11" i="2"/>
  <c r="I11" i="2"/>
  <c r="J11" i="2"/>
  <c r="B11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B9" i="2"/>
  <c r="B8" i="2"/>
  <c r="J6" i="2"/>
  <c r="F6" i="2"/>
  <c r="C6" i="2"/>
  <c r="D6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2" i="2"/>
  <c r="I22" i="2"/>
  <c r="H22" i="2"/>
  <c r="G22" i="2"/>
  <c r="F22" i="2"/>
  <c r="E22" i="2"/>
  <c r="D22" i="2"/>
  <c r="C22" i="2"/>
  <c r="J16" i="2"/>
  <c r="C16" i="2"/>
  <c r="F15" i="2"/>
  <c r="E15" i="2"/>
  <c r="D15" i="2"/>
  <c r="C15" i="2"/>
  <c r="J5" i="2"/>
  <c r="H5" i="2"/>
  <c r="F5" i="2"/>
  <c r="D5" i="2"/>
  <c r="B5" i="2"/>
  <c r="J4" i="2"/>
  <c r="H4" i="2"/>
  <c r="F4" i="2"/>
  <c r="D4" i="2"/>
  <c r="B4" i="2"/>
  <c r="J3" i="2"/>
  <c r="H3" i="2"/>
  <c r="F3" i="2"/>
  <c r="D3" i="2"/>
  <c r="B3" i="2"/>
  <c r="J2" i="2"/>
  <c r="H2" i="2"/>
  <c r="F2" i="2"/>
  <c r="D2" i="2"/>
  <c r="B2" i="2"/>
</calcChain>
</file>

<file path=xl/sharedStrings.xml><?xml version="1.0" encoding="utf-8"?>
<sst xmlns="http://schemas.openxmlformats.org/spreadsheetml/2006/main" count="103" uniqueCount="53">
  <si>
    <t>Biomass (co-firing)</t>
  </si>
  <si>
    <t>Biomass (dedicated)</t>
  </si>
  <si>
    <t>CCS Biomass</t>
  </si>
  <si>
    <t>CCS Gas</t>
  </si>
  <si>
    <t>Waste</t>
  </si>
  <si>
    <t>Floating Wind</t>
  </si>
  <si>
    <t>Hydro</t>
  </si>
  <si>
    <t>Hydrogen</t>
  </si>
  <si>
    <t>Nuclear</t>
  </si>
  <si>
    <t>Solar Photovoltaics</t>
  </si>
  <si>
    <t>Tidal lagoon</t>
  </si>
  <si>
    <t>Tidal stream</t>
  </si>
  <si>
    <t>Wave power</t>
  </si>
  <si>
    <t>Wind Offshore</t>
  </si>
  <si>
    <t>Wind Onshore</t>
  </si>
  <si>
    <t>Battery</t>
  </si>
  <si>
    <t>Compressed Air</t>
  </si>
  <si>
    <t>Liquid Air</t>
  </si>
  <si>
    <t>Pumped Storage Hydroelectric</t>
  </si>
  <si>
    <t>P2G</t>
  </si>
  <si>
    <t>oil</t>
  </si>
  <si>
    <t>DIW german</t>
  </si>
  <si>
    <t>Danish</t>
  </si>
  <si>
    <t>Natural gas</t>
  </si>
  <si>
    <t>coal</t>
  </si>
  <si>
    <t>Assumed same as compressed air</t>
  </si>
  <si>
    <t>https://www.sciencedirect.com/science/article/pii/S2666792421000597?via%3Dihub</t>
  </si>
  <si>
    <t>NREL</t>
  </si>
  <si>
    <t>asumed same a tstream</t>
  </si>
  <si>
    <t>operating period 25 years from https://assets.publishing.service.gov.uk/media/6556027d046ed400148b99fe/electricity-generation-costs-2023.pdf</t>
  </si>
  <si>
    <t>Marg costs as before</t>
  </si>
  <si>
    <t>Refs</t>
  </si>
  <si>
    <t>Generators</t>
  </si>
  <si>
    <t>Conventional steam</t>
  </si>
  <si>
    <t>AGR</t>
  </si>
  <si>
    <t>PWR</t>
  </si>
  <si>
    <t>CCGT</t>
  </si>
  <si>
    <t>OCGT</t>
  </si>
  <si>
    <t>Diesel/Gas oil</t>
  </si>
  <si>
    <t>Diesel/gas Diesel/Gas oil</t>
  </si>
  <si>
    <t>Large Hydro</t>
  </si>
  <si>
    <t>Small Hydro</t>
  </si>
  <si>
    <t>lifetime 30 years from DIW german</t>
  </si>
  <si>
    <t>lifetime 20 years C. Maienza 2020 A life cycle cost model for floating offshore wind farms</t>
  </si>
  <si>
    <t>liftetime 25 years same source</t>
  </si>
  <si>
    <t>all capex values in euros/Mwa</t>
  </si>
  <si>
    <t>liftime 80 years from IEA2010</t>
  </si>
  <si>
    <t>lifetime 60 years</t>
  </si>
  <si>
    <t>lifetime 10 years</t>
  </si>
  <si>
    <t>cap ex = cap cost + % FOM</t>
  </si>
  <si>
    <t>cap cost + assumed 18000 FOM from DIW german natural gas</t>
  </si>
  <si>
    <t>Unmet Load</t>
  </si>
  <si>
    <t>fixed oM from lazazrds LCOE as 1,1%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</si>
</sst>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1F1F1F"/>
      <name val="Georgia"/>
      <family val="1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1"/>
    <xf numFmtId="0" fontId="4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666792421000597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A93A-4CCA-3E43-B978-E794DCF106D8}">
  <dimension ref="A1:Q29"/>
  <sheetViews>
    <sheetView tabSelected="1" workbookViewId="0">
      <selection activeCell="G28" sqref="G28"/>
    </sheetView>
  </sheetViews>
  <sheetFormatPr baseColWidth="10" defaultColWidth="10.6640625" defaultRowHeight="16" x14ac:dyDescent="0.2"/>
  <cols>
    <col min="1" max="1" width="26.1640625" bestFit="1" customWidth="1"/>
  </cols>
  <sheetData>
    <row r="1" spans="1:17" x14ac:dyDescent="0.2">
      <c r="A1" t="s">
        <v>32</v>
      </c>
      <c r="B1">
        <v>2010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7" x14ac:dyDescent="0.2">
      <c r="A2" s="4" t="s">
        <v>0</v>
      </c>
      <c r="B2">
        <f>2500000/30+0.045*2500000</f>
        <v>195833.33333333331</v>
      </c>
      <c r="C2" s="2"/>
      <c r="D2" s="2">
        <f>2350000/30+0.045*2350000</f>
        <v>184083.33333333331</v>
      </c>
      <c r="E2" s="2"/>
      <c r="F2" s="2">
        <f>2307000/30+0.045*2307000</f>
        <v>180715</v>
      </c>
      <c r="G2" s="2"/>
      <c r="H2" s="2">
        <f>2290000/30+0.045*2290000</f>
        <v>179383.33333333331</v>
      </c>
      <c r="I2" s="2"/>
      <c r="J2" s="2">
        <f>2093000/30+0.045*2093000</f>
        <v>163951.66666666669</v>
      </c>
    </row>
    <row r="3" spans="1:17" x14ac:dyDescent="0.2">
      <c r="A3" s="4" t="s">
        <v>1</v>
      </c>
      <c r="B3">
        <f t="shared" ref="B3:B4" si="0">2500000/30+0.045*2500000</f>
        <v>195833.33333333331</v>
      </c>
      <c r="C3" s="2"/>
      <c r="D3" s="2">
        <f t="shared" ref="D3:D4" si="1">2350000/30+0.045*2350000</f>
        <v>184083.33333333331</v>
      </c>
      <c r="E3" s="2"/>
      <c r="F3" s="2">
        <f t="shared" ref="F3:F4" si="2">2307000/30+0.045*2307000</f>
        <v>180715</v>
      </c>
      <c r="G3" s="2"/>
      <c r="H3" s="2">
        <f t="shared" ref="H3:H4" si="3">2290000/30+0.045*2290000</f>
        <v>179383.33333333331</v>
      </c>
      <c r="I3" s="2"/>
      <c r="J3" s="2">
        <f t="shared" ref="J3:J4" si="4">2093000/30+0.045*2093000</f>
        <v>163951.66666666669</v>
      </c>
    </row>
    <row r="4" spans="1:17" x14ac:dyDescent="0.2">
      <c r="A4" s="4" t="s">
        <v>2</v>
      </c>
      <c r="B4">
        <f t="shared" si="0"/>
        <v>195833.33333333331</v>
      </c>
      <c r="C4" s="2"/>
      <c r="D4" s="2">
        <f t="shared" si="1"/>
        <v>184083.33333333331</v>
      </c>
      <c r="E4" s="2"/>
      <c r="F4" s="2">
        <f t="shared" si="2"/>
        <v>180715</v>
      </c>
      <c r="G4" s="2"/>
      <c r="H4" s="2">
        <f t="shared" si="3"/>
        <v>179383.33333333331</v>
      </c>
      <c r="I4" s="2"/>
      <c r="J4" s="2">
        <f t="shared" si="4"/>
        <v>163951.66666666669</v>
      </c>
    </row>
    <row r="5" spans="1:17" x14ac:dyDescent="0.2">
      <c r="A5" s="4" t="s">
        <v>3</v>
      </c>
      <c r="B5" s="3">
        <f>1400000/30+20000</f>
        <v>66666.666666666657</v>
      </c>
      <c r="D5">
        <f>1367000/30+20000</f>
        <v>65566.666666666657</v>
      </c>
      <c r="F5">
        <f>1337000/30+20000</f>
        <v>64566.666666666664</v>
      </c>
      <c r="H5">
        <f>1308000/30+20000</f>
        <v>63600</v>
      </c>
      <c r="J5">
        <f>1280000/30+20000</f>
        <v>62666.666666666664</v>
      </c>
    </row>
    <row r="6" spans="1:17" ht="18" x14ac:dyDescent="0.2">
      <c r="A6" s="4" t="s">
        <v>4</v>
      </c>
      <c r="C6">
        <f>(8.047*1000000/25+232000)/0.86</f>
        <v>644046.51162790693</v>
      </c>
      <c r="D6">
        <f>(7.845*1000000/25+188000)/0.86</f>
        <v>583488.37209302327</v>
      </c>
      <c r="F6">
        <f>(7.417*1000000/25+175000)/0.86</f>
        <v>548465.1162790698</v>
      </c>
      <c r="J6">
        <f>(6.465*1000000/25+148000)/0.86</f>
        <v>472790.69767441862</v>
      </c>
      <c r="L6" s="5"/>
      <c r="M6" s="5"/>
      <c r="N6" s="5"/>
      <c r="O6" s="5"/>
      <c r="P6" s="5"/>
      <c r="Q6" s="5"/>
    </row>
    <row r="7" spans="1:17" ht="18" x14ac:dyDescent="0.2">
      <c r="A7" s="4" t="s">
        <v>5</v>
      </c>
      <c r="B7" s="2"/>
      <c r="C7" s="2"/>
      <c r="D7" s="2"/>
      <c r="E7">
        <v>233500</v>
      </c>
      <c r="F7">
        <v>144500</v>
      </c>
      <c r="G7">
        <v>132000</v>
      </c>
      <c r="H7">
        <v>122000</v>
      </c>
      <c r="I7">
        <v>111500</v>
      </c>
      <c r="J7">
        <v>101000</v>
      </c>
      <c r="L7" s="5"/>
      <c r="M7" s="5"/>
      <c r="N7" s="5"/>
      <c r="O7" s="5"/>
      <c r="P7" s="5"/>
      <c r="Q7" s="5"/>
    </row>
    <row r="8" spans="1:17" x14ac:dyDescent="0.2">
      <c r="A8" s="4" t="s">
        <v>40</v>
      </c>
      <c r="B8" s="2">
        <f>(3000*1000)/80+3000000*0.02</f>
        <v>97500</v>
      </c>
      <c r="C8" s="2">
        <f t="shared" ref="C8:J9" si="5">(3000*1000)/80+3000000*0.02</f>
        <v>97500</v>
      </c>
      <c r="D8" s="2">
        <f t="shared" si="5"/>
        <v>97500</v>
      </c>
      <c r="E8" s="2">
        <f t="shared" si="5"/>
        <v>97500</v>
      </c>
      <c r="F8" s="2">
        <f t="shared" si="5"/>
        <v>97500</v>
      </c>
      <c r="G8" s="2">
        <f t="shared" si="5"/>
        <v>97500</v>
      </c>
      <c r="H8" s="2">
        <f t="shared" si="5"/>
        <v>97500</v>
      </c>
      <c r="I8" s="2">
        <f t="shared" si="5"/>
        <v>97500</v>
      </c>
      <c r="J8" s="2">
        <f t="shared" si="5"/>
        <v>97500</v>
      </c>
    </row>
    <row r="9" spans="1:17" x14ac:dyDescent="0.2">
      <c r="A9" s="6" t="s">
        <v>41</v>
      </c>
      <c r="B9" s="2">
        <f>(3000*1000)/80+3000000*0.02</f>
        <v>97500</v>
      </c>
      <c r="C9" s="2">
        <f t="shared" si="5"/>
        <v>97500</v>
      </c>
      <c r="D9" s="2">
        <f t="shared" si="5"/>
        <v>97500</v>
      </c>
      <c r="E9" s="2">
        <f t="shared" si="5"/>
        <v>97500</v>
      </c>
      <c r="F9" s="2">
        <f t="shared" si="5"/>
        <v>97500</v>
      </c>
      <c r="G9" s="2">
        <f t="shared" si="5"/>
        <v>97500</v>
      </c>
      <c r="H9" s="2">
        <f t="shared" si="5"/>
        <v>97500</v>
      </c>
      <c r="I9" s="2">
        <f t="shared" si="5"/>
        <v>97500</v>
      </c>
      <c r="J9" s="2">
        <f t="shared" si="5"/>
        <v>97500</v>
      </c>
    </row>
    <row r="10" spans="1:17" x14ac:dyDescent="0.2">
      <c r="A10" s="4" t="s">
        <v>7</v>
      </c>
      <c r="B10" s="2"/>
      <c r="C10">
        <v>303061.22463000001</v>
      </c>
      <c r="D10">
        <v>207357.68001000001</v>
      </c>
      <c r="F10">
        <v>175456.49847000005</v>
      </c>
      <c r="J10">
        <v>127604.72616000002</v>
      </c>
      <c r="K10" s="2"/>
      <c r="L10" s="2"/>
    </row>
    <row r="11" spans="1:17" x14ac:dyDescent="0.2">
      <c r="A11" s="4" t="s">
        <v>34</v>
      </c>
      <c r="B11">
        <f>100000+0.011*6000000</f>
        <v>166000</v>
      </c>
      <c r="C11">
        <f t="shared" ref="C11:J12" si="6">100000+0.011*6000000</f>
        <v>166000</v>
      </c>
      <c r="D11">
        <f t="shared" si="6"/>
        <v>166000</v>
      </c>
      <c r="E11">
        <f t="shared" si="6"/>
        <v>166000</v>
      </c>
      <c r="F11">
        <f t="shared" si="6"/>
        <v>166000</v>
      </c>
      <c r="G11">
        <f t="shared" si="6"/>
        <v>166000</v>
      </c>
      <c r="H11">
        <f t="shared" si="6"/>
        <v>166000</v>
      </c>
      <c r="I11">
        <f t="shared" si="6"/>
        <v>166000</v>
      </c>
      <c r="J11">
        <f t="shared" si="6"/>
        <v>166000</v>
      </c>
    </row>
    <row r="12" spans="1:17" x14ac:dyDescent="0.2">
      <c r="A12" s="4" t="s">
        <v>35</v>
      </c>
      <c r="B12">
        <f>100000+0.011*6000000</f>
        <v>166000</v>
      </c>
      <c r="C12">
        <f t="shared" si="6"/>
        <v>166000</v>
      </c>
      <c r="D12">
        <f t="shared" si="6"/>
        <v>166000</v>
      </c>
      <c r="E12">
        <f t="shared" si="6"/>
        <v>166000</v>
      </c>
      <c r="F12">
        <f t="shared" si="6"/>
        <v>166000</v>
      </c>
      <c r="G12">
        <f t="shared" si="6"/>
        <v>166000</v>
      </c>
      <c r="H12">
        <f t="shared" si="6"/>
        <v>166000</v>
      </c>
      <c r="I12">
        <f t="shared" si="6"/>
        <v>166000</v>
      </c>
      <c r="J12">
        <f t="shared" si="6"/>
        <v>166000</v>
      </c>
    </row>
    <row r="13" spans="1:17" x14ac:dyDescent="0.2">
      <c r="A13" s="4" t="s">
        <v>9</v>
      </c>
      <c r="C13" s="2">
        <v>65266.666666666664</v>
      </c>
      <c r="D13" s="2">
        <v>27300</v>
      </c>
      <c r="E13" s="2"/>
      <c r="F13" s="2">
        <v>19000</v>
      </c>
      <c r="G13" s="2"/>
      <c r="H13" s="2">
        <v>16100</v>
      </c>
      <c r="I13" s="2"/>
      <c r="J13" s="2">
        <v>14650</v>
      </c>
      <c r="K13" s="2"/>
      <c r="L13" s="2"/>
      <c r="M13" s="2"/>
    </row>
    <row r="14" spans="1:17" x14ac:dyDescent="0.2">
      <c r="A14" s="4" t="s">
        <v>10</v>
      </c>
      <c r="B14">
        <f>146/0.86</f>
        <v>169.76744186046511</v>
      </c>
      <c r="C14">
        <f t="shared" ref="C14:J14" si="7">146/0.86</f>
        <v>169.76744186046511</v>
      </c>
      <c r="D14">
        <f t="shared" si="7"/>
        <v>169.76744186046511</v>
      </c>
      <c r="E14">
        <f t="shared" si="7"/>
        <v>169.76744186046511</v>
      </c>
      <c r="F14">
        <f t="shared" si="7"/>
        <v>169.76744186046511</v>
      </c>
      <c r="G14">
        <f t="shared" si="7"/>
        <v>169.76744186046511</v>
      </c>
      <c r="H14">
        <f t="shared" si="7"/>
        <v>169.76744186046511</v>
      </c>
      <c r="I14">
        <f t="shared" si="7"/>
        <v>169.76744186046511</v>
      </c>
      <c r="J14">
        <f t="shared" si="7"/>
        <v>169.76744186046511</v>
      </c>
    </row>
    <row r="15" spans="1:17" x14ac:dyDescent="0.2">
      <c r="A15" s="4" t="s">
        <v>11</v>
      </c>
      <c r="C15" s="2">
        <f>0.91*(5940000/25+198000)</f>
        <v>396396</v>
      </c>
      <c r="D15" s="2">
        <f>0.91*(4401000/25+147000)</f>
        <v>293966.40000000002</v>
      </c>
      <c r="E15" s="2">
        <f>0.91*(3498000/25+117000)</f>
        <v>233797.2</v>
      </c>
      <c r="F15" s="2">
        <f>0.91*(3267000/25+112000)</f>
        <v>220838.80000000002</v>
      </c>
      <c r="G15" s="2"/>
      <c r="H15" s="2"/>
      <c r="I15" s="2"/>
      <c r="J15" s="2"/>
    </row>
    <row r="16" spans="1:17" x14ac:dyDescent="0.2">
      <c r="A16" s="7" t="s">
        <v>12</v>
      </c>
      <c r="C16" s="2">
        <f>85*1000+50000*(4.6+11)</f>
        <v>865000</v>
      </c>
      <c r="D16" s="2"/>
      <c r="E16" s="2"/>
      <c r="F16" s="2"/>
      <c r="G16" s="2"/>
      <c r="H16" s="2"/>
      <c r="I16" s="2"/>
      <c r="J16" s="2">
        <f>47*1000+1000000*1.6/30</f>
        <v>100333.33333333334</v>
      </c>
    </row>
    <row r="17" spans="1:14" x14ac:dyDescent="0.2">
      <c r="A17" s="4" t="s">
        <v>13</v>
      </c>
      <c r="B17" s="4"/>
      <c r="C17" s="1"/>
      <c r="D17" s="1">
        <v>128518.51851851853</v>
      </c>
      <c r="E17" s="2">
        <v>104666.66666666666</v>
      </c>
      <c r="F17" s="2">
        <v>99000</v>
      </c>
      <c r="G17" s="2"/>
      <c r="H17" s="2">
        <v>90000</v>
      </c>
      <c r="I17" s="2"/>
      <c r="J17" s="2">
        <v>87666.666666666657</v>
      </c>
      <c r="K17" s="2"/>
      <c r="L17" s="2"/>
      <c r="M17" s="2"/>
    </row>
    <row r="18" spans="1:14" x14ac:dyDescent="0.2">
      <c r="A18" s="4" t="s">
        <v>14</v>
      </c>
      <c r="B18" s="1"/>
      <c r="D18">
        <v>57511</v>
      </c>
      <c r="E18">
        <v>61090</v>
      </c>
      <c r="F18">
        <v>54996</v>
      </c>
      <c r="H18">
        <v>52965</v>
      </c>
      <c r="J18">
        <v>51935</v>
      </c>
      <c r="K18" s="2"/>
      <c r="L18" s="2"/>
      <c r="M18" s="2"/>
    </row>
    <row r="19" spans="1:14" x14ac:dyDescent="0.2">
      <c r="A19" s="4" t="s">
        <v>15</v>
      </c>
      <c r="C19" s="2"/>
      <c r="D19" s="2">
        <v>230232</v>
      </c>
      <c r="E19" s="10"/>
      <c r="F19" s="2">
        <v>173256</v>
      </c>
      <c r="G19" s="2"/>
      <c r="H19" s="10"/>
      <c r="I19" s="10"/>
      <c r="J19" s="2"/>
    </row>
    <row r="20" spans="1:14" x14ac:dyDescent="0.2">
      <c r="A20" s="4" t="s">
        <v>16</v>
      </c>
      <c r="C20" s="2">
        <v>18566.963999999996</v>
      </c>
      <c r="D20" s="2">
        <v>18566.963999999996</v>
      </c>
      <c r="E20" s="10"/>
      <c r="F20" s="2">
        <v>26542.463999999996</v>
      </c>
      <c r="G20" s="2"/>
      <c r="H20" s="10"/>
      <c r="I20" s="10"/>
      <c r="J20" s="2">
        <v>26542.463999999996</v>
      </c>
      <c r="K20" s="2"/>
      <c r="L20" s="2"/>
      <c r="M20" s="2"/>
      <c r="N20" s="2"/>
    </row>
    <row r="21" spans="1:14" x14ac:dyDescent="0.2">
      <c r="A21" s="4" t="s">
        <v>17</v>
      </c>
      <c r="C21" s="2">
        <v>18566.963999999996</v>
      </c>
      <c r="D21" s="2">
        <v>18566.963999999996</v>
      </c>
      <c r="E21" s="10"/>
      <c r="F21" s="2">
        <v>26542.463999999996</v>
      </c>
      <c r="G21" s="2"/>
      <c r="H21" s="10"/>
      <c r="I21" s="10"/>
      <c r="J21" s="2">
        <v>26542.463999999996</v>
      </c>
    </row>
    <row r="22" spans="1:14" x14ac:dyDescent="0.2">
      <c r="A22" s="4" t="s">
        <v>18</v>
      </c>
      <c r="C22" s="2">
        <f>2000000/80+20000</f>
        <v>45000</v>
      </c>
      <c r="D22" s="2">
        <f t="shared" ref="D22:J22" si="8">2000000/80+20000</f>
        <v>45000</v>
      </c>
      <c r="E22" s="2">
        <f t="shared" si="8"/>
        <v>45000</v>
      </c>
      <c r="F22" s="2">
        <f t="shared" si="8"/>
        <v>45000</v>
      </c>
      <c r="G22" s="2">
        <f t="shared" si="8"/>
        <v>45000</v>
      </c>
      <c r="H22" s="2">
        <f t="shared" si="8"/>
        <v>45000</v>
      </c>
      <c r="I22" s="2">
        <f t="shared" si="8"/>
        <v>45000</v>
      </c>
      <c r="J22" s="2">
        <f t="shared" si="8"/>
        <v>45000</v>
      </c>
    </row>
    <row r="23" spans="1:14" x14ac:dyDescent="0.2">
      <c r="A23" s="4" t="s">
        <v>19</v>
      </c>
      <c r="C23" s="2"/>
      <c r="D23" s="2">
        <v>230232</v>
      </c>
      <c r="E23" s="10"/>
      <c r="F23" s="2">
        <v>173256</v>
      </c>
      <c r="G23" s="2"/>
      <c r="H23" s="10"/>
      <c r="I23" s="10"/>
      <c r="J23" s="2"/>
    </row>
    <row r="24" spans="1:14" x14ac:dyDescent="0.2">
      <c r="A24" s="4" t="s">
        <v>36</v>
      </c>
      <c r="B24">
        <f t="shared" ref="B24:I25" si="9">800000/30+20000</f>
        <v>46666.666666666672</v>
      </c>
      <c r="C24">
        <f t="shared" si="9"/>
        <v>46666.666666666672</v>
      </c>
      <c r="D24">
        <f t="shared" si="9"/>
        <v>46666.666666666672</v>
      </c>
      <c r="E24">
        <f t="shared" si="9"/>
        <v>46666.666666666672</v>
      </c>
      <c r="F24">
        <f t="shared" si="9"/>
        <v>46666.666666666672</v>
      </c>
      <c r="G24">
        <f t="shared" si="9"/>
        <v>46666.666666666672</v>
      </c>
      <c r="H24">
        <f t="shared" si="9"/>
        <v>46666.666666666672</v>
      </c>
      <c r="I24">
        <f t="shared" si="9"/>
        <v>46666.666666666672</v>
      </c>
      <c r="J24">
        <f>800000/30+20000</f>
        <v>46666.666666666672</v>
      </c>
    </row>
    <row r="25" spans="1:14" x14ac:dyDescent="0.2">
      <c r="A25" s="4" t="s">
        <v>37</v>
      </c>
      <c r="B25">
        <f t="shared" si="9"/>
        <v>46666.666666666672</v>
      </c>
      <c r="C25">
        <f t="shared" si="9"/>
        <v>46666.666666666672</v>
      </c>
      <c r="D25">
        <f t="shared" si="9"/>
        <v>46666.666666666672</v>
      </c>
      <c r="E25">
        <f t="shared" si="9"/>
        <v>46666.666666666672</v>
      </c>
      <c r="F25">
        <f t="shared" si="9"/>
        <v>46666.666666666672</v>
      </c>
      <c r="G25">
        <f t="shared" si="9"/>
        <v>46666.666666666672</v>
      </c>
      <c r="H25">
        <f t="shared" si="9"/>
        <v>46666.666666666672</v>
      </c>
      <c r="I25">
        <f t="shared" si="9"/>
        <v>46666.666666666672</v>
      </c>
      <c r="J25">
        <f>800000/30+20000</f>
        <v>46666.666666666672</v>
      </c>
    </row>
    <row r="26" spans="1:14" x14ac:dyDescent="0.2">
      <c r="A26" t="s">
        <v>38</v>
      </c>
      <c r="B26">
        <f>400000/40+6000</f>
        <v>16000</v>
      </c>
      <c r="C26">
        <f t="shared" ref="C26:J27" si="10">400000/40+6000</f>
        <v>16000</v>
      </c>
      <c r="D26">
        <f t="shared" si="10"/>
        <v>16000</v>
      </c>
      <c r="E26">
        <f t="shared" si="10"/>
        <v>16000</v>
      </c>
      <c r="F26">
        <f t="shared" si="10"/>
        <v>16000</v>
      </c>
      <c r="G26">
        <f t="shared" si="10"/>
        <v>16000</v>
      </c>
      <c r="H26">
        <f t="shared" si="10"/>
        <v>16000</v>
      </c>
      <c r="I26">
        <f t="shared" si="10"/>
        <v>16000</v>
      </c>
      <c r="J26">
        <f t="shared" si="10"/>
        <v>16000</v>
      </c>
    </row>
    <row r="27" spans="1:14" x14ac:dyDescent="0.2">
      <c r="A27" t="s">
        <v>39</v>
      </c>
      <c r="B27">
        <f>400000/40+6000</f>
        <v>16000</v>
      </c>
      <c r="C27">
        <f t="shared" si="10"/>
        <v>16000</v>
      </c>
      <c r="D27">
        <f t="shared" si="10"/>
        <v>16000</v>
      </c>
      <c r="E27">
        <f t="shared" si="10"/>
        <v>16000</v>
      </c>
      <c r="F27">
        <f t="shared" si="10"/>
        <v>16000</v>
      </c>
      <c r="G27">
        <f t="shared" si="10"/>
        <v>16000</v>
      </c>
      <c r="H27">
        <f t="shared" si="10"/>
        <v>16000</v>
      </c>
      <c r="I27">
        <f t="shared" si="10"/>
        <v>16000</v>
      </c>
      <c r="J27">
        <f t="shared" si="10"/>
        <v>16000</v>
      </c>
    </row>
    <row r="28" spans="1:14" x14ac:dyDescent="0.2">
      <c r="A28" t="s">
        <v>33</v>
      </c>
      <c r="B28">
        <f>1250000/40+27500</f>
        <v>58750</v>
      </c>
      <c r="C28">
        <f t="shared" ref="C28:J28" si="11">1250000/40+27500</f>
        <v>58750</v>
      </c>
      <c r="D28">
        <f t="shared" si="11"/>
        <v>58750</v>
      </c>
      <c r="E28">
        <f t="shared" si="11"/>
        <v>58750</v>
      </c>
      <c r="F28">
        <f t="shared" si="11"/>
        <v>58750</v>
      </c>
      <c r="G28">
        <f t="shared" si="11"/>
        <v>58750</v>
      </c>
      <c r="H28">
        <f t="shared" si="11"/>
        <v>58750</v>
      </c>
      <c r="I28">
        <f t="shared" si="11"/>
        <v>58750</v>
      </c>
      <c r="J28">
        <f t="shared" si="11"/>
        <v>58750</v>
      </c>
    </row>
    <row r="29" spans="1:14" x14ac:dyDescent="0.2">
      <c r="A29" t="s">
        <v>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AD02-A098-9940-B453-BA6FE327A5A5}">
  <dimension ref="A1:J22"/>
  <sheetViews>
    <sheetView workbookViewId="0">
      <selection sqref="A1:J1"/>
    </sheetView>
  </sheetViews>
  <sheetFormatPr baseColWidth="10" defaultColWidth="10.6640625" defaultRowHeight="16" x14ac:dyDescent="0.2"/>
  <sheetData>
    <row r="1" spans="1:10" x14ac:dyDescent="0.2">
      <c r="A1" s="1"/>
      <c r="B1">
        <v>83793.770178400009</v>
      </c>
      <c r="C1">
        <v>58997.493761629637</v>
      </c>
      <c r="E1">
        <v>50262.083804133334</v>
      </c>
      <c r="G1">
        <v>47063.458668389336</v>
      </c>
      <c r="I1">
        <v>46086.573598120005</v>
      </c>
      <c r="J1" s="2"/>
    </row>
    <row r="2" spans="1:10" x14ac:dyDescent="0.2">
      <c r="B2" s="2"/>
      <c r="C2" s="2"/>
      <c r="D2" s="2"/>
      <c r="E2" s="2"/>
      <c r="F2" s="2"/>
      <c r="G2" s="2"/>
      <c r="H2" s="2"/>
      <c r="I2" s="2"/>
    </row>
    <row r="3" spans="1:10" x14ac:dyDescent="0.2">
      <c r="B3" s="2"/>
      <c r="C3" s="2"/>
      <c r="D3" s="2"/>
      <c r="E3" s="2"/>
      <c r="F3" s="2"/>
      <c r="G3" s="2"/>
      <c r="H3" s="2"/>
      <c r="I3" s="2"/>
    </row>
    <row r="4" spans="1:10" x14ac:dyDescent="0.2">
      <c r="A4" s="3"/>
    </row>
    <row r="6" spans="1:10" x14ac:dyDescent="0.2">
      <c r="A6" s="2"/>
      <c r="B6" s="2"/>
      <c r="C6" s="2"/>
    </row>
    <row r="7" spans="1:10" x14ac:dyDescent="0.2">
      <c r="A7" s="2"/>
      <c r="B7" s="2"/>
      <c r="C7" s="2"/>
      <c r="D7" s="2"/>
      <c r="E7" s="2"/>
      <c r="F7" s="2"/>
      <c r="G7" s="2"/>
      <c r="H7" s="2"/>
      <c r="I7" s="2"/>
    </row>
    <row r="8" spans="1:10" x14ac:dyDescent="0.2">
      <c r="A8" s="2"/>
      <c r="B8" s="2"/>
      <c r="C8" s="2"/>
      <c r="D8" s="2"/>
      <c r="E8" s="2"/>
      <c r="F8" s="2"/>
      <c r="G8" s="2"/>
      <c r="H8" s="2"/>
      <c r="I8" s="2"/>
    </row>
    <row r="12" spans="1:10" x14ac:dyDescent="0.2">
      <c r="B12" s="2"/>
      <c r="C12" s="2"/>
      <c r="D12" s="2"/>
      <c r="E12" s="2"/>
      <c r="F12" s="2"/>
      <c r="G12" s="2"/>
      <c r="H12" s="2"/>
      <c r="I12" s="2"/>
    </row>
    <row r="13" spans="1:10" x14ac:dyDescent="0.2">
      <c r="B13" s="2"/>
      <c r="C13" s="2"/>
      <c r="D13" s="2"/>
      <c r="E13" s="2"/>
      <c r="F13" s="2"/>
      <c r="G13" s="2"/>
      <c r="H13" s="2"/>
      <c r="I13" s="2"/>
    </row>
    <row r="14" spans="1:10" x14ac:dyDescent="0.2">
      <c r="B14" s="2"/>
      <c r="C14" s="2"/>
      <c r="D14" s="2"/>
      <c r="E14" s="2"/>
      <c r="F14" s="2"/>
      <c r="G14" s="2"/>
      <c r="H14" s="2"/>
      <c r="I14" s="2"/>
    </row>
    <row r="15" spans="1:10" x14ac:dyDescent="0.2">
      <c r="B15" s="2"/>
      <c r="C15" s="2"/>
      <c r="D15" s="2"/>
      <c r="E15" s="2"/>
      <c r="F15" s="2"/>
      <c r="G15" s="2"/>
      <c r="H15" s="2"/>
      <c r="I15" s="2"/>
    </row>
    <row r="16" spans="1:10" x14ac:dyDescent="0.2">
      <c r="A16" s="1"/>
      <c r="B16" s="1"/>
      <c r="C16" s="2"/>
      <c r="D16" s="2"/>
      <c r="E16" s="2"/>
      <c r="F16" s="2"/>
      <c r="G16" s="2"/>
      <c r="H16" s="2"/>
      <c r="I16" s="2"/>
    </row>
    <row r="17" spans="1:9" x14ac:dyDescent="0.2">
      <c r="A17" s="1"/>
    </row>
    <row r="18" spans="1:9" x14ac:dyDescent="0.2">
      <c r="B18" s="2"/>
      <c r="C18" s="2"/>
      <c r="D18" s="10"/>
      <c r="E18" s="2"/>
      <c r="F18" s="2"/>
      <c r="G18" s="10"/>
      <c r="H18" s="10"/>
      <c r="I18" s="2"/>
    </row>
    <row r="19" spans="1:9" x14ac:dyDescent="0.2">
      <c r="B19" s="2"/>
      <c r="C19" s="2"/>
      <c r="D19" s="10"/>
      <c r="E19" s="2"/>
      <c r="F19" s="2"/>
      <c r="G19" s="10"/>
      <c r="H19" s="10"/>
      <c r="I19" s="2"/>
    </row>
    <row r="20" spans="1:9" x14ac:dyDescent="0.2">
      <c r="B20" s="2"/>
      <c r="C20" s="2"/>
      <c r="D20" s="10"/>
      <c r="E20" s="2"/>
      <c r="F20" s="2"/>
      <c r="G20" s="10"/>
      <c r="H20" s="10"/>
      <c r="I20" s="2"/>
    </row>
    <row r="21" spans="1:9" x14ac:dyDescent="0.2">
      <c r="B21" s="2"/>
      <c r="C21" s="2"/>
      <c r="D21" s="2"/>
      <c r="E21" s="2"/>
      <c r="F21" s="2"/>
      <c r="G21" s="2"/>
      <c r="H21" s="2"/>
      <c r="I21" s="2"/>
    </row>
    <row r="22" spans="1:9" x14ac:dyDescent="0.2">
      <c r="B22" s="2"/>
      <c r="C22" s="2"/>
      <c r="D22" s="10"/>
      <c r="E22" s="2"/>
      <c r="F22" s="2"/>
      <c r="G22" s="10"/>
      <c r="H22" s="10"/>
      <c r="I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DA44-8B45-3140-BF8E-07DB6CEE82D4}">
  <dimension ref="A1:I27"/>
  <sheetViews>
    <sheetView topLeftCell="A5" workbookViewId="0">
      <selection activeCell="H12" sqref="H12"/>
    </sheetView>
  </sheetViews>
  <sheetFormatPr baseColWidth="10" defaultColWidth="10.6640625" defaultRowHeight="16" x14ac:dyDescent="0.2"/>
  <sheetData>
    <row r="1" spans="1:9" x14ac:dyDescent="0.2">
      <c r="A1" s="8" t="s">
        <v>31</v>
      </c>
    </row>
    <row r="3" spans="1:9" x14ac:dyDescent="0.2">
      <c r="A3" s="4" t="s">
        <v>0</v>
      </c>
      <c r="B3" t="s">
        <v>21</v>
      </c>
      <c r="C3" t="s">
        <v>30</v>
      </c>
      <c r="E3" t="s">
        <v>42</v>
      </c>
      <c r="H3" t="s">
        <v>49</v>
      </c>
    </row>
    <row r="4" spans="1:9" x14ac:dyDescent="0.2">
      <c r="A4" s="4" t="s">
        <v>1</v>
      </c>
      <c r="B4" t="s">
        <v>21</v>
      </c>
      <c r="C4" t="s">
        <v>30</v>
      </c>
      <c r="E4" t="s">
        <v>42</v>
      </c>
      <c r="H4" t="s">
        <v>49</v>
      </c>
    </row>
    <row r="5" spans="1:9" x14ac:dyDescent="0.2">
      <c r="A5" s="4" t="s">
        <v>2</v>
      </c>
      <c r="B5" t="s">
        <v>21</v>
      </c>
      <c r="C5" t="s">
        <v>30</v>
      </c>
      <c r="E5" t="s">
        <v>42</v>
      </c>
      <c r="H5" t="s">
        <v>49</v>
      </c>
    </row>
    <row r="6" spans="1:9" x14ac:dyDescent="0.2">
      <c r="A6" s="4" t="s">
        <v>3</v>
      </c>
      <c r="B6" t="s">
        <v>21</v>
      </c>
      <c r="C6" t="s">
        <v>30</v>
      </c>
      <c r="E6" t="s">
        <v>42</v>
      </c>
      <c r="H6" t="s">
        <v>50</v>
      </c>
    </row>
    <row r="7" spans="1:9" x14ac:dyDescent="0.2">
      <c r="A7" s="4" t="s">
        <v>4</v>
      </c>
      <c r="B7" t="s">
        <v>22</v>
      </c>
      <c r="E7" t="s">
        <v>44</v>
      </c>
    </row>
    <row r="8" spans="1:9" x14ac:dyDescent="0.2">
      <c r="A8" s="4" t="s">
        <v>5</v>
      </c>
      <c r="B8" s="9" t="s">
        <v>26</v>
      </c>
      <c r="I8" t="s">
        <v>43</v>
      </c>
    </row>
    <row r="9" spans="1:9" x14ac:dyDescent="0.2">
      <c r="A9" s="6" t="s">
        <v>6</v>
      </c>
      <c r="B9" t="s">
        <v>21</v>
      </c>
      <c r="D9" t="s">
        <v>46</v>
      </c>
    </row>
    <row r="10" spans="1:9" x14ac:dyDescent="0.2">
      <c r="A10" s="4" t="s">
        <v>7</v>
      </c>
      <c r="B10" t="s">
        <v>22</v>
      </c>
      <c r="C10" t="s">
        <v>30</v>
      </c>
      <c r="E10" t="s">
        <v>48</v>
      </c>
    </row>
    <row r="11" spans="1:9" x14ac:dyDescent="0.2">
      <c r="A11" s="4" t="s">
        <v>8</v>
      </c>
      <c r="B11" t="s">
        <v>21</v>
      </c>
      <c r="C11" t="s">
        <v>30</v>
      </c>
      <c r="E11" t="s">
        <v>47</v>
      </c>
      <c r="G11" t="s">
        <v>52</v>
      </c>
    </row>
    <row r="12" spans="1:9" x14ac:dyDescent="0.2">
      <c r="A12" s="4" t="s">
        <v>9</v>
      </c>
      <c r="B12" t="s">
        <v>22</v>
      </c>
    </row>
    <row r="13" spans="1:9" x14ac:dyDescent="0.2">
      <c r="A13" s="4" t="s">
        <v>10</v>
      </c>
      <c r="B13" t="s">
        <v>28</v>
      </c>
    </row>
    <row r="14" spans="1:9" x14ac:dyDescent="0.2">
      <c r="A14" s="4" t="s">
        <v>11</v>
      </c>
      <c r="B14" t="s">
        <v>27</v>
      </c>
      <c r="C14" t="s">
        <v>29</v>
      </c>
    </row>
    <row r="15" spans="1:9" x14ac:dyDescent="0.2">
      <c r="A15" s="7" t="s">
        <v>12</v>
      </c>
      <c r="B15" t="s">
        <v>22</v>
      </c>
    </row>
    <row r="16" spans="1:9" x14ac:dyDescent="0.2">
      <c r="A16" s="4" t="s">
        <v>13</v>
      </c>
      <c r="B16" t="s">
        <v>22</v>
      </c>
    </row>
    <row r="17" spans="1:5" x14ac:dyDescent="0.2">
      <c r="A17" s="4" t="s">
        <v>14</v>
      </c>
      <c r="B17" t="s">
        <v>22</v>
      </c>
    </row>
    <row r="18" spans="1:5" x14ac:dyDescent="0.2">
      <c r="A18" s="4" t="s">
        <v>15</v>
      </c>
      <c r="C18" t="s">
        <v>25</v>
      </c>
    </row>
    <row r="19" spans="1:5" x14ac:dyDescent="0.2">
      <c r="A19" s="4" t="s">
        <v>16</v>
      </c>
      <c r="B19" t="s">
        <v>22</v>
      </c>
    </row>
    <row r="20" spans="1:5" x14ac:dyDescent="0.2">
      <c r="A20" s="4" t="s">
        <v>17</v>
      </c>
      <c r="B20" t="s">
        <v>22</v>
      </c>
      <c r="C20" t="s">
        <v>25</v>
      </c>
    </row>
    <row r="21" spans="1:5" x14ac:dyDescent="0.2">
      <c r="A21" s="4" t="s">
        <v>18</v>
      </c>
      <c r="B21" t="s">
        <v>21</v>
      </c>
    </row>
    <row r="22" spans="1:5" x14ac:dyDescent="0.2">
      <c r="A22" s="4" t="s">
        <v>19</v>
      </c>
      <c r="C22" t="s">
        <v>25</v>
      </c>
    </row>
    <row r="23" spans="1:5" x14ac:dyDescent="0.2">
      <c r="A23" s="4" t="s">
        <v>23</v>
      </c>
      <c r="B23" t="s">
        <v>21</v>
      </c>
      <c r="C23" t="s">
        <v>30</v>
      </c>
      <c r="E23" t="s">
        <v>50</v>
      </c>
    </row>
    <row r="24" spans="1:5" x14ac:dyDescent="0.2">
      <c r="A24" t="s">
        <v>20</v>
      </c>
      <c r="B24" t="s">
        <v>21</v>
      </c>
      <c r="C24" t="s">
        <v>30</v>
      </c>
    </row>
    <row r="25" spans="1:5" x14ac:dyDescent="0.2">
      <c r="A25" t="s">
        <v>24</v>
      </c>
      <c r="B25" t="s">
        <v>21</v>
      </c>
      <c r="C25" t="s">
        <v>30</v>
      </c>
    </row>
    <row r="27" spans="1:5" x14ac:dyDescent="0.2">
      <c r="B27" t="s">
        <v>45</v>
      </c>
    </row>
  </sheetData>
  <hyperlinks>
    <hyperlink ref="B8" r:id="rId1" xr:uid="{A056380C-E89C-DC4A-A267-A91CAD9BAA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Capex costs</vt:lpstr>
      <vt:lpstr>Sheet2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Campbell</dc:creator>
  <cp:lastModifiedBy>Thomas Campbell</cp:lastModifiedBy>
  <dcterms:created xsi:type="dcterms:W3CDTF">2023-12-30T12:28:48Z</dcterms:created>
  <dcterms:modified xsi:type="dcterms:W3CDTF">2024-04-03T10:17:43Z</dcterms:modified>
</cp:coreProperties>
</file>