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ravo_4e3\OneDrive\Documents\GitHub\443_design_problem\drag_buildup\derivatives\"/>
    </mc:Choice>
  </mc:AlternateContent>
  <xr:revisionPtr revIDLastSave="0" documentId="13_ncr:1_{23E2246D-C694-4B87-86DC-03370F641380}" xr6:coauthVersionLast="47" xr6:coauthVersionMax="47" xr10:uidLastSave="{00000000-0000-0000-0000-000000000000}"/>
  <bookViews>
    <workbookView xWindow="-93" yWindow="-93" windowWidth="25786" windowHeight="13986" xr2:uid="{FADF4127-3137-4FB6-88FA-242C48EF07EE}"/>
  </bookViews>
  <sheets>
    <sheet name="Input Equations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1" i="3" l="1"/>
  <c r="F61" i="3"/>
  <c r="C139" i="3"/>
  <c r="C104" i="3"/>
  <c r="C40" i="3"/>
  <c r="C101" i="3"/>
  <c r="C100" i="3"/>
  <c r="C99" i="3"/>
  <c r="C98" i="3"/>
  <c r="C97" i="3"/>
  <c r="C96" i="3"/>
  <c r="C95" i="3"/>
  <c r="C94" i="3"/>
  <c r="C137" i="3"/>
  <c r="C136" i="3"/>
  <c r="C135" i="3"/>
  <c r="C134" i="3"/>
  <c r="C133" i="3"/>
  <c r="C132" i="3"/>
  <c r="C131" i="3"/>
  <c r="C130" i="3"/>
  <c r="C70" i="3"/>
  <c r="C62" i="3"/>
  <c r="C60" i="3"/>
  <c r="C63" i="3" s="1"/>
  <c r="C56" i="3"/>
  <c r="C110" i="3"/>
  <c r="C22" i="3"/>
  <c r="C23" i="3" s="1"/>
  <c r="C33" i="3"/>
  <c r="C36" i="3"/>
  <c r="C35" i="3"/>
  <c r="C34" i="3"/>
  <c r="C32" i="3"/>
  <c r="C31" i="3"/>
  <c r="C30" i="3"/>
  <c r="C29" i="3"/>
  <c r="C28" i="3"/>
  <c r="C125" i="3"/>
  <c r="C71" i="3" s="1"/>
  <c r="C121" i="3"/>
  <c r="C128" i="3" s="1"/>
  <c r="C107" i="3"/>
  <c r="C120" i="3" s="1"/>
  <c r="C106" i="3"/>
  <c r="C119" i="3" s="1"/>
  <c r="C80" i="3"/>
  <c r="C79" i="3"/>
  <c r="C89" i="3"/>
  <c r="C21" i="3"/>
  <c r="C20" i="3"/>
  <c r="C19" i="3"/>
  <c r="C51" i="3" s="1"/>
  <c r="C85" i="3"/>
  <c r="C86" i="3" s="1"/>
  <c r="C82" i="3"/>
  <c r="C83" i="3" s="1"/>
  <c r="C49" i="3"/>
  <c r="C66" i="3" l="1"/>
  <c r="C50" i="3"/>
</calcChain>
</file>

<file path=xl/sharedStrings.xml><?xml version="1.0" encoding="utf-8"?>
<sst xmlns="http://schemas.openxmlformats.org/spreadsheetml/2006/main" count="375" uniqueCount="229">
  <si>
    <t>S</t>
  </si>
  <si>
    <t>C_root</t>
  </si>
  <si>
    <t>C_tip</t>
  </si>
  <si>
    <t>cbar</t>
  </si>
  <si>
    <t>Plane property numbers</t>
  </si>
  <si>
    <t>Name</t>
  </si>
  <si>
    <t>Variable</t>
  </si>
  <si>
    <t>V</t>
  </si>
  <si>
    <t>h</t>
  </si>
  <si>
    <t>Max Cruise speed</t>
  </si>
  <si>
    <t>Wing Area</t>
  </si>
  <si>
    <t>altitude</t>
  </si>
  <si>
    <t>ft^2</t>
  </si>
  <si>
    <t>kts</t>
  </si>
  <si>
    <t>ft</t>
  </si>
  <si>
    <t>MAC</t>
  </si>
  <si>
    <t xml:space="preserve">Chord Root length </t>
  </si>
  <si>
    <t>Chord tip length</t>
  </si>
  <si>
    <t>lf</t>
  </si>
  <si>
    <t>la</t>
  </si>
  <si>
    <t>lb</t>
  </si>
  <si>
    <t>lc</t>
  </si>
  <si>
    <t>length fuselage</t>
  </si>
  <si>
    <t>length nose</t>
  </si>
  <si>
    <t>length cylinder portion</t>
  </si>
  <si>
    <t>length tail</t>
  </si>
  <si>
    <t>Sweep Angle</t>
  </si>
  <si>
    <t>Lambda_0</t>
  </si>
  <si>
    <t>degrees</t>
  </si>
  <si>
    <t>Value</t>
  </si>
  <si>
    <t>S_aileron</t>
  </si>
  <si>
    <t>cbar_aileron</t>
  </si>
  <si>
    <t>cbarbar_aileron</t>
  </si>
  <si>
    <t>cbarbar</t>
  </si>
  <si>
    <t>MGC</t>
  </si>
  <si>
    <t>S_elevator</t>
  </si>
  <si>
    <t>cbar_elevator</t>
  </si>
  <si>
    <t>cbarbar_elevator</t>
  </si>
  <si>
    <t>S_rudder</t>
  </si>
  <si>
    <t>cbar_rudder</t>
  </si>
  <si>
    <t>cbarbar_rudder</t>
  </si>
  <si>
    <t>Span</t>
  </si>
  <si>
    <t>b</t>
  </si>
  <si>
    <t>mean geometric chord</t>
  </si>
  <si>
    <t>area of elevator</t>
  </si>
  <si>
    <t xml:space="preserve">Assume no taper mean aerodynamic chord </t>
  </si>
  <si>
    <t>Root thickness</t>
  </si>
  <si>
    <t>Tip thickness</t>
  </si>
  <si>
    <t>t_root</t>
  </si>
  <si>
    <t>t_tail</t>
  </si>
  <si>
    <t>Aspect Ratio</t>
  </si>
  <si>
    <t>A</t>
  </si>
  <si>
    <t>NA</t>
  </si>
  <si>
    <t>Plane Wing Geometry</t>
  </si>
  <si>
    <t>sweep angle at 1/4c</t>
  </si>
  <si>
    <t>sweep angle at 1/2c</t>
  </si>
  <si>
    <t>deg</t>
  </si>
  <si>
    <t>Lambda_quarter</t>
  </si>
  <si>
    <t>Lambda_half</t>
  </si>
  <si>
    <t>Sweep angle at TE</t>
  </si>
  <si>
    <t>sweep angle at LE</t>
  </si>
  <si>
    <t>Lambda_te</t>
  </si>
  <si>
    <t>root thickness tail</t>
  </si>
  <si>
    <t>tip thickness tail</t>
  </si>
  <si>
    <t>Fuselage Section Geometry</t>
  </si>
  <si>
    <t>Area of rudder</t>
  </si>
  <si>
    <t>b_tail</t>
  </si>
  <si>
    <t>Lambda_Tail_half</t>
  </si>
  <si>
    <t>Sweep angle of tail</t>
  </si>
  <si>
    <t>t_Tail_root</t>
  </si>
  <si>
    <t>t_Tail_tip</t>
  </si>
  <si>
    <t>C_Tail_root</t>
  </si>
  <si>
    <t>C_Tail_tip</t>
  </si>
  <si>
    <t>C_Vert_tip</t>
  </si>
  <si>
    <t>C_Vert_root</t>
  </si>
  <si>
    <t>t_Vert_tip</t>
  </si>
  <si>
    <t>cbar_Vert</t>
  </si>
  <si>
    <t>cbarbar_Vert</t>
  </si>
  <si>
    <t>area of vert stab</t>
  </si>
  <si>
    <t>S_Vert</t>
  </si>
  <si>
    <t>t_Vert_root</t>
  </si>
  <si>
    <t>b_Vert</t>
  </si>
  <si>
    <t>Sweep angle of LE tail</t>
  </si>
  <si>
    <t>Sweep angle of TE tail</t>
  </si>
  <si>
    <t>degree</t>
  </si>
  <si>
    <t>Vertical Tail Section Geometry</t>
  </si>
  <si>
    <t>Horizontal Tail Section Geometry</t>
  </si>
  <si>
    <t>Lambda_Vert_half</t>
  </si>
  <si>
    <t>h_H</t>
  </si>
  <si>
    <t>vertical distance between wing mac and tail mac</t>
  </si>
  <si>
    <t>length of nose</t>
  </si>
  <si>
    <t>length of cylindrical portion</t>
  </si>
  <si>
    <t>length of tail</t>
  </si>
  <si>
    <t>S_C_wet</t>
  </si>
  <si>
    <t>wetted area of tail</t>
  </si>
  <si>
    <t>wetted area of center area</t>
  </si>
  <si>
    <t>wetted area of nose area</t>
  </si>
  <si>
    <t>wing m.a.c to horizontal tail m.a.c [ft]</t>
  </si>
  <si>
    <t>l_H</t>
  </si>
  <si>
    <t>epsilon_0</t>
  </si>
  <si>
    <t>Aerodynamic twist</t>
  </si>
  <si>
    <t xml:space="preserve">tail incidence </t>
  </si>
  <si>
    <t>Uncatagorized</t>
  </si>
  <si>
    <t>S_B_wet</t>
  </si>
  <si>
    <t>S_A_wet</t>
  </si>
  <si>
    <t>i_T</t>
  </si>
  <si>
    <t>V_Max</t>
  </si>
  <si>
    <t>Min speed</t>
  </si>
  <si>
    <t>Max speed</t>
  </si>
  <si>
    <t>V_Min</t>
  </si>
  <si>
    <t>AR</t>
  </si>
  <si>
    <t>lambda</t>
  </si>
  <si>
    <t>Taper Ratio</t>
  </si>
  <si>
    <t>Wing section 1</t>
  </si>
  <si>
    <t>S1</t>
  </si>
  <si>
    <t>Wing section 2</t>
  </si>
  <si>
    <t>Wing section 3</t>
  </si>
  <si>
    <t>Wing section 4</t>
  </si>
  <si>
    <t>S2</t>
  </si>
  <si>
    <t>S3</t>
  </si>
  <si>
    <t>S4</t>
  </si>
  <si>
    <t>With Chord Section 1</t>
  </si>
  <si>
    <t>With Chord Section 2</t>
  </si>
  <si>
    <t>With Chord Section 3</t>
  </si>
  <si>
    <t>With Chord Section 4</t>
  </si>
  <si>
    <t>cbarbar2</t>
  </si>
  <si>
    <t>cbarbar3</t>
  </si>
  <si>
    <t>cbarbar4</t>
  </si>
  <si>
    <t>cbarbar1</t>
  </si>
  <si>
    <t>epsilon_i</t>
  </si>
  <si>
    <t>local aerodynamic twist</t>
  </si>
  <si>
    <t>airfoil</t>
  </si>
  <si>
    <t>Airfoil Series</t>
  </si>
  <si>
    <t>begin</t>
  </si>
  <si>
    <t>ending</t>
  </si>
  <si>
    <t>AOA lower cap</t>
  </si>
  <si>
    <t>AOA upper cap</t>
  </si>
  <si>
    <t>alpha_0W_root</t>
  </si>
  <si>
    <t>iprime_r</t>
  </si>
  <si>
    <t>geometric incidence of the wing at the root</t>
  </si>
  <si>
    <t>zero lift angle of attack, 2D, at the wing root</t>
  </si>
  <si>
    <t>epsilon</t>
  </si>
  <si>
    <t>aerodynamic twist of the wing</t>
  </si>
  <si>
    <t>AOA</t>
  </si>
  <si>
    <t>alpha</t>
  </si>
  <si>
    <t>Se</t>
  </si>
  <si>
    <t>Area of downwash affected</t>
  </si>
  <si>
    <t>NACA 2412</t>
  </si>
  <si>
    <t>C_D0T</t>
  </si>
  <si>
    <t>Values to work on later</t>
  </si>
  <si>
    <t>additional drag from elevator</t>
  </si>
  <si>
    <t>Aspect ratio of tail</t>
  </si>
  <si>
    <t>MTOW</t>
  </si>
  <si>
    <t>W</t>
  </si>
  <si>
    <t>A_T</t>
  </si>
  <si>
    <t>Area of Horiz  Tail</t>
  </si>
  <si>
    <t>S_T</t>
  </si>
  <si>
    <t>Span of horizontal tail</t>
  </si>
  <si>
    <t>b_Horiz</t>
  </si>
  <si>
    <t>t_c</t>
  </si>
  <si>
    <t>Horizontal Tail thickness ratio</t>
  </si>
  <si>
    <t>cf_C</t>
  </si>
  <si>
    <t>Elevator chord</t>
  </si>
  <si>
    <t>cf</t>
  </si>
  <si>
    <t>FlapCHord/WingChord</t>
  </si>
  <si>
    <t>06-Drag</t>
  </si>
  <si>
    <t>S_CAB</t>
  </si>
  <si>
    <t>wetted area of A,B,C</t>
  </si>
  <si>
    <t>Lambda_f</t>
  </si>
  <si>
    <t>fuselage tail incidence angle</t>
  </si>
  <si>
    <t>alpha_0B</t>
  </si>
  <si>
    <t>zero lift angle of fuselage</t>
  </si>
  <si>
    <t>Se_S</t>
  </si>
  <si>
    <t>ratio of wing not covered by the fuselage to the total wing area, estimation from online</t>
  </si>
  <si>
    <t>Units</t>
  </si>
  <si>
    <t>cross sectional area of the largest diameter part of the fuselage</t>
  </si>
  <si>
    <t>A_area</t>
  </si>
  <si>
    <t>Diameter of the above area, assumed to be a circle</t>
  </si>
  <si>
    <t>D</t>
  </si>
  <si>
    <t>sq ft</t>
  </si>
  <si>
    <t>planform area of the EBR behind point where shedding vortices start appearing</t>
  </si>
  <si>
    <t>S_P_x0</t>
  </si>
  <si>
    <t>slenderness of the fuselage</t>
  </si>
  <si>
    <t>lf_D</t>
  </si>
  <si>
    <t>dimensionless</t>
  </si>
  <si>
    <t>Wing-Body Geometry</t>
  </si>
  <si>
    <t>ratio of max fuse diameter to wing span</t>
  </si>
  <si>
    <t>D_b</t>
  </si>
  <si>
    <t>Wing-Tail Geometry</t>
  </si>
  <si>
    <t>arm factor</t>
  </si>
  <si>
    <t>tail factor</t>
  </si>
  <si>
    <t>armfactor</t>
  </si>
  <si>
    <t>tailfactor</t>
  </si>
  <si>
    <t>General Tail Geometry</t>
  </si>
  <si>
    <t>alpha_V</t>
  </si>
  <si>
    <t>alpha of vertical tail (0 for straight leveled flight)</t>
  </si>
  <si>
    <t>airfoil_tailhorizontal</t>
  </si>
  <si>
    <t>NACA 0012</t>
  </si>
  <si>
    <t>NA (note this does not import properly into matlab</t>
  </si>
  <si>
    <t>Dimensionless note this does not import properly into matlab</t>
  </si>
  <si>
    <t>S1_horizontal</t>
  </si>
  <si>
    <t>S2_horizontal</t>
  </si>
  <si>
    <t>S3_horizontal</t>
  </si>
  <si>
    <t>S4_horizontal</t>
  </si>
  <si>
    <t>cbarbar1_horizontal</t>
  </si>
  <si>
    <t>cbarbar2_horizontal</t>
  </si>
  <si>
    <t>cbarbar3_horizontal</t>
  </si>
  <si>
    <t>cbarbar4_horizontal</t>
  </si>
  <si>
    <t>S1_vertical</t>
  </si>
  <si>
    <t>S2_vertical</t>
  </si>
  <si>
    <t>S3_vertical</t>
  </si>
  <si>
    <t>S4_vertical</t>
  </si>
  <si>
    <t>cbarbar1_vertical</t>
  </si>
  <si>
    <t>cbarbar2_vertical</t>
  </si>
  <si>
    <t>cbarbar3_vertical</t>
  </si>
  <si>
    <t>cbarbar4_vertical</t>
  </si>
  <si>
    <t>epsilon_i_vertical</t>
  </si>
  <si>
    <t>radians</t>
  </si>
  <si>
    <t>airfoil_vertical</t>
  </si>
  <si>
    <t>effective area of vertical tail</t>
  </si>
  <si>
    <t>effective area of the horizontal tail</t>
  </si>
  <si>
    <t>STe_V</t>
  </si>
  <si>
    <t>STe</t>
  </si>
  <si>
    <t>actual incidence angle of corsair</t>
  </si>
  <si>
    <t>&lt;-- Previous method</t>
  </si>
  <si>
    <t>Drag Build Up</t>
  </si>
  <si>
    <t>Drag const - Drop tank (n)</t>
  </si>
  <si>
    <t>drag_tankWpylon</t>
  </si>
  <si>
    <t>dragCONST_pylon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</si>
</sst>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name val="Aptos Narrow"/>
      <family val="2"/>
      <scheme val="minor"/>
    </font>
    <font>
      <sz val="11"/>
      <name val="Aptos Narrow"/>
      <family val="2"/>
      <scheme val="minor"/>
    </font>
    <font>
      <sz val="10"/>
      <color theme="1"/>
      <name val="Consolas"/>
      <family val="3"/>
    </font>
    <font>
      <sz val="8"/>
      <name val="Aptos Narrow"/>
      <family val="2"/>
      <scheme val="minor"/>
    </font>
    <font>
      <sz val="11"/>
      <color theme="1"/>
      <name val="Aptos Narrow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wrapText="1"/>
    </xf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6" xfId="0" applyBorder="1" applyAlignment="1">
      <alignment wrapText="1"/>
    </xf>
    <xf numFmtId="0" fontId="1" fillId="0" borderId="0" xfId="0" applyFont="1" applyAlignment="1">
      <alignment wrapText="1"/>
    </xf>
    <xf numFmtId="0" fontId="4" fillId="0" borderId="0" xfId="0" applyFont="1" applyAlignment="1">
      <alignment horizontal="left" vertical="center" wrapText="1"/>
    </xf>
    <xf numFmtId="0" fontId="0" fillId="2" borderId="0" xfId="0" applyFill="1" applyAlignment="1">
      <alignment wrapText="1"/>
    </xf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wrapText="1"/>
    </xf>
    <xf numFmtId="0" fontId="0" fillId="0" borderId="1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0" xfId="0" applyAlignment="1">
      <alignment horizontal="center" wrapText="1"/>
    </xf>
    <xf numFmtId="0" fontId="0" fillId="3" borderId="4" xfId="0" applyFill="1" applyBorder="1" applyAlignment="1">
      <alignment wrapText="1"/>
    </xf>
    <xf numFmtId="0" fontId="0" fillId="3" borderId="5" xfId="0" applyFill="1" applyBorder="1" applyAlignment="1">
      <alignment wrapText="1"/>
    </xf>
    <xf numFmtId="0" fontId="0" fillId="3" borderId="6" xfId="0" applyFill="1" applyBorder="1" applyAlignment="1">
      <alignment wrapText="1"/>
    </xf>
    <xf numFmtId="0" fontId="6" fillId="0" borderId="0" xfId="0" applyFont="1" applyAlignment="1">
      <alignment wrapText="1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3" borderId="1" xfId="0" applyFill="1" applyBorder="1" applyAlignment="1">
      <alignment horizontal="center" wrapText="1"/>
    </xf>
    <xf numFmtId="0" fontId="0" fillId="3" borderId="2" xfId="0" applyFill="1" applyBorder="1" applyAlignment="1">
      <alignment horizontal="center" wrapText="1"/>
    </xf>
    <xf numFmtId="0" fontId="0" fillId="3" borderId="3" xfId="0" applyFill="1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9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E94DD-475C-4C1A-B69B-A897EE12FF00}">
  <dimension ref="A1:G172"/>
  <sheetViews>
    <sheetView tabSelected="1" zoomScale="85" zoomScaleNormal="85" workbookViewId="0">
      <pane ySplit="3" topLeftCell="A137" activePane="bottomLeft" state="frozen"/>
      <selection pane="bottomLeft" activeCell="B152" sqref="B152"/>
    </sheetView>
  </sheetViews>
  <sheetFormatPr defaultColWidth="8.8203125" defaultRowHeight="14.35" x14ac:dyDescent="0.5"/>
  <cols>
    <col min="1" max="1" width="15.17578125" bestFit="1" customWidth="1"/>
    <col min="2" max="2" width="14" bestFit="1" customWidth="1"/>
    <col min="3" max="3" width="11.64453125" bestFit="1" customWidth="1"/>
    <col min="6" max="6" width="16" bestFit="1" customWidth="1"/>
  </cols>
  <sheetData>
    <row r="1" spans="1:4" ht="14.7" thickBot="1" x14ac:dyDescent="0.55000000000000004"/>
    <row r="2" spans="1:4" ht="14.7" thickBot="1" x14ac:dyDescent="0.55000000000000004">
      <c r="A2" s="21" t="s">
        <v>4</v>
      </c>
      <c r="B2" s="22"/>
      <c r="C2" s="22"/>
      <c r="D2" s="23"/>
    </row>
    <row r="3" spans="1:4" ht="14.7" thickBot="1" x14ac:dyDescent="0.55000000000000004">
      <c r="A3" s="14" t="s">
        <v>5</v>
      </c>
      <c r="B3" s="15" t="s">
        <v>6</v>
      </c>
      <c r="C3" s="15" t="s">
        <v>29</v>
      </c>
      <c r="D3" s="16" t="s">
        <v>174</v>
      </c>
    </row>
    <row r="4" spans="1:4" x14ac:dyDescent="0.5">
      <c r="A4" s="1" t="s">
        <v>10</v>
      </c>
      <c r="B4" s="1" t="s">
        <v>0</v>
      </c>
      <c r="C4" s="1">
        <v>224</v>
      </c>
      <c r="D4" s="1" t="s">
        <v>12</v>
      </c>
    </row>
    <row r="5" spans="1:4" x14ac:dyDescent="0.5">
      <c r="A5" s="1" t="s">
        <v>9</v>
      </c>
      <c r="B5" s="1" t="s">
        <v>7</v>
      </c>
      <c r="C5" s="1">
        <v>280</v>
      </c>
      <c r="D5" s="1" t="s">
        <v>13</v>
      </c>
    </row>
    <row r="6" spans="1:4" x14ac:dyDescent="0.5">
      <c r="A6" s="1" t="s">
        <v>108</v>
      </c>
      <c r="B6" s="1" t="s">
        <v>106</v>
      </c>
      <c r="C6" s="1">
        <v>329</v>
      </c>
      <c r="D6" s="1" t="s">
        <v>13</v>
      </c>
    </row>
    <row r="7" spans="1:4" x14ac:dyDescent="0.5">
      <c r="A7" s="1" t="s">
        <v>107</v>
      </c>
      <c r="B7" s="1" t="s">
        <v>109</v>
      </c>
      <c r="C7" s="1">
        <v>67</v>
      </c>
      <c r="D7" s="1" t="s">
        <v>13</v>
      </c>
    </row>
    <row r="8" spans="1:4" x14ac:dyDescent="0.5">
      <c r="A8" s="1" t="s">
        <v>11</v>
      </c>
      <c r="B8" s="1" t="s">
        <v>8</v>
      </c>
      <c r="C8" s="1">
        <v>25000</v>
      </c>
      <c r="D8" s="1" t="s">
        <v>14</v>
      </c>
    </row>
    <row r="9" spans="1:4" x14ac:dyDescent="0.5">
      <c r="A9" s="1" t="s">
        <v>41</v>
      </c>
      <c r="B9" s="1" t="s">
        <v>42</v>
      </c>
      <c r="C9" s="1">
        <v>39.6</v>
      </c>
      <c r="D9" s="1" t="s">
        <v>14</v>
      </c>
    </row>
    <row r="10" spans="1:4" x14ac:dyDescent="0.5">
      <c r="A10" s="1" t="s">
        <v>143</v>
      </c>
      <c r="B10" s="1" t="s">
        <v>144</v>
      </c>
      <c r="C10" s="1">
        <v>5</v>
      </c>
      <c r="D10" s="1"/>
    </row>
    <row r="11" spans="1:4" x14ac:dyDescent="0.5">
      <c r="A11" s="1" t="s">
        <v>152</v>
      </c>
      <c r="B11" s="1" t="s">
        <v>153</v>
      </c>
      <c r="C11" s="1">
        <v>12430</v>
      </c>
      <c r="D11" s="1" t="s">
        <v>20</v>
      </c>
    </row>
    <row r="12" spans="1:4" x14ac:dyDescent="0.5">
      <c r="A12" s="1"/>
      <c r="B12" s="1"/>
      <c r="C12" s="1"/>
      <c r="D12" s="1"/>
    </row>
    <row r="13" spans="1:4" x14ac:dyDescent="0.5">
      <c r="A13" s="1"/>
      <c r="B13" s="1"/>
      <c r="C13" s="1"/>
      <c r="D13" s="1"/>
    </row>
    <row r="14" spans="1:4" ht="14.7" thickBot="1" x14ac:dyDescent="0.55000000000000004">
      <c r="A14" s="1"/>
      <c r="B14" s="1"/>
      <c r="C14" s="1"/>
      <c r="D14" s="1"/>
    </row>
    <row r="15" spans="1:4" ht="14.7" thickBot="1" x14ac:dyDescent="0.55000000000000004">
      <c r="A15" s="18" t="s">
        <v>53</v>
      </c>
      <c r="B15" s="19"/>
      <c r="C15" s="19"/>
      <c r="D15" s="20"/>
    </row>
    <row r="16" spans="1:4" x14ac:dyDescent="0.5">
      <c r="A16" s="1" t="s">
        <v>16</v>
      </c>
      <c r="B16" s="1" t="s">
        <v>1</v>
      </c>
      <c r="C16" s="1">
        <v>7.4</v>
      </c>
      <c r="D16" s="1" t="s">
        <v>14</v>
      </c>
    </row>
    <row r="17" spans="1:4" x14ac:dyDescent="0.5">
      <c r="A17" s="1" t="s">
        <v>17</v>
      </c>
      <c r="B17" s="1" t="s">
        <v>2</v>
      </c>
      <c r="C17" s="1">
        <v>3.5</v>
      </c>
      <c r="D17" s="1" t="s">
        <v>14</v>
      </c>
    </row>
    <row r="18" spans="1:4" x14ac:dyDescent="0.5">
      <c r="A18" s="1" t="s">
        <v>34</v>
      </c>
      <c r="B18" s="1" t="s">
        <v>3</v>
      </c>
      <c r="C18" s="1">
        <v>5.45</v>
      </c>
      <c r="D18" s="1" t="s">
        <v>14</v>
      </c>
    </row>
    <row r="19" spans="1:4" x14ac:dyDescent="0.5">
      <c r="A19" s="5" t="s">
        <v>15</v>
      </c>
      <c r="B19" s="5" t="s">
        <v>33</v>
      </c>
      <c r="C19" s="5">
        <f>((2/3)*( (C16+C17-( (C16*C17)/(C16+C17) ))/(1+(C17/C16)) ) + C18)/2</f>
        <v>4.653945374968437</v>
      </c>
      <c r="D19" s="1" t="s">
        <v>14</v>
      </c>
    </row>
    <row r="20" spans="1:4" x14ac:dyDescent="0.5">
      <c r="A20" s="1" t="s">
        <v>46</v>
      </c>
      <c r="B20" s="1" t="s">
        <v>48</v>
      </c>
      <c r="C20" s="5">
        <f>0.18*C16</f>
        <v>1.3320000000000001</v>
      </c>
      <c r="D20" s="1" t="s">
        <v>14</v>
      </c>
    </row>
    <row r="21" spans="1:4" x14ac:dyDescent="0.5">
      <c r="A21" s="1" t="s">
        <v>47</v>
      </c>
      <c r="B21" s="1" t="s">
        <v>49</v>
      </c>
      <c r="C21" s="5">
        <f>0.15*C17</f>
        <v>0.52500000000000002</v>
      </c>
      <c r="D21" s="1" t="s">
        <v>14</v>
      </c>
    </row>
    <row r="22" spans="1:4" x14ac:dyDescent="0.5">
      <c r="A22" s="1" t="s">
        <v>50</v>
      </c>
      <c r="B22" s="1" t="s">
        <v>51</v>
      </c>
      <c r="C22" s="5">
        <f>((C9)^2)/C4</f>
        <v>7.0007142857142863</v>
      </c>
      <c r="D22" s="1" t="s">
        <v>52</v>
      </c>
    </row>
    <row r="23" spans="1:4" x14ac:dyDescent="0.5">
      <c r="A23" s="1" t="s">
        <v>50</v>
      </c>
      <c r="B23" s="1" t="s">
        <v>110</v>
      </c>
      <c r="C23" s="5">
        <f>C22</f>
        <v>7.0007142857142863</v>
      </c>
      <c r="D23" s="1" t="s">
        <v>52</v>
      </c>
    </row>
    <row r="24" spans="1:4" x14ac:dyDescent="0.5">
      <c r="A24" s="1" t="s">
        <v>60</v>
      </c>
      <c r="B24" s="6" t="s">
        <v>27</v>
      </c>
      <c r="C24" s="1">
        <v>8.7759999999999998</v>
      </c>
      <c r="D24" s="1" t="s">
        <v>56</v>
      </c>
    </row>
    <row r="25" spans="1:4" ht="28.7" x14ac:dyDescent="0.5">
      <c r="A25" s="1" t="s">
        <v>54</v>
      </c>
      <c r="B25" s="6" t="s">
        <v>57</v>
      </c>
      <c r="C25" s="1">
        <v>8.7759999999999998</v>
      </c>
      <c r="D25" s="1" t="s">
        <v>56</v>
      </c>
    </row>
    <row r="26" spans="1:4" ht="28.7" x14ac:dyDescent="0.5">
      <c r="A26" s="1" t="s">
        <v>55</v>
      </c>
      <c r="B26" s="6" t="s">
        <v>58</v>
      </c>
      <c r="C26" s="1">
        <v>8.7759999999999998</v>
      </c>
      <c r="D26" s="1" t="s">
        <v>56</v>
      </c>
    </row>
    <row r="27" spans="1:4" x14ac:dyDescent="0.5">
      <c r="A27" s="1" t="s">
        <v>59</v>
      </c>
      <c r="B27" s="6" t="s">
        <v>61</v>
      </c>
      <c r="C27" s="1">
        <v>8.7759999999999998</v>
      </c>
      <c r="D27" s="1" t="s">
        <v>56</v>
      </c>
    </row>
    <row r="28" spans="1:4" x14ac:dyDescent="0.5">
      <c r="A28" s="1" t="s">
        <v>112</v>
      </c>
      <c r="B28" s="6" t="s">
        <v>111</v>
      </c>
      <c r="C28" s="5">
        <f>C17/C16</f>
        <v>0.47297297297297297</v>
      </c>
      <c r="D28" s="1" t="s">
        <v>52</v>
      </c>
    </row>
    <row r="29" spans="1:4" x14ac:dyDescent="0.5">
      <c r="A29" s="1" t="s">
        <v>113</v>
      </c>
      <c r="B29" s="6" t="s">
        <v>114</v>
      </c>
      <c r="C29" s="5">
        <f>(4458.56+4261.83)/144</f>
        <v>60.558263888888888</v>
      </c>
      <c r="D29" s="1" t="s">
        <v>12</v>
      </c>
    </row>
    <row r="30" spans="1:4" x14ac:dyDescent="0.5">
      <c r="A30" s="1" t="s">
        <v>115</v>
      </c>
      <c r="B30" s="6" t="s">
        <v>118</v>
      </c>
      <c r="C30" s="5">
        <f>(4208.54+4201.02)/144</f>
        <v>58.399722222222231</v>
      </c>
      <c r="D30" s="1" t="s">
        <v>12</v>
      </c>
    </row>
    <row r="31" spans="1:4" x14ac:dyDescent="0.5">
      <c r="A31" s="1" t="s">
        <v>116</v>
      </c>
      <c r="B31" s="6" t="s">
        <v>119</v>
      </c>
      <c r="C31" s="5">
        <f>(3452.57+3361.84)/144</f>
        <v>47.322291666666665</v>
      </c>
      <c r="D31" s="1" t="s">
        <v>12</v>
      </c>
    </row>
    <row r="32" spans="1:4" x14ac:dyDescent="0.5">
      <c r="A32" s="1" t="s">
        <v>117</v>
      </c>
      <c r="B32" s="6" t="s">
        <v>120</v>
      </c>
      <c r="C32" s="5">
        <f>(2644.87+2548.99)/144</f>
        <v>36.068472222222219</v>
      </c>
      <c r="D32" s="1" t="s">
        <v>12</v>
      </c>
    </row>
    <row r="33" spans="1:4" ht="28.7" x14ac:dyDescent="0.5">
      <c r="A33" s="1" t="s">
        <v>121</v>
      </c>
      <c r="B33" s="6" t="s">
        <v>128</v>
      </c>
      <c r="C33" s="5">
        <f>88.88/12</f>
        <v>7.4066666666666663</v>
      </c>
      <c r="D33" s="1" t="s">
        <v>14</v>
      </c>
    </row>
    <row r="34" spans="1:4" ht="28.7" x14ac:dyDescent="0.5">
      <c r="A34" s="1" t="s">
        <v>122</v>
      </c>
      <c r="B34" s="6" t="s">
        <v>125</v>
      </c>
      <c r="C34" s="5">
        <f>80.502/12</f>
        <v>6.7084999999999999</v>
      </c>
      <c r="D34" s="1" t="s">
        <v>14</v>
      </c>
    </row>
    <row r="35" spans="1:4" ht="28.7" x14ac:dyDescent="0.5">
      <c r="A35" s="1" t="s">
        <v>123</v>
      </c>
      <c r="B35" s="6" t="s">
        <v>126</v>
      </c>
      <c r="C35" s="5">
        <f>65.7354/12</f>
        <v>5.4779499999999999</v>
      </c>
      <c r="D35" s="1" t="s">
        <v>14</v>
      </c>
    </row>
    <row r="36" spans="1:4" ht="28.7" x14ac:dyDescent="0.5">
      <c r="A36" s="1" t="s">
        <v>124</v>
      </c>
      <c r="B36" s="6" t="s">
        <v>127</v>
      </c>
      <c r="C36" s="5">
        <f>50.245/12</f>
        <v>4.1870833333333328</v>
      </c>
      <c r="D36" s="1" t="s">
        <v>14</v>
      </c>
    </row>
    <row r="37" spans="1:4" ht="28.7" x14ac:dyDescent="0.5">
      <c r="A37" s="1" t="s">
        <v>130</v>
      </c>
      <c r="B37" s="6" t="s">
        <v>129</v>
      </c>
      <c r="C37" s="1">
        <v>0</v>
      </c>
      <c r="D37" s="1"/>
    </row>
    <row r="38" spans="1:4" ht="14" customHeight="1" x14ac:dyDescent="0.5">
      <c r="A38" s="1" t="s">
        <v>132</v>
      </c>
      <c r="B38" s="6" t="s">
        <v>131</v>
      </c>
      <c r="C38" s="1" t="s">
        <v>147</v>
      </c>
      <c r="D38" s="1" t="s">
        <v>198</v>
      </c>
    </row>
    <row r="39" spans="1:4" ht="28.7" x14ac:dyDescent="0.5">
      <c r="A39" s="1" t="s">
        <v>142</v>
      </c>
      <c r="B39" s="6" t="s">
        <v>141</v>
      </c>
      <c r="C39" s="5">
        <v>0</v>
      </c>
      <c r="D39" s="1"/>
    </row>
    <row r="40" spans="1:4" ht="28.7" x14ac:dyDescent="0.5">
      <c r="A40" s="1" t="s">
        <v>146</v>
      </c>
      <c r="B40" s="6" t="s">
        <v>145</v>
      </c>
      <c r="C40" s="5">
        <f>C4*0.9</f>
        <v>201.6</v>
      </c>
      <c r="D40" s="1" t="s">
        <v>12</v>
      </c>
    </row>
    <row r="41" spans="1:4" x14ac:dyDescent="0.5">
      <c r="A41" s="1"/>
      <c r="B41" s="6"/>
      <c r="C41" s="5"/>
      <c r="D41" s="1"/>
    </row>
    <row r="42" spans="1:4" ht="14.7" thickBot="1" x14ac:dyDescent="0.55000000000000004">
      <c r="A42" s="1"/>
      <c r="B42" s="6"/>
      <c r="C42" s="5"/>
      <c r="D42" s="1"/>
    </row>
    <row r="43" spans="1:4" ht="14.7" thickBot="1" x14ac:dyDescent="0.55000000000000004">
      <c r="A43" s="18" t="s">
        <v>64</v>
      </c>
      <c r="B43" s="19"/>
      <c r="C43" s="19"/>
      <c r="D43" s="20"/>
    </row>
    <row r="44" spans="1:4" x14ac:dyDescent="0.5">
      <c r="A44" s="1" t="s">
        <v>22</v>
      </c>
      <c r="B44" s="1" t="s">
        <v>18</v>
      </c>
      <c r="C44" s="1">
        <v>20.329999999999998</v>
      </c>
      <c r="D44" s="1" t="s">
        <v>14</v>
      </c>
    </row>
    <row r="45" spans="1:4" x14ac:dyDescent="0.5">
      <c r="A45" s="1" t="s">
        <v>23</v>
      </c>
      <c r="B45" s="1" t="s">
        <v>19</v>
      </c>
      <c r="C45" s="1">
        <v>7.3025000000000002</v>
      </c>
      <c r="D45" s="1" t="s">
        <v>14</v>
      </c>
    </row>
    <row r="46" spans="1:4" ht="28.7" x14ac:dyDescent="0.5">
      <c r="A46" s="1" t="s">
        <v>24</v>
      </c>
      <c r="B46" s="1" t="s">
        <v>20</v>
      </c>
      <c r="C46" s="1">
        <v>13.2958</v>
      </c>
      <c r="D46" s="1" t="s">
        <v>14</v>
      </c>
    </row>
    <row r="47" spans="1:4" x14ac:dyDescent="0.5">
      <c r="A47" s="1" t="s">
        <v>25</v>
      </c>
      <c r="B47" s="1" t="s">
        <v>21</v>
      </c>
      <c r="C47" s="1">
        <v>14.1866</v>
      </c>
      <c r="D47" s="1" t="s">
        <v>14</v>
      </c>
    </row>
    <row r="48" spans="1:4" x14ac:dyDescent="0.5">
      <c r="A48" s="1" t="s">
        <v>26</v>
      </c>
      <c r="B48" s="1" t="s">
        <v>27</v>
      </c>
      <c r="C48" s="1">
        <v>8.7759999999999998</v>
      </c>
      <c r="D48" s="1" t="s">
        <v>28</v>
      </c>
    </row>
    <row r="49" spans="1:7" x14ac:dyDescent="0.5">
      <c r="A49" s="1"/>
      <c r="B49" s="5" t="s">
        <v>30</v>
      </c>
      <c r="C49" s="5">
        <f>0.25*0.225*C4</f>
        <v>12.6</v>
      </c>
      <c r="D49" s="1"/>
    </row>
    <row r="50" spans="1:7" x14ac:dyDescent="0.5">
      <c r="A50" s="1"/>
      <c r="B50" s="1" t="s">
        <v>31</v>
      </c>
      <c r="C50" s="1">
        <f>0.225*C19</f>
        <v>1.0471377093678984</v>
      </c>
      <c r="D50" s="1"/>
    </row>
    <row r="51" spans="1:7" x14ac:dyDescent="0.5">
      <c r="A51" s="1"/>
      <c r="B51" s="1" t="s">
        <v>32</v>
      </c>
      <c r="C51" s="1">
        <f>0.225*C19</f>
        <v>1.0471377093678984</v>
      </c>
      <c r="D51" s="1"/>
    </row>
    <row r="52" spans="1:7" x14ac:dyDescent="0.5">
      <c r="A52" s="1" t="s">
        <v>90</v>
      </c>
      <c r="B52" s="1" t="s">
        <v>19</v>
      </c>
      <c r="C52" s="1">
        <v>7.3025000000000002</v>
      </c>
      <c r="D52" s="1" t="s">
        <v>14</v>
      </c>
    </row>
    <row r="53" spans="1:7" ht="28.7" x14ac:dyDescent="0.5">
      <c r="A53" s="1" t="s">
        <v>91</v>
      </c>
      <c r="B53" s="1" t="s">
        <v>20</v>
      </c>
      <c r="C53" s="1">
        <v>13.2958</v>
      </c>
      <c r="D53" s="1" t="s">
        <v>14</v>
      </c>
    </row>
    <row r="54" spans="1:7" ht="28.7" x14ac:dyDescent="0.5">
      <c r="A54" s="1" t="s">
        <v>95</v>
      </c>
      <c r="B54" s="1" t="s">
        <v>103</v>
      </c>
      <c r="C54" s="1">
        <v>101.23</v>
      </c>
      <c r="D54" s="1" t="s">
        <v>12</v>
      </c>
    </row>
    <row r="55" spans="1:7" ht="28.7" x14ac:dyDescent="0.5">
      <c r="A55" s="1" t="s">
        <v>96</v>
      </c>
      <c r="B55" s="1" t="s">
        <v>104</v>
      </c>
      <c r="C55" s="1">
        <v>27.09</v>
      </c>
      <c r="D55" s="1" t="s">
        <v>12</v>
      </c>
    </row>
    <row r="56" spans="1:7" ht="28.7" x14ac:dyDescent="0.5">
      <c r="A56" s="1" t="s">
        <v>167</v>
      </c>
      <c r="B56" s="1" t="s">
        <v>166</v>
      </c>
      <c r="C56" s="1">
        <f>C55+C54+C92</f>
        <v>182.04999999999998</v>
      </c>
      <c r="D56" s="1" t="s">
        <v>12</v>
      </c>
    </row>
    <row r="57" spans="1:7" ht="28.7" x14ac:dyDescent="0.5">
      <c r="A57" s="1" t="s">
        <v>169</v>
      </c>
      <c r="B57" s="1" t="s">
        <v>168</v>
      </c>
      <c r="C57" s="1">
        <v>6.31</v>
      </c>
      <c r="D57" s="1" t="s">
        <v>28</v>
      </c>
    </row>
    <row r="58" spans="1:7" ht="28.7" x14ac:dyDescent="0.5">
      <c r="A58" s="1" t="s">
        <v>171</v>
      </c>
      <c r="B58" s="1" t="s">
        <v>170</v>
      </c>
      <c r="C58" s="1">
        <v>0</v>
      </c>
      <c r="D58" s="1" t="s">
        <v>28</v>
      </c>
    </row>
    <row r="59" spans="1:7" ht="86" x14ac:dyDescent="0.5">
      <c r="A59" s="7" t="s">
        <v>173</v>
      </c>
      <c r="B59" s="7" t="s">
        <v>172</v>
      </c>
      <c r="C59" s="7">
        <v>0.8</v>
      </c>
      <c r="D59" s="7"/>
    </row>
    <row r="60" spans="1:7" ht="57.35" x14ac:dyDescent="0.5">
      <c r="A60" s="1" t="s">
        <v>175</v>
      </c>
      <c r="B60" s="1" t="s">
        <v>176</v>
      </c>
      <c r="C60" s="1">
        <f>2786.86 / 144</f>
        <v>19.353194444444444</v>
      </c>
      <c r="D60" s="1" t="s">
        <v>179</v>
      </c>
    </row>
    <row r="61" spans="1:7" ht="57.35" x14ac:dyDescent="0.5">
      <c r="A61" s="1" t="s">
        <v>177</v>
      </c>
      <c r="B61" s="1" t="s">
        <v>178</v>
      </c>
      <c r="C61" s="1">
        <f>C60/PI()</f>
        <v>6.1603131209038811</v>
      </c>
      <c r="D61" s="1" t="s">
        <v>14</v>
      </c>
      <c r="F61" s="1">
        <f>SQRT(4*F60/3.14159265)</f>
        <v>0</v>
      </c>
      <c r="G61" t="s">
        <v>224</v>
      </c>
    </row>
    <row r="62" spans="1:7" ht="71.7" x14ac:dyDescent="0.5">
      <c r="A62" s="1" t="s">
        <v>180</v>
      </c>
      <c r="B62" s="1" t="s">
        <v>181</v>
      </c>
      <c r="C62" s="1">
        <f>3158.78/144</f>
        <v>21.935972222222222</v>
      </c>
      <c r="D62" s="1" t="s">
        <v>179</v>
      </c>
    </row>
    <row r="63" spans="1:7" ht="29" thickBot="1" x14ac:dyDescent="0.55000000000000004">
      <c r="A63" s="1" t="s">
        <v>182</v>
      </c>
      <c r="B63" s="1" t="s">
        <v>183</v>
      </c>
      <c r="C63" s="1">
        <f>C44/C61</f>
        <v>3.3001569240066564</v>
      </c>
      <c r="D63" s="1" t="s">
        <v>184</v>
      </c>
    </row>
    <row r="64" spans="1:7" ht="14.7" thickBot="1" x14ac:dyDescent="0.55000000000000004">
      <c r="A64" s="18" t="s">
        <v>185</v>
      </c>
      <c r="B64" s="19"/>
      <c r="C64" s="19"/>
      <c r="D64" s="20"/>
    </row>
    <row r="65" spans="1:4" x14ac:dyDescent="0.5">
      <c r="A65" s="10" t="s">
        <v>5</v>
      </c>
      <c r="B65" s="11" t="s">
        <v>6</v>
      </c>
      <c r="C65" s="11" t="s">
        <v>29</v>
      </c>
      <c r="D65" s="12" t="s">
        <v>174</v>
      </c>
    </row>
    <row r="66" spans="1:4" ht="43" x14ac:dyDescent="0.5">
      <c r="A66" s="1" t="s">
        <v>186</v>
      </c>
      <c r="B66" s="1" t="s">
        <v>187</v>
      </c>
      <c r="C66" s="1">
        <f>C61/C9</f>
        <v>0.15556346264908791</v>
      </c>
      <c r="D66" s="1" t="s">
        <v>184</v>
      </c>
    </row>
    <row r="67" spans="1:4" x14ac:dyDescent="0.5">
      <c r="A67" s="1"/>
      <c r="B67" s="1"/>
      <c r="C67" s="1"/>
      <c r="D67" s="1"/>
    </row>
    <row r="68" spans="1:4" ht="16" customHeight="1" thickBot="1" x14ac:dyDescent="0.55000000000000004">
      <c r="A68" s="24" t="s">
        <v>188</v>
      </c>
      <c r="B68" s="25"/>
      <c r="C68" s="25"/>
      <c r="D68" s="26"/>
    </row>
    <row r="69" spans="1:4" ht="14.7" thickBot="1" x14ac:dyDescent="0.55000000000000004">
      <c r="A69" s="2" t="s">
        <v>5</v>
      </c>
      <c r="B69" s="3" t="s">
        <v>6</v>
      </c>
      <c r="C69" s="3" t="s">
        <v>29</v>
      </c>
      <c r="D69" s="4" t="s">
        <v>174</v>
      </c>
    </row>
    <row r="70" spans="1:4" ht="28.7" x14ac:dyDescent="0.5">
      <c r="A70" s="1" t="s">
        <v>189</v>
      </c>
      <c r="B70" s="1" t="s">
        <v>191</v>
      </c>
      <c r="C70" s="1">
        <f>2*C124/C9</f>
        <v>0.73707272727272721</v>
      </c>
      <c r="D70" s="1" t="s">
        <v>184</v>
      </c>
    </row>
    <row r="71" spans="1:4" ht="28.7" x14ac:dyDescent="0.5">
      <c r="A71" s="1" t="s">
        <v>190</v>
      </c>
      <c r="B71" s="1" t="s">
        <v>192</v>
      </c>
      <c r="C71" s="1">
        <f>ABS(2*C125/C9)</f>
        <v>0.13257575757575757</v>
      </c>
      <c r="D71" s="1" t="s">
        <v>184</v>
      </c>
    </row>
    <row r="72" spans="1:4" ht="14.7" thickBot="1" x14ac:dyDescent="0.55000000000000004">
      <c r="A72" s="24" t="s">
        <v>193</v>
      </c>
      <c r="B72" s="25"/>
      <c r="C72" s="25"/>
      <c r="D72" s="26"/>
    </row>
    <row r="73" spans="1:4" x14ac:dyDescent="0.5">
      <c r="A73" s="13"/>
      <c r="B73" s="13"/>
      <c r="C73" s="13"/>
      <c r="D73" s="13"/>
    </row>
    <row r="74" spans="1:4" x14ac:dyDescent="0.5">
      <c r="A74" s="13"/>
      <c r="B74" s="13"/>
      <c r="C74" s="13"/>
      <c r="D74" s="13"/>
    </row>
    <row r="75" spans="1:4" x14ac:dyDescent="0.5">
      <c r="A75" s="13"/>
      <c r="B75" s="13"/>
      <c r="C75" s="13"/>
      <c r="D75" s="13"/>
    </row>
    <row r="76" spans="1:4" x14ac:dyDescent="0.5">
      <c r="A76" s="13"/>
      <c r="B76" s="13"/>
      <c r="C76" s="13"/>
      <c r="D76" s="13"/>
    </row>
    <row r="77" spans="1:4" x14ac:dyDescent="0.5">
      <c r="A77" s="1"/>
      <c r="B77" s="1"/>
      <c r="C77" s="1"/>
      <c r="D77" s="1"/>
    </row>
    <row r="78" spans="1:4" ht="14.7" thickBot="1" x14ac:dyDescent="0.55000000000000004">
      <c r="A78" s="24" t="s">
        <v>85</v>
      </c>
      <c r="B78" s="25"/>
      <c r="C78" s="25"/>
      <c r="D78" s="26"/>
    </row>
    <row r="79" spans="1:4" x14ac:dyDescent="0.5">
      <c r="A79" s="1" t="s">
        <v>16</v>
      </c>
      <c r="B79" s="1" t="s">
        <v>71</v>
      </c>
      <c r="C79" s="1">
        <f>65.6/12</f>
        <v>5.4666666666666659</v>
      </c>
      <c r="D79" s="1" t="s">
        <v>14</v>
      </c>
    </row>
    <row r="80" spans="1:4" x14ac:dyDescent="0.5">
      <c r="A80" s="1" t="s">
        <v>17</v>
      </c>
      <c r="B80" s="1" t="s">
        <v>72</v>
      </c>
      <c r="C80" s="1">
        <f>31/12</f>
        <v>2.5833333333333335</v>
      </c>
      <c r="D80" s="1" t="s">
        <v>14</v>
      </c>
    </row>
    <row r="81" spans="1:4" x14ac:dyDescent="0.5">
      <c r="A81" s="1" t="s">
        <v>78</v>
      </c>
      <c r="B81" s="1" t="s">
        <v>79</v>
      </c>
      <c r="C81" s="1">
        <v>20.446000000000002</v>
      </c>
      <c r="D81" s="1" t="s">
        <v>12</v>
      </c>
    </row>
    <row r="82" spans="1:4" ht="28.7" x14ac:dyDescent="0.5">
      <c r="A82" s="1" t="s">
        <v>43</v>
      </c>
      <c r="B82" s="1" t="s">
        <v>36</v>
      </c>
      <c r="C82" s="1">
        <f>38.39/12 *0.25</f>
        <v>0.79979166666666668</v>
      </c>
      <c r="D82" s="1" t="s">
        <v>14</v>
      </c>
    </row>
    <row r="83" spans="1:4" ht="39" x14ac:dyDescent="0.5">
      <c r="A83" s="8" t="s">
        <v>45</v>
      </c>
      <c r="B83" s="1" t="s">
        <v>37</v>
      </c>
      <c r="C83" s="1">
        <f>C82</f>
        <v>0.79979166666666668</v>
      </c>
      <c r="D83" s="1" t="s">
        <v>14</v>
      </c>
    </row>
    <row r="84" spans="1:4" x14ac:dyDescent="0.5">
      <c r="A84" s="9" t="s">
        <v>65</v>
      </c>
      <c r="B84" s="1" t="s">
        <v>38</v>
      </c>
      <c r="C84" s="1">
        <v>19.692029999999999</v>
      </c>
      <c r="D84" s="1" t="s">
        <v>12</v>
      </c>
    </row>
    <row r="85" spans="1:4" x14ac:dyDescent="0.5">
      <c r="A85" s="1" t="s">
        <v>34</v>
      </c>
      <c r="B85" s="1" t="s">
        <v>39</v>
      </c>
      <c r="C85" s="1">
        <f>48.58/12 *0.25</f>
        <v>1.0120833333333332</v>
      </c>
      <c r="D85" s="1" t="s">
        <v>14</v>
      </c>
    </row>
    <row r="86" spans="1:4" x14ac:dyDescent="0.5">
      <c r="A86" s="1" t="s">
        <v>15</v>
      </c>
      <c r="B86" s="1" t="s">
        <v>40</v>
      </c>
      <c r="C86" s="1">
        <f>C85</f>
        <v>1.0120833333333332</v>
      </c>
      <c r="D86" s="1" t="s">
        <v>14</v>
      </c>
    </row>
    <row r="87" spans="1:4" x14ac:dyDescent="0.5">
      <c r="A87" s="1" t="s">
        <v>62</v>
      </c>
      <c r="B87" s="1" t="s">
        <v>69</v>
      </c>
      <c r="C87" s="1">
        <v>0.45600000000000002</v>
      </c>
      <c r="D87" s="1" t="s">
        <v>14</v>
      </c>
    </row>
    <row r="88" spans="1:4" x14ac:dyDescent="0.5">
      <c r="A88" s="1" t="s">
        <v>63</v>
      </c>
      <c r="B88" s="1" t="s">
        <v>70</v>
      </c>
      <c r="C88" s="1">
        <v>0.45600000000000002</v>
      </c>
      <c r="D88" s="1" t="s">
        <v>14</v>
      </c>
    </row>
    <row r="89" spans="1:4" x14ac:dyDescent="0.5">
      <c r="A89" s="1" t="s">
        <v>41</v>
      </c>
      <c r="B89" s="1" t="s">
        <v>66</v>
      </c>
      <c r="C89" s="1">
        <f>59.18/12</f>
        <v>4.9316666666666666</v>
      </c>
      <c r="D89" s="1" t="s">
        <v>12</v>
      </c>
    </row>
    <row r="90" spans="1:4" ht="28.7" x14ac:dyDescent="0.5">
      <c r="A90" s="1" t="s">
        <v>68</v>
      </c>
      <c r="B90" s="6" t="s">
        <v>67</v>
      </c>
      <c r="C90" s="1">
        <v>9.3800000000000008</v>
      </c>
      <c r="D90" s="1" t="s">
        <v>28</v>
      </c>
    </row>
    <row r="91" spans="1:4" x14ac:dyDescent="0.5">
      <c r="A91" s="1" t="s">
        <v>92</v>
      </c>
      <c r="B91" s="1" t="s">
        <v>21</v>
      </c>
      <c r="C91" s="1">
        <v>14.1866</v>
      </c>
      <c r="D91" s="1" t="s">
        <v>14</v>
      </c>
    </row>
    <row r="92" spans="1:4" x14ac:dyDescent="0.5">
      <c r="A92" s="1" t="s">
        <v>94</v>
      </c>
      <c r="B92" s="1" t="s">
        <v>93</v>
      </c>
      <c r="C92" s="1">
        <v>53.73</v>
      </c>
      <c r="D92" s="1" t="s">
        <v>12</v>
      </c>
    </row>
    <row r="93" spans="1:4" ht="16" customHeight="1" x14ac:dyDescent="0.5">
      <c r="A93" s="1" t="s">
        <v>195</v>
      </c>
      <c r="B93" s="1" t="s">
        <v>194</v>
      </c>
      <c r="C93" s="1">
        <v>0</v>
      </c>
      <c r="D93" s="1" t="s">
        <v>28</v>
      </c>
    </row>
    <row r="94" spans="1:4" x14ac:dyDescent="0.5">
      <c r="A94" s="1" t="s">
        <v>113</v>
      </c>
      <c r="B94" s="6" t="s">
        <v>208</v>
      </c>
      <c r="C94" s="17">
        <f>906.56/144</f>
        <v>6.2955555555555556</v>
      </c>
      <c r="D94" s="1" t="s">
        <v>12</v>
      </c>
    </row>
    <row r="95" spans="1:4" x14ac:dyDescent="0.5">
      <c r="A95" s="1" t="s">
        <v>115</v>
      </c>
      <c r="B95" s="6" t="s">
        <v>209</v>
      </c>
      <c r="C95" s="17">
        <f>778.59/144</f>
        <v>5.4068750000000003</v>
      </c>
      <c r="D95" s="1" t="s">
        <v>12</v>
      </c>
    </row>
    <row r="96" spans="1:4" x14ac:dyDescent="0.5">
      <c r="A96" s="1" t="s">
        <v>116</v>
      </c>
      <c r="B96" s="6" t="s">
        <v>210</v>
      </c>
      <c r="C96" s="17">
        <f>650.61/144</f>
        <v>4.5181250000000004</v>
      </c>
      <c r="D96" s="1" t="s">
        <v>12</v>
      </c>
    </row>
    <row r="97" spans="1:4" x14ac:dyDescent="0.5">
      <c r="A97" s="1" t="s">
        <v>117</v>
      </c>
      <c r="B97" s="6" t="s">
        <v>211</v>
      </c>
      <c r="C97" s="17">
        <f>522.63/144</f>
        <v>3.629375</v>
      </c>
      <c r="D97" s="1" t="s">
        <v>12</v>
      </c>
    </row>
    <row r="98" spans="1:4" ht="28.7" x14ac:dyDescent="0.5">
      <c r="A98" s="1" t="s">
        <v>121</v>
      </c>
      <c r="B98" s="6" t="s">
        <v>212</v>
      </c>
      <c r="C98" s="17">
        <f>61.11/12</f>
        <v>5.0925000000000002</v>
      </c>
      <c r="D98" s="1" t="s">
        <v>14</v>
      </c>
    </row>
    <row r="99" spans="1:4" ht="28.7" x14ac:dyDescent="0.5">
      <c r="A99" s="1" t="s">
        <v>122</v>
      </c>
      <c r="B99" s="6" t="s">
        <v>213</v>
      </c>
      <c r="C99" s="17">
        <f>52.76/12</f>
        <v>4.3966666666666665</v>
      </c>
      <c r="D99" s="1" t="s">
        <v>14</v>
      </c>
    </row>
    <row r="100" spans="1:4" ht="28.7" x14ac:dyDescent="0.5">
      <c r="A100" s="1" t="s">
        <v>123</v>
      </c>
      <c r="B100" s="6" t="s">
        <v>214</v>
      </c>
      <c r="C100" s="17">
        <f>44.01/12</f>
        <v>3.6675</v>
      </c>
      <c r="D100" s="1" t="s">
        <v>14</v>
      </c>
    </row>
    <row r="101" spans="1:4" ht="28.7" x14ac:dyDescent="0.5">
      <c r="A101" s="1" t="s">
        <v>124</v>
      </c>
      <c r="B101" s="6" t="s">
        <v>215</v>
      </c>
      <c r="C101" s="17">
        <f>35.18/12</f>
        <v>2.9316666666666666</v>
      </c>
      <c r="D101" s="1" t="s">
        <v>14</v>
      </c>
    </row>
    <row r="102" spans="1:4" ht="28.7" x14ac:dyDescent="0.5">
      <c r="A102" s="1" t="s">
        <v>130</v>
      </c>
      <c r="B102" s="6" t="s">
        <v>216</v>
      </c>
      <c r="C102" s="1">
        <v>0</v>
      </c>
      <c r="D102" s="1" t="s">
        <v>217</v>
      </c>
    </row>
    <row r="103" spans="1:4" x14ac:dyDescent="0.5">
      <c r="A103" s="1" t="s">
        <v>131</v>
      </c>
      <c r="B103" s="1" t="s">
        <v>218</v>
      </c>
      <c r="C103" s="1" t="s">
        <v>197</v>
      </c>
      <c r="D103" s="1"/>
    </row>
    <row r="104" spans="1:4" ht="29" thickBot="1" x14ac:dyDescent="0.55000000000000004">
      <c r="A104" s="1" t="s">
        <v>219</v>
      </c>
      <c r="B104" s="1" t="s">
        <v>221</v>
      </c>
      <c r="C104" s="1">
        <f>0.8*C81</f>
        <v>16.356800000000003</v>
      </c>
      <c r="D104" s="1"/>
    </row>
    <row r="105" spans="1:4" ht="14.7" thickBot="1" x14ac:dyDescent="0.55000000000000004">
      <c r="A105" s="18" t="s">
        <v>86</v>
      </c>
      <c r="B105" s="19"/>
      <c r="C105" s="19"/>
      <c r="D105" s="20"/>
    </row>
    <row r="106" spans="1:4" x14ac:dyDescent="0.5">
      <c r="A106" s="1" t="s">
        <v>16</v>
      </c>
      <c r="B106" s="1" t="s">
        <v>74</v>
      </c>
      <c r="C106" s="1">
        <f>49.55/12</f>
        <v>4.1291666666666664</v>
      </c>
      <c r="D106" s="1" t="s">
        <v>14</v>
      </c>
    </row>
    <row r="107" spans="1:4" x14ac:dyDescent="0.5">
      <c r="A107" s="1" t="s">
        <v>17</v>
      </c>
      <c r="B107" s="1" t="s">
        <v>73</v>
      </c>
      <c r="C107" s="1">
        <f>24.28/12</f>
        <v>2.0233333333333334</v>
      </c>
      <c r="D107" s="1" t="s">
        <v>14</v>
      </c>
    </row>
    <row r="108" spans="1:4" x14ac:dyDescent="0.5">
      <c r="A108" s="9" t="s">
        <v>155</v>
      </c>
      <c r="B108" s="1" t="s">
        <v>156</v>
      </c>
      <c r="C108" s="1">
        <v>41</v>
      </c>
      <c r="D108" s="1" t="s">
        <v>12</v>
      </c>
    </row>
    <row r="109" spans="1:4" ht="28.7" x14ac:dyDescent="0.5">
      <c r="A109" s="1" t="s">
        <v>43</v>
      </c>
      <c r="B109" s="1" t="s">
        <v>76</v>
      </c>
      <c r="C109" s="1"/>
      <c r="D109" s="1" t="s">
        <v>14</v>
      </c>
    </row>
    <row r="110" spans="1:4" x14ac:dyDescent="0.5">
      <c r="A110" s="1" t="s">
        <v>151</v>
      </c>
      <c r="B110" s="1" t="s">
        <v>154</v>
      </c>
      <c r="C110" s="1">
        <f>C111/C108</f>
        <v>0.31097560975609756</v>
      </c>
      <c r="D110" s="1" t="s">
        <v>52</v>
      </c>
    </row>
    <row r="111" spans="1:4" ht="28.7" x14ac:dyDescent="0.5">
      <c r="A111" s="1" t="s">
        <v>157</v>
      </c>
      <c r="B111" s="1" t="s">
        <v>158</v>
      </c>
      <c r="C111" s="1">
        <v>12.75</v>
      </c>
      <c r="D111" s="1" t="s">
        <v>14</v>
      </c>
    </row>
    <row r="112" spans="1:4" ht="39" x14ac:dyDescent="0.5">
      <c r="A112" s="8" t="s">
        <v>45</v>
      </c>
      <c r="B112" s="1" t="s">
        <v>77</v>
      </c>
      <c r="C112" s="1"/>
      <c r="D112" s="1" t="s">
        <v>14</v>
      </c>
    </row>
    <row r="113" spans="1:4" x14ac:dyDescent="0.5">
      <c r="A113" s="1" t="s">
        <v>44</v>
      </c>
      <c r="B113" s="1" t="s">
        <v>35</v>
      </c>
      <c r="C113" s="1">
        <v>22.93844</v>
      </c>
      <c r="D113" s="1" t="s">
        <v>12</v>
      </c>
    </row>
    <row r="114" spans="1:4" ht="28.7" x14ac:dyDescent="0.5">
      <c r="A114" s="1" t="s">
        <v>160</v>
      </c>
      <c r="B114" s="1" t="s">
        <v>159</v>
      </c>
      <c r="C114" s="1">
        <v>0.15</v>
      </c>
      <c r="D114" s="1" t="s">
        <v>52</v>
      </c>
    </row>
    <row r="115" spans="1:4" ht="28.7" x14ac:dyDescent="0.5">
      <c r="A115" s="7" t="s">
        <v>164</v>
      </c>
      <c r="B115" s="7" t="s">
        <v>161</v>
      </c>
      <c r="C115" s="7">
        <v>0.25</v>
      </c>
      <c r="D115" s="1" t="s">
        <v>165</v>
      </c>
    </row>
    <row r="116" spans="1:4" x14ac:dyDescent="0.5">
      <c r="A116" s="1" t="s">
        <v>162</v>
      </c>
      <c r="B116" s="1" t="s">
        <v>163</v>
      </c>
      <c r="C116" s="1"/>
      <c r="D116" s="1"/>
    </row>
    <row r="117" spans="1:4" x14ac:dyDescent="0.5">
      <c r="A117" s="1" t="s">
        <v>34</v>
      </c>
      <c r="B117" s="1"/>
      <c r="C117" s="1"/>
      <c r="D117" s="1"/>
    </row>
    <row r="118" spans="1:4" x14ac:dyDescent="0.5">
      <c r="A118" s="1" t="s">
        <v>15</v>
      </c>
      <c r="B118" s="1"/>
      <c r="C118" s="1"/>
      <c r="D118" s="1"/>
    </row>
    <row r="119" spans="1:4" x14ac:dyDescent="0.5">
      <c r="A119" s="1" t="s">
        <v>62</v>
      </c>
      <c r="B119" s="1" t="s">
        <v>80</v>
      </c>
      <c r="C119" s="1">
        <f>0.15*C106</f>
        <v>0.6193749999999999</v>
      </c>
      <c r="D119" s="1" t="s">
        <v>14</v>
      </c>
    </row>
    <row r="120" spans="1:4" x14ac:dyDescent="0.5">
      <c r="A120" s="1" t="s">
        <v>63</v>
      </c>
      <c r="B120" s="1" t="s">
        <v>75</v>
      </c>
      <c r="C120" s="1">
        <f>0.15*C107</f>
        <v>0.30349999999999999</v>
      </c>
      <c r="D120" s="1" t="s">
        <v>14</v>
      </c>
    </row>
    <row r="121" spans="1:4" x14ac:dyDescent="0.5">
      <c r="A121" s="1" t="s">
        <v>41</v>
      </c>
      <c r="B121" s="1" t="s">
        <v>81</v>
      </c>
      <c r="C121" s="1">
        <f>152.9/12</f>
        <v>12.741666666666667</v>
      </c>
      <c r="D121" s="1" t="s">
        <v>14</v>
      </c>
    </row>
    <row r="122" spans="1:4" ht="16" customHeight="1" x14ac:dyDescent="0.5">
      <c r="A122" s="1" t="s">
        <v>82</v>
      </c>
      <c r="B122" s="6" t="s">
        <v>87</v>
      </c>
      <c r="C122" s="1">
        <v>9.3800000000000008</v>
      </c>
      <c r="D122" s="1" t="s">
        <v>84</v>
      </c>
    </row>
    <row r="123" spans="1:4" ht="28.7" x14ac:dyDescent="0.5">
      <c r="A123" s="1" t="s">
        <v>83</v>
      </c>
      <c r="B123" s="6" t="s">
        <v>87</v>
      </c>
      <c r="C123" s="1">
        <v>9.3800000000000008</v>
      </c>
      <c r="D123" s="1" t="s">
        <v>84</v>
      </c>
    </row>
    <row r="124" spans="1:4" ht="43" x14ac:dyDescent="0.5">
      <c r="A124" s="1" t="s">
        <v>97</v>
      </c>
      <c r="B124" s="1" t="s">
        <v>98</v>
      </c>
      <c r="C124" s="1">
        <v>14.59404</v>
      </c>
      <c r="D124" s="1" t="s">
        <v>14</v>
      </c>
    </row>
    <row r="125" spans="1:4" ht="43" x14ac:dyDescent="0.5">
      <c r="A125" s="1" t="s">
        <v>89</v>
      </c>
      <c r="B125" s="1" t="s">
        <v>88</v>
      </c>
      <c r="C125" s="1">
        <f>31.5/12</f>
        <v>2.625</v>
      </c>
      <c r="D125" s="1" t="s">
        <v>14</v>
      </c>
    </row>
    <row r="126" spans="1:4" x14ac:dyDescent="0.5">
      <c r="A126" s="1" t="s">
        <v>100</v>
      </c>
      <c r="B126" s="1" t="s">
        <v>99</v>
      </c>
      <c r="C126" s="1">
        <v>0</v>
      </c>
      <c r="D126" s="1" t="s">
        <v>52</v>
      </c>
    </row>
    <row r="127" spans="1:4" x14ac:dyDescent="0.5">
      <c r="A127" s="1" t="s">
        <v>101</v>
      </c>
      <c r="B127" s="1" t="s">
        <v>105</v>
      </c>
      <c r="C127" s="1">
        <v>0</v>
      </c>
      <c r="D127" s="1"/>
    </row>
    <row r="128" spans="1:4" x14ac:dyDescent="0.5">
      <c r="A128" s="1" t="s">
        <v>151</v>
      </c>
      <c r="B128" s="1" t="s">
        <v>154</v>
      </c>
      <c r="C128" s="1" t="e">
        <f>C121/#REF!</f>
        <v>#REF!</v>
      </c>
      <c r="D128" s="1" t="s">
        <v>52</v>
      </c>
    </row>
    <row r="129" spans="1:4" ht="100.35" x14ac:dyDescent="0.5">
      <c r="A129" s="1" t="s">
        <v>131</v>
      </c>
      <c r="B129" s="1" t="s">
        <v>196</v>
      </c>
      <c r="C129" s="1" t="s">
        <v>197</v>
      </c>
      <c r="D129" s="1" t="s">
        <v>199</v>
      </c>
    </row>
    <row r="130" spans="1:4" x14ac:dyDescent="0.5">
      <c r="A130" s="1" t="s">
        <v>113</v>
      </c>
      <c r="B130" s="6" t="s">
        <v>200</v>
      </c>
      <c r="C130" s="5">
        <f>886.65/144</f>
        <v>6.1572916666666666</v>
      </c>
      <c r="D130" s="1" t="s">
        <v>12</v>
      </c>
    </row>
    <row r="131" spans="1:4" x14ac:dyDescent="0.5">
      <c r="A131" s="1" t="s">
        <v>115</v>
      </c>
      <c r="B131" s="6" t="s">
        <v>201</v>
      </c>
      <c r="C131" s="5">
        <f>765.91/144</f>
        <v>5.3188194444444443</v>
      </c>
      <c r="D131" s="1" t="s">
        <v>12</v>
      </c>
    </row>
    <row r="132" spans="1:4" ht="16" customHeight="1" x14ac:dyDescent="0.5">
      <c r="A132" s="1" t="s">
        <v>116</v>
      </c>
      <c r="B132" s="6" t="s">
        <v>202</v>
      </c>
      <c r="C132" s="5">
        <f>645.17/144</f>
        <v>4.480347222222222</v>
      </c>
      <c r="D132" s="1" t="s">
        <v>12</v>
      </c>
    </row>
    <row r="133" spans="1:4" x14ac:dyDescent="0.5">
      <c r="A133" s="1" t="s">
        <v>117</v>
      </c>
      <c r="B133" s="6" t="s">
        <v>203</v>
      </c>
      <c r="C133" s="5">
        <f>334.19/144</f>
        <v>2.3207638888888891</v>
      </c>
      <c r="D133" s="1" t="s">
        <v>12</v>
      </c>
    </row>
    <row r="134" spans="1:4" ht="28.7" x14ac:dyDescent="0.5">
      <c r="A134" s="1" t="s">
        <v>121</v>
      </c>
      <c r="B134" s="6" t="s">
        <v>204</v>
      </c>
      <c r="C134" s="5">
        <f>46.36/12</f>
        <v>3.8633333333333333</v>
      </c>
      <c r="D134" s="1" t="s">
        <v>14</v>
      </c>
    </row>
    <row r="135" spans="1:4" ht="28.7" x14ac:dyDescent="0.5">
      <c r="A135" s="1" t="s">
        <v>122</v>
      </c>
      <c r="B135" s="6" t="s">
        <v>205</v>
      </c>
      <c r="C135" s="5">
        <f>39.93/12</f>
        <v>3.3275000000000001</v>
      </c>
      <c r="D135" s="1" t="s">
        <v>14</v>
      </c>
    </row>
    <row r="136" spans="1:4" ht="28.7" x14ac:dyDescent="0.5">
      <c r="A136" s="1" t="s">
        <v>123</v>
      </c>
      <c r="B136" s="6" t="s">
        <v>206</v>
      </c>
      <c r="C136" s="5">
        <f>33.83/12</f>
        <v>2.8191666666666664</v>
      </c>
      <c r="D136" s="1" t="s">
        <v>14</v>
      </c>
    </row>
    <row r="137" spans="1:4" ht="28.7" x14ac:dyDescent="0.5">
      <c r="A137" s="1" t="s">
        <v>124</v>
      </c>
      <c r="B137" s="6" t="s">
        <v>207</v>
      </c>
      <c r="C137" s="5">
        <f>27.27/12</f>
        <v>2.2725</v>
      </c>
      <c r="D137" s="1" t="s">
        <v>14</v>
      </c>
    </row>
    <row r="138" spans="1:4" ht="28.7" x14ac:dyDescent="0.5">
      <c r="A138" s="1" t="s">
        <v>130</v>
      </c>
      <c r="B138" s="6" t="s">
        <v>129</v>
      </c>
      <c r="C138" s="1">
        <v>0</v>
      </c>
      <c r="D138" s="1"/>
    </row>
    <row r="139" spans="1:4" ht="28.7" x14ac:dyDescent="0.5">
      <c r="A139" s="1" t="s">
        <v>220</v>
      </c>
      <c r="B139" s="1" t="s">
        <v>222</v>
      </c>
      <c r="C139" s="1">
        <f>0.8*C108</f>
        <v>32.800000000000004</v>
      </c>
      <c r="D139" s="1"/>
    </row>
    <row r="140" spans="1:4" x14ac:dyDescent="0.5">
      <c r="A140" s="1"/>
      <c r="B140" s="1"/>
      <c r="C140" s="1"/>
      <c r="D140" s="1"/>
    </row>
    <row r="141" spans="1:4" x14ac:dyDescent="0.5">
      <c r="A141" s="1"/>
      <c r="B141" s="1"/>
      <c r="C141" s="1"/>
      <c r="D141" s="1"/>
    </row>
    <row r="142" spans="1:4" ht="14.7" thickBot="1" x14ac:dyDescent="0.55000000000000004">
      <c r="A142" s="1"/>
      <c r="B142" s="1"/>
      <c r="C142" s="1"/>
      <c r="D142" s="1"/>
    </row>
    <row r="143" spans="1:4" ht="14.7" thickBot="1" x14ac:dyDescent="0.55000000000000004">
      <c r="A143" s="18" t="s">
        <v>102</v>
      </c>
      <c r="B143" s="19"/>
      <c r="C143" s="19"/>
      <c r="D143" s="20"/>
    </row>
    <row r="144" spans="1:4" x14ac:dyDescent="0.5">
      <c r="A144" s="1" t="s">
        <v>100</v>
      </c>
      <c r="B144" s="1" t="s">
        <v>99</v>
      </c>
      <c r="C144" s="1">
        <v>0</v>
      </c>
      <c r="D144" s="1"/>
    </row>
    <row r="145" spans="1:6" x14ac:dyDescent="0.5">
      <c r="A145" s="1" t="s">
        <v>135</v>
      </c>
      <c r="B145" s="6" t="s">
        <v>133</v>
      </c>
      <c r="C145" s="1">
        <v>-10</v>
      </c>
      <c r="D145" s="1" t="s">
        <v>28</v>
      </c>
    </row>
    <row r="146" spans="1:6" x14ac:dyDescent="0.5">
      <c r="A146" s="1" t="s">
        <v>136</v>
      </c>
      <c r="B146" s="1" t="s">
        <v>134</v>
      </c>
      <c r="C146" s="1">
        <v>12</v>
      </c>
      <c r="D146" s="1" t="s">
        <v>28</v>
      </c>
    </row>
    <row r="147" spans="1:6" ht="43" x14ac:dyDescent="0.5">
      <c r="A147" s="1" t="s">
        <v>140</v>
      </c>
      <c r="B147" s="1" t="s">
        <v>137</v>
      </c>
      <c r="C147" s="1">
        <v>-5</v>
      </c>
      <c r="D147" s="1" t="s">
        <v>28</v>
      </c>
    </row>
    <row r="148" spans="1:6" ht="43" x14ac:dyDescent="0.5">
      <c r="A148" s="1" t="s">
        <v>139</v>
      </c>
      <c r="B148" s="1" t="s">
        <v>138</v>
      </c>
      <c r="C148" s="1">
        <v>2</v>
      </c>
      <c r="D148" s="1" t="s">
        <v>28</v>
      </c>
      <c r="F148" s="1" t="s">
        <v>223</v>
      </c>
    </row>
    <row r="149" spans="1:6" x14ac:dyDescent="0.5">
      <c r="A149" s="1"/>
      <c r="B149" s="1"/>
      <c r="C149" s="1"/>
      <c r="D149" s="1"/>
    </row>
    <row r="150" spans="1:6" ht="14.7" thickBot="1" x14ac:dyDescent="0.55000000000000004">
      <c r="A150" s="1"/>
      <c r="B150" s="1"/>
      <c r="C150" s="1"/>
      <c r="D150" s="1"/>
    </row>
    <row r="151" spans="1:6" ht="14.7" thickBot="1" x14ac:dyDescent="0.55000000000000004">
      <c r="A151" s="18" t="s">
        <v>225</v>
      </c>
      <c r="B151" s="19"/>
      <c r="C151" s="19"/>
      <c r="D151" s="20"/>
    </row>
    <row r="152" spans="1:6" ht="28.7" x14ac:dyDescent="0.5">
      <c r="A152" s="1" t="s">
        <v>226</v>
      </c>
      <c r="B152" s="1" t="s">
        <v>228</v>
      </c>
      <c r="C152" s="1">
        <v>0.06</v>
      </c>
      <c r="D152" s="1"/>
    </row>
    <row r="153" spans="1:6" ht="28.7" x14ac:dyDescent="0.5">
      <c r="B153" s="1" t="s">
        <v>227</v>
      </c>
    </row>
    <row r="170" spans="1:4" ht="14.7" thickBot="1" x14ac:dyDescent="0.55000000000000004"/>
    <row r="171" spans="1:4" ht="14.7" thickBot="1" x14ac:dyDescent="0.55000000000000004">
      <c r="A171" s="18" t="s">
        <v>149</v>
      </c>
      <c r="B171" s="19"/>
      <c r="C171" s="19"/>
      <c r="D171" s="20"/>
    </row>
    <row r="172" spans="1:4" ht="28.7" x14ac:dyDescent="0.5">
      <c r="A172" s="1" t="s">
        <v>150</v>
      </c>
      <c r="B172" s="1" t="s">
        <v>148</v>
      </c>
      <c r="C172" s="1">
        <v>0</v>
      </c>
      <c r="D172" s="1"/>
    </row>
  </sheetData>
  <mergeCells count="11">
    <mergeCell ref="A171:D171"/>
    <mergeCell ref="A143:D143"/>
    <mergeCell ref="A2:D2"/>
    <mergeCell ref="A15:D15"/>
    <mergeCell ref="A43:D43"/>
    <mergeCell ref="A78:D78"/>
    <mergeCell ref="A105:D105"/>
    <mergeCell ref="A64:D64"/>
    <mergeCell ref="A68:D68"/>
    <mergeCell ref="A72:D72"/>
    <mergeCell ref="A151:D151"/>
  </mergeCells>
  <phoneticPr fontId="5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Input Equations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 Niemiec</dc:creator>
  <cp:lastModifiedBy>Roman Niemiec</cp:lastModifiedBy>
  <dcterms:created xsi:type="dcterms:W3CDTF">2025-01-13T21:53:22Z</dcterms:created>
  <dcterms:modified xsi:type="dcterms:W3CDTF">2025-02-15T05:43:05Z</dcterms:modified>
</cp:coreProperties>
</file>