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_flap_sizing\derivatives\"/>
    </mc:Choice>
  </mc:AlternateContent>
  <xr:revisionPtr revIDLastSave="0" documentId="13_ncr:1_{2B33F5E9-03F8-4955-A844-DDF5A5CD6473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49" i="3"/>
  <c r="C168" i="3"/>
  <c r="C167" i="3"/>
  <c r="C166" i="3"/>
  <c r="C163" i="3"/>
  <c r="C164" i="3" s="1"/>
  <c r="C33" i="3"/>
  <c r="C34" i="3"/>
  <c r="C35" i="3"/>
  <c r="C36" i="3"/>
  <c r="C40" i="3"/>
  <c r="C160" i="3" l="1"/>
  <c r="C158" i="3"/>
  <c r="C143" i="3"/>
  <c r="C110" i="3"/>
  <c r="F61" i="3"/>
  <c r="C139" i="3"/>
  <c r="C104" i="3"/>
  <c r="C101" i="3"/>
  <c r="C100" i="3"/>
  <c r="C99" i="3"/>
  <c r="C98" i="3"/>
  <c r="C97" i="3"/>
  <c r="C96" i="3"/>
  <c r="C95" i="3"/>
  <c r="C94" i="3"/>
  <c r="C137" i="3"/>
  <c r="C136" i="3"/>
  <c r="C135" i="3"/>
  <c r="C134" i="3"/>
  <c r="C133" i="3"/>
  <c r="C132" i="3"/>
  <c r="C131" i="3"/>
  <c r="C130" i="3"/>
  <c r="C70" i="3"/>
  <c r="C62" i="3"/>
  <c r="C60" i="3"/>
  <c r="C22" i="3"/>
  <c r="C23" i="3" s="1"/>
  <c r="C28" i="3"/>
  <c r="C125" i="3"/>
  <c r="C71" i="3" s="1"/>
  <c r="C121" i="3"/>
  <c r="C128" i="3" s="1"/>
  <c r="C107" i="3"/>
  <c r="C120" i="3" s="1"/>
  <c r="C106" i="3"/>
  <c r="C119" i="3" s="1"/>
  <c r="C80" i="3"/>
  <c r="C79" i="3"/>
  <c r="C89" i="3"/>
  <c r="C21" i="3"/>
  <c r="C20" i="3"/>
  <c r="C51" i="3"/>
  <c r="C85" i="3"/>
  <c r="C86" i="3" s="1"/>
  <c r="C82" i="3"/>
  <c r="C83" i="3" s="1"/>
  <c r="C49" i="3"/>
  <c r="C61" i="3" l="1"/>
  <c r="C66" i="3" s="1"/>
  <c r="C50" i="3"/>
  <c r="C63" i="3" l="1"/>
</calcChain>
</file>

<file path=xl/sharedStrings.xml><?xml version="1.0" encoding="utf-8"?>
<sst xmlns="http://schemas.openxmlformats.org/spreadsheetml/2006/main" count="439" uniqueCount="280">
  <si>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</si>
  <si>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</si>
  <si>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</si>
  <si>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</si>
  <si>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</si>
  <si>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</si>
  <si>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</si>
  <si>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</si>
  <si>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</si>
  <si>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</si>
  <si>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</si>
  <si>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</si>
  <si>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</si>
  <si>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</si>
  <si>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</si>
  <si>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</si>
  <si>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</si>
  <si>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</si>
  <si>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</si>
  <si>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</si>
  <si>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</si>
  <si>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</si>
  <si>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</si>
  <si>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</si>
  <si>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</si>
  <si>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</si>
  <si>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</si>
  <si>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</si>
  <si>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</si>
  <si>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</si>
  <si>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</si>
  <si>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</si>
  <si>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</si>
  <si>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</si>
  <si>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</si>
  <si>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</si>
  <si>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</si>
  <si>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</si>
  <si>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</si>
  <si>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</si>
  <si>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</si>
  <si>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</si>
  <si>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</si>
  <si>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</si>
  <si>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</si>
  <si>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</si>
  <si>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</si>
  <si>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</si>
  <si>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</si>
  <si>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</si>
  <si>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</si>
  <si>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</si>
  <si>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</si>
  <si>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</si>
  <si>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</si>
  <si>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</si>
  <si>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</si>
  <si>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</si>
  <si>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</si>
  <si>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</si>
  <si>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</si>
  <si>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</si>
  <si>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</si>
  <si>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</si>
  <si>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</si>
  <si>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</si>
  <si>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</si>
  <si>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</si>
  <si>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</si>
  <si>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</si>
  <si>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</si>
  <si>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</si>
  <si>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</si>
  <si>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</si>
  <si>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</si>
  <si>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</si>
  <si>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</si>
  <si>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</si>
  <si>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</si>
  <si>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</si>
  <si>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</si>
  <si>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</si>
  <si>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</si>
  <si>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</si>
  <si>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</si>
  <si>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</si>
  <si>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</si>
  <si>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</si>
  <si>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</si>
  <si>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</si>
  <si>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</si>
  <si>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</si>
  <si>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</si>
  <si>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</si>
  <si>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</si>
  <si>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</si>
  <si>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</si>
  <si>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</si>
  <si>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</si>
  <si>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</si>
  <si>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</si>
  <si>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</si>
  <si>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</si>
  <si>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</si>
  <si>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</si>
  <si>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</si>
  <si>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</si>
  <si>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</si>
  <si>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</si>
  <si>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</si>
  <si>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</si>
  <si>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</si>
  <si>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</si>
  <si>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</si>
  <si>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</si>
  <si>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</si>
  <si>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</si>
  <si>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</si>
  <si>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</si>
  <si>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</si>
  <si>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</si>
  <si>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</si>
  <si>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</si>
  <si>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</si>
  <si>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</si>
  <si>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</si>
  <si>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</si>
  <si>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</si>
  <si>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</si>
  <si>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</si>
  <si>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</si>
  <si>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</si>
  <si>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</si>
  <si>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</si>
  <si>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</si>
  <si>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</si>
  <si>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</si>
  <si>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</si>
  <si>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</si>
  <si>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</si>
  <si>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</si>
  <si>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</si>
  <si>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</si>
  <si>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</si>
  <si>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</si>
  <si>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</si>
  <si>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</si>
  <si>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</si>
  <si>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</si>
  <si>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</si>
  <si>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</si>
  <si>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</si>
  <si>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</si>
  <si>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</si>
  <si>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</si>
  <si>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</si>
  <si>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</si>
  <si>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</si>
  <si>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</si>
  <si>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</si>
  <si>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</si>
  <si>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</si>
  <si>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</si>
  <si>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</si>
  <si>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</si>
  <si>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</si>
  <si>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</si>
  <si>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</si>
  <si>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</si>
  <si>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</si>
  <si>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</si>
  <si>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</si>
  <si>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</si>
  <si>
    <t>Units</t>
  </si>
  <si>
    <t>cross sectional area of the largest diameter part of the fuselage</t>
  </si>
  <si>
    <t>A_area</t>
  </si>
  <si>
    <t>Diameter of the above area, assumed to be a circle</t>
  </si>
  <si>
    <t>D</t>
  </si>
  <si>
    <t>sq ft</t>
  </si>
  <si>
    <t>planform area of the EBR behind point where shedding vortices start appearing</t>
  </si>
  <si>
    <t>S_P_x0</t>
  </si>
  <si>
    <t>slenderness of the fuselage</t>
  </si>
  <si>
    <t>lf_D</t>
  </si>
  <si>
    <t>dimensionless</t>
  </si>
  <si>
    <t>Wing-Body Geometry</t>
  </si>
  <si>
    <t>ratio of max fuse diameter to wing span</t>
  </si>
  <si>
    <t>D_b</t>
  </si>
  <si>
    <t>Wing-Tail Geometry</t>
  </si>
  <si>
    <t>arm factor</t>
  </si>
  <si>
    <t>tail factor</t>
  </si>
  <si>
    <t>armfactor</t>
  </si>
  <si>
    <t>tailfactor</t>
  </si>
  <si>
    <t>General Tail Geometry</t>
  </si>
  <si>
    <t>alpha_V</t>
  </si>
  <si>
    <t>alpha of vertical tail (0 for straight leveled flight)</t>
  </si>
  <si>
    <t>airfoil_tailhorizontal</t>
  </si>
  <si>
    <t>NACA 0012</t>
  </si>
  <si>
    <t>NA (note this does not import properly into matlab</t>
  </si>
  <si>
    <t>Dimensionless note this does not import properly into matlab</t>
  </si>
  <si>
    <t>S1_horizontal</t>
  </si>
  <si>
    <t>S2_horizontal</t>
  </si>
  <si>
    <t>S3_horizontal</t>
  </si>
  <si>
    <t>S4_horizontal</t>
  </si>
  <si>
    <t>cbarbar1_horizontal</t>
  </si>
  <si>
    <t>cbarbar2_horizontal</t>
  </si>
  <si>
    <t>cbarbar3_horizontal</t>
  </si>
  <si>
    <t>cbarbar4_horizontal</t>
  </si>
  <si>
    <t>S1_vertical</t>
  </si>
  <si>
    <t>S2_vertical</t>
  </si>
  <si>
    <t>S3_vertical</t>
  </si>
  <si>
    <t>S4_vertical</t>
  </si>
  <si>
    <t>cbarbar1_vertical</t>
  </si>
  <si>
    <t>cbarbar2_vertical</t>
  </si>
  <si>
    <t>cbarbar3_vertical</t>
  </si>
  <si>
    <t>cbarbar4_vertical</t>
  </si>
  <si>
    <t>epsilon_i_vertical</t>
  </si>
  <si>
    <t>radians</t>
  </si>
  <si>
    <t>airfoil_vertical</t>
  </si>
  <si>
    <t>effective area of vertical tail</t>
  </si>
  <si>
    <t>effective area of the horizontal tail</t>
  </si>
  <si>
    <t>STe_V</t>
  </si>
  <si>
    <t>STe</t>
  </si>
  <si>
    <t>actual incidence angle of corsair</t>
  </si>
  <si>
    <t>&lt;-- Previous method</t>
  </si>
  <si>
    <t>area of cabin/cockpit</t>
  </si>
  <si>
    <t>from online estimates (AI) of A29</t>
  </si>
  <si>
    <t>d_GBU12</t>
  </si>
  <si>
    <t>GBU12 bomb diameter</t>
  </si>
  <si>
    <t>area_GBU12</t>
  </si>
  <si>
    <t>2D area of GBU12</t>
  </si>
  <si>
    <t>C_D_bombWithPylonNOINTDRAG</t>
  </si>
  <si>
    <t>Generic bomb drag</t>
  </si>
  <si>
    <t>in</t>
  </si>
  <si>
    <t>Hoerner</t>
  </si>
  <si>
    <t>W_GBU12</t>
  </si>
  <si>
    <t>lbs</t>
  </si>
  <si>
    <t>weight of GBU12</t>
  </si>
  <si>
    <t>Number of bombs</t>
  </si>
  <si>
    <t>#</t>
  </si>
  <si>
    <t>External Parts</t>
  </si>
  <si>
    <t>area_250DropTank</t>
  </si>
  <si>
    <t>250 gal drop tank d</t>
  </si>
  <si>
    <t xml:space="preserve">250 gal drop tank </t>
  </si>
  <si>
    <t>d_250DropTank</t>
  </si>
  <si>
    <t>drop tank drag</t>
  </si>
  <si>
    <t>C_D_dropTank</t>
  </si>
  <si>
    <t>bombNumAtt</t>
  </si>
  <si>
    <t>bombNumRec</t>
  </si>
  <si>
    <t>75 gal drop tank d</t>
  </si>
  <si>
    <t xml:space="preserve">75 gal drop tank </t>
  </si>
  <si>
    <t>d_75DropTank</t>
  </si>
  <si>
    <t>area_75DropTank</t>
  </si>
  <si>
    <t>drop tank wing drag</t>
  </si>
  <si>
    <t>C_D_dropTankWing</t>
  </si>
  <si>
    <t>EO/ISR Drag value</t>
  </si>
  <si>
    <t>C_D_ISR</t>
  </si>
  <si>
    <t>Found through calc</t>
  </si>
  <si>
    <t>area_ISR</t>
  </si>
  <si>
    <t>EO/ISR Area</t>
  </si>
  <si>
    <t>f^2</t>
  </si>
  <si>
    <t>120 gal drop tank</t>
  </si>
  <si>
    <t>area120DropTank</t>
  </si>
  <si>
    <t>120 gal drop tank d</t>
  </si>
  <si>
    <t>d_120dropTank</t>
  </si>
  <si>
    <t>Wing Chord Section 1</t>
  </si>
  <si>
    <t>Wing Chord Section 2</t>
  </si>
  <si>
    <t>Wing Chord Section 3</t>
  </si>
  <si>
    <t>Wing Chord Section 4</t>
  </si>
  <si>
    <t>assuming c_barbar_i = S_i/b_i</t>
  </si>
  <si>
    <t>d_175dropTank</t>
  </si>
  <si>
    <t>area175DropTank</t>
  </si>
  <si>
    <t>175 gal drop tank d</t>
  </si>
  <si>
    <t>175 gal drop tank</t>
  </si>
  <si>
    <t>area_AGM65</t>
  </si>
  <si>
    <t>2D area of AGM65</t>
  </si>
  <si>
    <t>d_AGM65</t>
  </si>
  <si>
    <t>AGM65  diameter</t>
  </si>
  <si>
    <t>d_AIM9</t>
  </si>
  <si>
    <t>AIM9 diameter</t>
  </si>
  <si>
    <t>2D area of AIM9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</si>
</sst>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 applyAlignment="1">
      <alignment horizontal="left" vertical="center" inden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G181"/>
  <sheetViews>
    <sheetView tabSelected="1" zoomScale="120" zoomScaleNormal="120" workbookViewId="0">
      <pane ySplit="3" topLeftCell="A167" activePane="bottomLeft" state="frozen"/>
      <selection pane="bottomLeft" activeCell="H174" sqref="H174"/>
    </sheetView>
  </sheetViews>
  <sheetFormatPr defaultColWidth="8.8203125" defaultRowHeight="14.35" x14ac:dyDescent="0.5"/>
  <cols>
    <col min="1" max="1" width="17.17578125" customWidth="1"/>
    <col min="2" max="2" width="14" bestFit="1" customWidth="1"/>
    <col min="3" max="3" width="11.6445312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22" t="s">
        <v>4</v>
      </c>
      <c r="B2" s="23"/>
      <c r="C2" s="23"/>
      <c r="D2" s="24"/>
    </row>
    <row r="3" spans="1:4" ht="14.7" thickBot="1" x14ac:dyDescent="0.55000000000000004">
      <c r="A3" s="14" t="s">
        <v>5</v>
      </c>
      <c r="B3" s="15" t="s">
        <v>6</v>
      </c>
      <c r="C3" s="15" t="s">
        <v>29</v>
      </c>
      <c r="D3" s="16" t="s">
        <v>173</v>
      </c>
    </row>
    <row r="4" spans="1:4" x14ac:dyDescent="0.5">
      <c r="A4" s="1" t="s">
        <v>10</v>
      </c>
      <c r="B4" s="1" t="s">
        <v>0</v>
      </c>
      <c r="C4" s="1">
        <v>224</v>
      </c>
      <c r="D4" s="1" t="s">
        <v>12</v>
      </c>
    </row>
    <row r="5" spans="1:4" x14ac:dyDescent="0.5">
      <c r="A5" s="1" t="s">
        <v>9</v>
      </c>
      <c r="B5" s="1" t="s">
        <v>7</v>
      </c>
      <c r="C5" s="1">
        <v>280</v>
      </c>
      <c r="D5" s="1" t="s">
        <v>13</v>
      </c>
    </row>
    <row r="6" spans="1:4" x14ac:dyDescent="0.5">
      <c r="A6" s="1" t="s">
        <v>108</v>
      </c>
      <c r="B6" s="1" t="s">
        <v>106</v>
      </c>
      <c r="C6" s="1">
        <v>329</v>
      </c>
      <c r="D6" s="1" t="s">
        <v>13</v>
      </c>
    </row>
    <row r="7" spans="1:4" x14ac:dyDescent="0.5">
      <c r="A7" s="1" t="s">
        <v>107</v>
      </c>
      <c r="B7" s="1" t="s">
        <v>109</v>
      </c>
      <c r="C7" s="1">
        <v>67</v>
      </c>
      <c r="D7" s="1" t="s">
        <v>13</v>
      </c>
    </row>
    <row r="8" spans="1:4" x14ac:dyDescent="0.5">
      <c r="A8" s="1" t="s">
        <v>11</v>
      </c>
      <c r="B8" s="1" t="s">
        <v>8</v>
      </c>
      <c r="C8" s="1">
        <v>25000</v>
      </c>
      <c r="D8" s="1" t="s">
        <v>14</v>
      </c>
    </row>
    <row r="9" spans="1:4" x14ac:dyDescent="0.5">
      <c r="A9" s="1" t="s">
        <v>41</v>
      </c>
      <c r="B9" s="1" t="s">
        <v>42</v>
      </c>
      <c r="C9" s="1">
        <v>39.6</v>
      </c>
      <c r="D9" s="1" t="s">
        <v>14</v>
      </c>
    </row>
    <row r="10" spans="1:4" x14ac:dyDescent="0.5">
      <c r="A10" s="1" t="s">
        <v>143</v>
      </c>
      <c r="B10" s="1" t="s">
        <v>144</v>
      </c>
      <c r="C10" s="1">
        <v>5</v>
      </c>
      <c r="D10" s="1"/>
    </row>
    <row r="11" spans="1:4" x14ac:dyDescent="0.5">
      <c r="A11" s="1" t="s">
        <v>152</v>
      </c>
      <c r="B11" s="1" t="s">
        <v>153</v>
      </c>
      <c r="C11" s="1">
        <v>12430</v>
      </c>
      <c r="D11" s="1" t="s">
        <v>20</v>
      </c>
    </row>
    <row r="12" spans="1:4" x14ac:dyDescent="0.5">
      <c r="A12" s="1"/>
      <c r="B12" s="1"/>
      <c r="C12" s="1"/>
      <c r="D12" s="1"/>
    </row>
    <row r="13" spans="1:4" x14ac:dyDescent="0.5">
      <c r="A13" s="1"/>
      <c r="B13" s="1"/>
      <c r="C13" s="1"/>
      <c r="D13" s="1"/>
    </row>
    <row r="14" spans="1:4" ht="14.7" thickBot="1" x14ac:dyDescent="0.55000000000000004">
      <c r="A14" s="1"/>
      <c r="B14" s="1"/>
      <c r="C14" s="1"/>
      <c r="D14" s="1"/>
    </row>
    <row r="15" spans="1:4" ht="14.7" thickBot="1" x14ac:dyDescent="0.55000000000000004">
      <c r="A15" s="19" t="s">
        <v>53</v>
      </c>
      <c r="B15" s="20"/>
      <c r="C15" s="20"/>
      <c r="D15" s="21"/>
    </row>
    <row r="16" spans="1:4" x14ac:dyDescent="0.5">
      <c r="A16" s="1" t="s">
        <v>16</v>
      </c>
      <c r="B16" s="1" t="s">
        <v>1</v>
      </c>
      <c r="C16" s="1">
        <v>7.4</v>
      </c>
      <c r="D16" s="1" t="s">
        <v>14</v>
      </c>
    </row>
    <row r="17" spans="1:4" x14ac:dyDescent="0.5">
      <c r="A17" s="1" t="s">
        <v>17</v>
      </c>
      <c r="B17" s="1" t="s">
        <v>2</v>
      </c>
      <c r="C17" s="1">
        <v>3.5</v>
      </c>
      <c r="D17" s="1" t="s">
        <v>14</v>
      </c>
    </row>
    <row r="18" spans="1:4" x14ac:dyDescent="0.5">
      <c r="A18" s="1" t="s">
        <v>34</v>
      </c>
      <c r="B18" s="1" t="s">
        <v>3</v>
      </c>
      <c r="C18" s="1">
        <v>5.45</v>
      </c>
      <c r="D18" s="1" t="s">
        <v>14</v>
      </c>
    </row>
    <row r="19" spans="1:4" x14ac:dyDescent="0.5">
      <c r="A19" s="5" t="s">
        <v>15</v>
      </c>
      <c r="B19" s="5" t="s">
        <v>33</v>
      </c>
      <c r="C19" s="5">
        <v>6.1353</v>
      </c>
      <c r="D19" s="1" t="s">
        <v>14</v>
      </c>
    </row>
    <row r="20" spans="1:4" x14ac:dyDescent="0.5">
      <c r="A20" s="1" t="s">
        <v>46</v>
      </c>
      <c r="B20" s="1" t="s">
        <v>48</v>
      </c>
      <c r="C20" s="5">
        <f>0.18*C16</f>
        <v>1.3320000000000001</v>
      </c>
      <c r="D20" s="1" t="s">
        <v>14</v>
      </c>
    </row>
    <row r="21" spans="1:4" x14ac:dyDescent="0.5">
      <c r="A21" s="1" t="s">
        <v>47</v>
      </c>
      <c r="B21" s="1" t="s">
        <v>49</v>
      </c>
      <c r="C21" s="5">
        <f>0.15*C17</f>
        <v>0.52500000000000002</v>
      </c>
      <c r="D21" s="1" t="s">
        <v>14</v>
      </c>
    </row>
    <row r="22" spans="1:4" x14ac:dyDescent="0.5">
      <c r="A22" s="1" t="s">
        <v>50</v>
      </c>
      <c r="B22" s="1" t="s">
        <v>51</v>
      </c>
      <c r="C22" s="5">
        <f>((C9)^2)/C4</f>
        <v>7.0007142857142863</v>
      </c>
      <c r="D22" s="1" t="s">
        <v>52</v>
      </c>
    </row>
    <row r="23" spans="1:4" x14ac:dyDescent="0.5">
      <c r="A23" s="1" t="s">
        <v>50</v>
      </c>
      <c r="B23" s="1" t="s">
        <v>110</v>
      </c>
      <c r="C23" s="5">
        <f>C22</f>
        <v>7.0007142857142863</v>
      </c>
      <c r="D23" s="1" t="s">
        <v>52</v>
      </c>
    </row>
    <row r="24" spans="1:4" x14ac:dyDescent="0.5">
      <c r="A24" s="1" t="s">
        <v>60</v>
      </c>
      <c r="B24" s="6" t="s">
        <v>27</v>
      </c>
      <c r="C24" s="1">
        <v>8.7759999999999998</v>
      </c>
      <c r="D24" s="1" t="s">
        <v>56</v>
      </c>
    </row>
    <row r="25" spans="1:4" x14ac:dyDescent="0.5">
      <c r="A25" s="1" t="s">
        <v>54</v>
      </c>
      <c r="B25" s="6" t="s">
        <v>57</v>
      </c>
      <c r="C25" s="1">
        <v>2.9012129999999998</v>
      </c>
      <c r="D25" s="1" t="s">
        <v>56</v>
      </c>
    </row>
    <row r="26" spans="1:4" x14ac:dyDescent="0.5">
      <c r="A26" s="1" t="s">
        <v>55</v>
      </c>
      <c r="B26" s="6" t="s">
        <v>58</v>
      </c>
      <c r="C26" s="1">
        <v>0.16797799999999999</v>
      </c>
      <c r="D26" s="1" t="s">
        <v>56</v>
      </c>
    </row>
    <row r="27" spans="1:4" x14ac:dyDescent="0.5">
      <c r="A27" s="1" t="s">
        <v>59</v>
      </c>
      <c r="B27" s="6" t="s">
        <v>61</v>
      </c>
      <c r="C27" s="1">
        <v>-8.7759999999999998</v>
      </c>
      <c r="D27" s="1" t="s">
        <v>56</v>
      </c>
    </row>
    <row r="28" spans="1:4" x14ac:dyDescent="0.5">
      <c r="A28" s="1" t="s">
        <v>112</v>
      </c>
      <c r="B28" s="6" t="s">
        <v>111</v>
      </c>
      <c r="C28" s="5">
        <f>C17/C16</f>
        <v>0.47297297297297297</v>
      </c>
      <c r="D28" s="1" t="s">
        <v>52</v>
      </c>
    </row>
    <row r="29" spans="1:4" x14ac:dyDescent="0.5">
      <c r="A29" s="1" t="s">
        <v>113</v>
      </c>
      <c r="B29" s="6" t="s">
        <v>114</v>
      </c>
      <c r="C29" s="5">
        <v>37.24</v>
      </c>
      <c r="D29" s="1" t="s">
        <v>12</v>
      </c>
    </row>
    <row r="30" spans="1:4" x14ac:dyDescent="0.5">
      <c r="A30" s="1" t="s">
        <v>115</v>
      </c>
      <c r="B30" s="6" t="s">
        <v>118</v>
      </c>
      <c r="C30" s="5">
        <v>33.770000000000003</v>
      </c>
      <c r="D30" s="1" t="s">
        <v>12</v>
      </c>
    </row>
    <row r="31" spans="1:4" x14ac:dyDescent="0.5">
      <c r="A31" s="1" t="s">
        <v>116</v>
      </c>
      <c r="B31" s="6" t="s">
        <v>119</v>
      </c>
      <c r="C31" s="5">
        <v>25.38</v>
      </c>
      <c r="D31" s="1" t="s">
        <v>12</v>
      </c>
    </row>
    <row r="32" spans="1:4" x14ac:dyDescent="0.5">
      <c r="A32" s="1" t="s">
        <v>117</v>
      </c>
      <c r="B32" s="6" t="s">
        <v>120</v>
      </c>
      <c r="C32" s="5">
        <v>17.147291670000001</v>
      </c>
      <c r="D32" s="1" t="s">
        <v>12</v>
      </c>
    </row>
    <row r="33" spans="1:5" ht="28.7" x14ac:dyDescent="0.5">
      <c r="A33" s="1" t="s">
        <v>264</v>
      </c>
      <c r="B33" s="6" t="s">
        <v>128</v>
      </c>
      <c r="C33" s="5">
        <f>C29/5</f>
        <v>7.4480000000000004</v>
      </c>
      <c r="D33" s="1" t="s">
        <v>14</v>
      </c>
    </row>
    <row r="34" spans="1:5" ht="28.7" x14ac:dyDescent="0.5">
      <c r="A34" s="1" t="s">
        <v>265</v>
      </c>
      <c r="B34" s="6" t="s">
        <v>125</v>
      </c>
      <c r="C34" s="5">
        <f>C30/5.02</f>
        <v>6.727091633466137</v>
      </c>
      <c r="D34" s="1" t="s">
        <v>14</v>
      </c>
    </row>
    <row r="35" spans="1:5" ht="28.7" x14ac:dyDescent="0.5">
      <c r="A35" s="1" t="s">
        <v>266</v>
      </c>
      <c r="B35" s="6" t="s">
        <v>126</v>
      </c>
      <c r="C35" s="5">
        <f>C31/4.764</f>
        <v>5.3274559193954651</v>
      </c>
      <c r="D35" s="1" t="s">
        <v>14</v>
      </c>
      <c r="E35" t="s">
        <v>268</v>
      </c>
    </row>
    <row r="36" spans="1:5" ht="28.7" x14ac:dyDescent="0.5">
      <c r="A36" s="1" t="s">
        <v>267</v>
      </c>
      <c r="B36" s="6" t="s">
        <v>127</v>
      </c>
      <c r="C36" s="5">
        <f>C32/4.2</f>
        <v>4.0826884928571427</v>
      </c>
      <c r="D36" s="1" t="s">
        <v>14</v>
      </c>
    </row>
    <row r="37" spans="1:5" ht="28.7" x14ac:dyDescent="0.5">
      <c r="A37" s="1" t="s">
        <v>130</v>
      </c>
      <c r="B37" s="6" t="s">
        <v>129</v>
      </c>
      <c r="C37" s="1">
        <v>0</v>
      </c>
      <c r="D37" s="1"/>
    </row>
    <row r="38" spans="1:5" ht="14" customHeight="1" x14ac:dyDescent="0.5">
      <c r="A38" s="1" t="s">
        <v>132</v>
      </c>
      <c r="B38" s="6" t="s">
        <v>131</v>
      </c>
      <c r="C38" s="1" t="s">
        <v>147</v>
      </c>
      <c r="D38" s="1" t="s">
        <v>197</v>
      </c>
    </row>
    <row r="39" spans="1:5" ht="28.7" x14ac:dyDescent="0.5">
      <c r="A39" s="1" t="s">
        <v>142</v>
      </c>
      <c r="B39" s="6" t="s">
        <v>141</v>
      </c>
      <c r="C39" s="5">
        <v>0</v>
      </c>
      <c r="D39" s="1"/>
    </row>
    <row r="40" spans="1:5" ht="28.7" x14ac:dyDescent="0.5">
      <c r="A40" s="1" t="s">
        <v>146</v>
      </c>
      <c r="B40" s="6" t="s">
        <v>145</v>
      </c>
      <c r="C40" s="5">
        <f>C108</f>
        <v>41</v>
      </c>
      <c r="D40" s="1" t="s">
        <v>12</v>
      </c>
    </row>
    <row r="41" spans="1:5" x14ac:dyDescent="0.5">
      <c r="A41" s="1"/>
      <c r="B41" s="6"/>
      <c r="C41" s="5"/>
      <c r="D41" s="1"/>
    </row>
    <row r="42" spans="1:5" ht="14.7" thickBot="1" x14ac:dyDescent="0.55000000000000004">
      <c r="A42" s="1"/>
      <c r="B42" s="6"/>
      <c r="C42" s="5"/>
      <c r="D42" s="1"/>
    </row>
    <row r="43" spans="1:5" ht="14.7" thickBot="1" x14ac:dyDescent="0.55000000000000004">
      <c r="A43" s="19" t="s">
        <v>64</v>
      </c>
      <c r="B43" s="20"/>
      <c r="C43" s="20"/>
      <c r="D43" s="21"/>
    </row>
    <row r="44" spans="1:5" x14ac:dyDescent="0.5">
      <c r="A44" s="1" t="s">
        <v>22</v>
      </c>
      <c r="B44" s="1" t="s">
        <v>18</v>
      </c>
      <c r="C44" s="1">
        <v>20.329999999999998</v>
      </c>
      <c r="D44" s="1" t="s">
        <v>14</v>
      </c>
    </row>
    <row r="45" spans="1:5" x14ac:dyDescent="0.5">
      <c r="A45" s="1" t="s">
        <v>23</v>
      </c>
      <c r="B45" s="1" t="s">
        <v>19</v>
      </c>
      <c r="C45" s="1">
        <v>7.3025000000000002</v>
      </c>
      <c r="D45" s="1" t="s">
        <v>14</v>
      </c>
    </row>
    <row r="46" spans="1:5" ht="28.7" x14ac:dyDescent="0.5">
      <c r="A46" s="1" t="s">
        <v>24</v>
      </c>
      <c r="B46" s="1" t="s">
        <v>20</v>
      </c>
      <c r="C46" s="1">
        <v>13.2958</v>
      </c>
      <c r="D46" s="1" t="s">
        <v>14</v>
      </c>
    </row>
    <row r="47" spans="1:5" x14ac:dyDescent="0.5">
      <c r="A47" s="1" t="s">
        <v>25</v>
      </c>
      <c r="B47" s="1" t="s">
        <v>21</v>
      </c>
      <c r="C47" s="1">
        <v>14.1866</v>
      </c>
      <c r="D47" s="1" t="s">
        <v>14</v>
      </c>
    </row>
    <row r="48" spans="1:5" x14ac:dyDescent="0.5">
      <c r="A48" s="1" t="s">
        <v>26</v>
      </c>
      <c r="B48" s="1" t="s">
        <v>27</v>
      </c>
      <c r="C48" s="1">
        <v>8.7759999999999998</v>
      </c>
      <c r="D48" s="1" t="s">
        <v>28</v>
      </c>
    </row>
    <row r="49" spans="1:7" x14ac:dyDescent="0.5">
      <c r="A49" s="1"/>
      <c r="B49" s="5" t="s">
        <v>30</v>
      </c>
      <c r="C49" s="5">
        <f>0.25*0.225*C4</f>
        <v>12.6</v>
      </c>
      <c r="D49" s="1"/>
    </row>
    <row r="50" spans="1:7" x14ac:dyDescent="0.5">
      <c r="A50" s="1"/>
      <c r="B50" s="1" t="s">
        <v>31</v>
      </c>
      <c r="C50" s="1">
        <f>0.225*C19</f>
        <v>1.3804425</v>
      </c>
      <c r="D50" s="1"/>
    </row>
    <row r="51" spans="1:7" x14ac:dyDescent="0.5">
      <c r="A51" s="1"/>
      <c r="B51" s="1" t="s">
        <v>32</v>
      </c>
      <c r="C51" s="1">
        <f>0.225*C19</f>
        <v>1.3804425</v>
      </c>
      <c r="D51" s="1"/>
    </row>
    <row r="52" spans="1:7" x14ac:dyDescent="0.5">
      <c r="A52" s="1" t="s">
        <v>90</v>
      </c>
      <c r="B52" s="1" t="s">
        <v>19</v>
      </c>
      <c r="C52" s="1">
        <v>7.3025000000000002</v>
      </c>
      <c r="D52" s="1" t="s">
        <v>14</v>
      </c>
    </row>
    <row r="53" spans="1:7" ht="28.7" x14ac:dyDescent="0.5">
      <c r="A53" s="1" t="s">
        <v>91</v>
      </c>
      <c r="B53" s="1" t="s">
        <v>20</v>
      </c>
      <c r="C53" s="1">
        <v>13.2958</v>
      </c>
      <c r="D53" s="1" t="s">
        <v>14</v>
      </c>
    </row>
    <row r="54" spans="1:7" ht="28.7" x14ac:dyDescent="0.5">
      <c r="A54" s="1" t="s">
        <v>95</v>
      </c>
      <c r="B54" s="1" t="s">
        <v>103</v>
      </c>
      <c r="C54" s="1">
        <v>101.23</v>
      </c>
      <c r="D54" s="1" t="s">
        <v>12</v>
      </c>
    </row>
    <row r="55" spans="1:7" ht="28.7" x14ac:dyDescent="0.5">
      <c r="A55" s="1" t="s">
        <v>96</v>
      </c>
      <c r="B55" s="1" t="s">
        <v>104</v>
      </c>
      <c r="C55" s="1">
        <v>27.09</v>
      </c>
      <c r="D55" s="1" t="s">
        <v>12</v>
      </c>
    </row>
    <row r="56" spans="1:7" ht="57.35" x14ac:dyDescent="0.5">
      <c r="A56" s="1" t="s">
        <v>224</v>
      </c>
      <c r="B56" s="1" t="s">
        <v>166</v>
      </c>
      <c r="C56" s="1">
        <v>65</v>
      </c>
      <c r="D56" s="1" t="s">
        <v>12</v>
      </c>
      <c r="E56" s="1" t="s">
        <v>225</v>
      </c>
    </row>
    <row r="57" spans="1:7" ht="28.7" x14ac:dyDescent="0.5">
      <c r="A57" s="1" t="s">
        <v>168</v>
      </c>
      <c r="B57" s="1" t="s">
        <v>167</v>
      </c>
      <c r="C57" s="1">
        <v>6.31</v>
      </c>
      <c r="D57" s="1" t="s">
        <v>28</v>
      </c>
    </row>
    <row r="58" spans="1:7" ht="28.7" x14ac:dyDescent="0.5">
      <c r="A58" s="1" t="s">
        <v>170</v>
      </c>
      <c r="B58" s="1" t="s">
        <v>169</v>
      </c>
      <c r="C58" s="1">
        <v>0</v>
      </c>
      <c r="D58" s="1" t="s">
        <v>28</v>
      </c>
    </row>
    <row r="59" spans="1:7" ht="86" x14ac:dyDescent="0.5">
      <c r="A59" s="7" t="s">
        <v>172</v>
      </c>
      <c r="B59" s="7" t="s">
        <v>171</v>
      </c>
      <c r="C59" s="7">
        <v>0.8</v>
      </c>
      <c r="D59" s="7"/>
    </row>
    <row r="60" spans="1:7" ht="57.35" x14ac:dyDescent="0.5">
      <c r="A60" s="1" t="s">
        <v>174</v>
      </c>
      <c r="B60" s="1" t="s">
        <v>175</v>
      </c>
      <c r="C60" s="1">
        <f>2786.86 / 144</f>
        <v>19.353194444444444</v>
      </c>
      <c r="D60" s="1" t="s">
        <v>178</v>
      </c>
    </row>
    <row r="61" spans="1:7" ht="57.35" x14ac:dyDescent="0.5">
      <c r="A61" s="1" t="s">
        <v>176</v>
      </c>
      <c r="B61" s="1" t="s">
        <v>177</v>
      </c>
      <c r="C61" s="1">
        <f>C60/PI()</f>
        <v>6.1603131209038811</v>
      </c>
      <c r="D61" s="1" t="s">
        <v>14</v>
      </c>
      <c r="F61" s="1">
        <f>SQRT(4*F60/3.14159265)</f>
        <v>0</v>
      </c>
      <c r="G61" t="s">
        <v>223</v>
      </c>
    </row>
    <row r="62" spans="1:7" ht="71.7" x14ac:dyDescent="0.5">
      <c r="A62" s="1" t="s">
        <v>179</v>
      </c>
      <c r="B62" s="1" t="s">
        <v>180</v>
      </c>
      <c r="C62" s="1">
        <f>3158.78/144</f>
        <v>21.935972222222222</v>
      </c>
      <c r="D62" s="1" t="s">
        <v>178</v>
      </c>
    </row>
    <row r="63" spans="1:7" ht="29" thickBot="1" x14ac:dyDescent="0.55000000000000004">
      <c r="A63" s="1" t="s">
        <v>181</v>
      </c>
      <c r="B63" s="1" t="s">
        <v>182</v>
      </c>
      <c r="C63" s="1">
        <f>C44/C61</f>
        <v>3.3001569240066564</v>
      </c>
      <c r="D63" s="1" t="s">
        <v>183</v>
      </c>
    </row>
    <row r="64" spans="1:7" ht="14.7" thickBot="1" x14ac:dyDescent="0.55000000000000004">
      <c r="A64" s="19" t="s">
        <v>184</v>
      </c>
      <c r="B64" s="20"/>
      <c r="C64" s="20"/>
      <c r="D64" s="21"/>
    </row>
    <row r="65" spans="1:4" x14ac:dyDescent="0.5">
      <c r="A65" s="10" t="s">
        <v>5</v>
      </c>
      <c r="B65" s="11" t="s">
        <v>6</v>
      </c>
      <c r="C65" s="11" t="s">
        <v>29</v>
      </c>
      <c r="D65" s="12" t="s">
        <v>173</v>
      </c>
    </row>
    <row r="66" spans="1:4" ht="43" x14ac:dyDescent="0.5">
      <c r="A66" s="1" t="s">
        <v>185</v>
      </c>
      <c r="B66" s="1" t="s">
        <v>186</v>
      </c>
      <c r="C66" s="1">
        <f>C61/C9</f>
        <v>0.15556346264908791</v>
      </c>
      <c r="D66" s="1" t="s">
        <v>183</v>
      </c>
    </row>
    <row r="67" spans="1:4" x14ac:dyDescent="0.5">
      <c r="A67" s="1"/>
      <c r="B67" s="1"/>
      <c r="C67" s="1"/>
      <c r="D67" s="1"/>
    </row>
    <row r="68" spans="1:4" ht="16" customHeight="1" thickBot="1" x14ac:dyDescent="0.55000000000000004">
      <c r="A68" s="25" t="s">
        <v>187</v>
      </c>
      <c r="B68" s="26"/>
      <c r="C68" s="26"/>
      <c r="D68" s="27"/>
    </row>
    <row r="69" spans="1:4" ht="14.7" thickBot="1" x14ac:dyDescent="0.55000000000000004">
      <c r="A69" s="2" t="s">
        <v>5</v>
      </c>
      <c r="B69" s="3" t="s">
        <v>6</v>
      </c>
      <c r="C69" s="3" t="s">
        <v>29</v>
      </c>
      <c r="D69" s="4" t="s">
        <v>173</v>
      </c>
    </row>
    <row r="70" spans="1:4" ht="28.7" x14ac:dyDescent="0.5">
      <c r="A70" s="1" t="s">
        <v>188</v>
      </c>
      <c r="B70" s="1" t="s">
        <v>190</v>
      </c>
      <c r="C70" s="1">
        <f>2*C124/C9</f>
        <v>0.73707272727272721</v>
      </c>
      <c r="D70" s="1" t="s">
        <v>183</v>
      </c>
    </row>
    <row r="71" spans="1:4" ht="28.7" x14ac:dyDescent="0.5">
      <c r="A71" s="1" t="s">
        <v>189</v>
      </c>
      <c r="B71" s="1" t="s">
        <v>191</v>
      </c>
      <c r="C71" s="1">
        <f>ABS(2*C125/C9)</f>
        <v>0.13257575757575757</v>
      </c>
      <c r="D71" s="1" t="s">
        <v>183</v>
      </c>
    </row>
    <row r="72" spans="1:4" ht="14.7" thickBot="1" x14ac:dyDescent="0.55000000000000004">
      <c r="A72" s="25" t="s">
        <v>192</v>
      </c>
      <c r="B72" s="26"/>
      <c r="C72" s="26"/>
      <c r="D72" s="27"/>
    </row>
    <row r="73" spans="1:4" x14ac:dyDescent="0.5">
      <c r="A73" s="13"/>
      <c r="B73" s="13"/>
      <c r="C73" s="13"/>
      <c r="D73" s="13"/>
    </row>
    <row r="74" spans="1:4" x14ac:dyDescent="0.5">
      <c r="A74" s="13"/>
      <c r="B74" s="13"/>
      <c r="C74" s="13"/>
      <c r="D74" s="13"/>
    </row>
    <row r="75" spans="1:4" x14ac:dyDescent="0.5">
      <c r="A75" s="13"/>
      <c r="B75" s="13"/>
      <c r="C75" s="13"/>
      <c r="D75" s="13"/>
    </row>
    <row r="76" spans="1:4" x14ac:dyDescent="0.5">
      <c r="A76" s="13"/>
      <c r="B76" s="13"/>
      <c r="C76" s="13"/>
      <c r="D76" s="13"/>
    </row>
    <row r="77" spans="1:4" ht="14.7" thickBot="1" x14ac:dyDescent="0.55000000000000004">
      <c r="A77" s="1"/>
      <c r="B77" s="1"/>
      <c r="C77" s="1"/>
      <c r="D77" s="1"/>
    </row>
    <row r="78" spans="1:4" ht="14.7" thickBot="1" x14ac:dyDescent="0.55000000000000004">
      <c r="A78" s="19" t="s">
        <v>85</v>
      </c>
      <c r="B78" s="20"/>
      <c r="C78" s="20"/>
      <c r="D78" s="21"/>
    </row>
    <row r="79" spans="1:4" x14ac:dyDescent="0.5">
      <c r="A79" s="1" t="s">
        <v>16</v>
      </c>
      <c r="B79" s="1" t="s">
        <v>71</v>
      </c>
      <c r="C79" s="1">
        <f>65.6/12</f>
        <v>5.4666666666666659</v>
      </c>
      <c r="D79" s="1" t="s">
        <v>14</v>
      </c>
    </row>
    <row r="80" spans="1:4" x14ac:dyDescent="0.5">
      <c r="A80" s="1" t="s">
        <v>17</v>
      </c>
      <c r="B80" s="1" t="s">
        <v>72</v>
      </c>
      <c r="C80" s="1">
        <f>31/12</f>
        <v>2.5833333333333335</v>
      </c>
      <c r="D80" s="1" t="s">
        <v>14</v>
      </c>
    </row>
    <row r="81" spans="1:4" x14ac:dyDescent="0.5">
      <c r="A81" s="1" t="s">
        <v>78</v>
      </c>
      <c r="B81" s="1" t="s">
        <v>79</v>
      </c>
      <c r="C81" s="1">
        <v>20.446000000000002</v>
      </c>
      <c r="D81" s="1" t="s">
        <v>12</v>
      </c>
    </row>
    <row r="82" spans="1:4" ht="28.7" x14ac:dyDescent="0.5">
      <c r="A82" s="1" t="s">
        <v>43</v>
      </c>
      <c r="B82" s="1" t="s">
        <v>36</v>
      </c>
      <c r="C82" s="1">
        <f>38.39/12 *0.25</f>
        <v>0.79979166666666668</v>
      </c>
      <c r="D82" s="1" t="s">
        <v>14</v>
      </c>
    </row>
    <row r="83" spans="1:4" ht="26" x14ac:dyDescent="0.5">
      <c r="A83" s="8" t="s">
        <v>45</v>
      </c>
      <c r="B83" s="1" t="s">
        <v>37</v>
      </c>
      <c r="C83" s="1">
        <f>C82</f>
        <v>0.79979166666666668</v>
      </c>
      <c r="D83" s="1" t="s">
        <v>14</v>
      </c>
    </row>
    <row r="84" spans="1:4" x14ac:dyDescent="0.5">
      <c r="A84" s="9" t="s">
        <v>65</v>
      </c>
      <c r="B84" s="1" t="s">
        <v>38</v>
      </c>
      <c r="C84" s="1">
        <v>19.692029999999999</v>
      </c>
      <c r="D84" s="1" t="s">
        <v>12</v>
      </c>
    </row>
    <row r="85" spans="1:4" x14ac:dyDescent="0.5">
      <c r="A85" s="1" t="s">
        <v>34</v>
      </c>
      <c r="B85" s="1" t="s">
        <v>39</v>
      </c>
      <c r="C85" s="1">
        <f>48.58/12 *0.25</f>
        <v>1.0120833333333332</v>
      </c>
      <c r="D85" s="1" t="s">
        <v>14</v>
      </c>
    </row>
    <row r="86" spans="1:4" x14ac:dyDescent="0.5">
      <c r="A86" s="1" t="s">
        <v>15</v>
      </c>
      <c r="B86" s="1" t="s">
        <v>40</v>
      </c>
      <c r="C86" s="1">
        <f>C85</f>
        <v>1.0120833333333332</v>
      </c>
      <c r="D86" s="1" t="s">
        <v>14</v>
      </c>
    </row>
    <row r="87" spans="1:4" x14ac:dyDescent="0.5">
      <c r="A87" s="1" t="s">
        <v>62</v>
      </c>
      <c r="B87" s="1" t="s">
        <v>69</v>
      </c>
      <c r="C87" s="1">
        <v>0.45600000000000002</v>
      </c>
      <c r="D87" s="1" t="s">
        <v>14</v>
      </c>
    </row>
    <row r="88" spans="1:4" x14ac:dyDescent="0.5">
      <c r="A88" s="1" t="s">
        <v>63</v>
      </c>
      <c r="B88" s="1" t="s">
        <v>70</v>
      </c>
      <c r="C88" s="1">
        <v>0.45600000000000002</v>
      </c>
      <c r="D88" s="1" t="s">
        <v>14</v>
      </c>
    </row>
    <row r="89" spans="1:4" x14ac:dyDescent="0.5">
      <c r="A89" s="1" t="s">
        <v>41</v>
      </c>
      <c r="B89" s="1" t="s">
        <v>66</v>
      </c>
      <c r="C89" s="1">
        <f>59.18/12</f>
        <v>4.9316666666666666</v>
      </c>
      <c r="D89" s="1" t="s">
        <v>12</v>
      </c>
    </row>
    <row r="90" spans="1:4" ht="26" x14ac:dyDescent="0.5">
      <c r="A90" s="1" t="s">
        <v>68</v>
      </c>
      <c r="B90" s="6" t="s">
        <v>67</v>
      </c>
      <c r="C90" s="1">
        <v>9.3800000000000008</v>
      </c>
      <c r="D90" s="1" t="s">
        <v>28</v>
      </c>
    </row>
    <row r="91" spans="1:4" x14ac:dyDescent="0.5">
      <c r="A91" s="1" t="s">
        <v>92</v>
      </c>
      <c r="B91" s="1" t="s">
        <v>21</v>
      </c>
      <c r="C91" s="1">
        <v>14.1866</v>
      </c>
      <c r="D91" s="1" t="s">
        <v>14</v>
      </c>
    </row>
    <row r="92" spans="1:4" x14ac:dyDescent="0.5">
      <c r="A92" s="1" t="s">
        <v>94</v>
      </c>
      <c r="B92" s="1" t="s">
        <v>93</v>
      </c>
      <c r="C92" s="1">
        <v>53.73</v>
      </c>
      <c r="D92" s="1" t="s">
        <v>12</v>
      </c>
    </row>
    <row r="93" spans="1:4" ht="16" customHeight="1" x14ac:dyDescent="0.5">
      <c r="A93" s="1" t="s">
        <v>194</v>
      </c>
      <c r="B93" s="1" t="s">
        <v>193</v>
      </c>
      <c r="C93" s="1">
        <v>0</v>
      </c>
      <c r="D93" s="1" t="s">
        <v>28</v>
      </c>
    </row>
    <row r="94" spans="1:4" x14ac:dyDescent="0.5">
      <c r="A94" s="1" t="s">
        <v>113</v>
      </c>
      <c r="B94" s="6" t="s">
        <v>207</v>
      </c>
      <c r="C94" s="17">
        <f>906.56/144</f>
        <v>6.2955555555555556</v>
      </c>
      <c r="D94" s="1" t="s">
        <v>12</v>
      </c>
    </row>
    <row r="95" spans="1:4" x14ac:dyDescent="0.5">
      <c r="A95" s="1" t="s">
        <v>115</v>
      </c>
      <c r="B95" s="6" t="s">
        <v>208</v>
      </c>
      <c r="C95" s="17">
        <f>778.59/144</f>
        <v>5.4068750000000003</v>
      </c>
      <c r="D95" s="1" t="s">
        <v>12</v>
      </c>
    </row>
    <row r="96" spans="1:4" x14ac:dyDescent="0.5">
      <c r="A96" s="1" t="s">
        <v>116</v>
      </c>
      <c r="B96" s="6" t="s">
        <v>209</v>
      </c>
      <c r="C96" s="17">
        <f>650.61/144</f>
        <v>4.5181250000000004</v>
      </c>
      <c r="D96" s="1" t="s">
        <v>12</v>
      </c>
    </row>
    <row r="97" spans="1:4" x14ac:dyDescent="0.5">
      <c r="A97" s="1" t="s">
        <v>117</v>
      </c>
      <c r="B97" s="6" t="s">
        <v>210</v>
      </c>
      <c r="C97" s="17">
        <f>522.63/144</f>
        <v>3.629375</v>
      </c>
      <c r="D97" s="1" t="s">
        <v>12</v>
      </c>
    </row>
    <row r="98" spans="1:4" ht="28.7" x14ac:dyDescent="0.5">
      <c r="A98" s="1" t="s">
        <v>121</v>
      </c>
      <c r="B98" s="6" t="s">
        <v>211</v>
      </c>
      <c r="C98" s="17">
        <f>61.11/12</f>
        <v>5.0925000000000002</v>
      </c>
      <c r="D98" s="1" t="s">
        <v>14</v>
      </c>
    </row>
    <row r="99" spans="1:4" ht="28.7" x14ac:dyDescent="0.5">
      <c r="A99" s="1" t="s">
        <v>122</v>
      </c>
      <c r="B99" s="6" t="s">
        <v>212</v>
      </c>
      <c r="C99" s="17">
        <f>52.76/12</f>
        <v>4.3966666666666665</v>
      </c>
      <c r="D99" s="1" t="s">
        <v>14</v>
      </c>
    </row>
    <row r="100" spans="1:4" ht="28.7" x14ac:dyDescent="0.5">
      <c r="A100" s="1" t="s">
        <v>123</v>
      </c>
      <c r="B100" s="6" t="s">
        <v>213</v>
      </c>
      <c r="C100" s="17">
        <f>44.01/12</f>
        <v>3.6675</v>
      </c>
      <c r="D100" s="1" t="s">
        <v>14</v>
      </c>
    </row>
    <row r="101" spans="1:4" ht="28.7" x14ac:dyDescent="0.5">
      <c r="A101" s="1" t="s">
        <v>124</v>
      </c>
      <c r="B101" s="6" t="s">
        <v>214</v>
      </c>
      <c r="C101" s="17">
        <f>35.18/12</f>
        <v>2.9316666666666666</v>
      </c>
      <c r="D101" s="1" t="s">
        <v>14</v>
      </c>
    </row>
    <row r="102" spans="1:4" ht="28.7" x14ac:dyDescent="0.5">
      <c r="A102" s="1" t="s">
        <v>130</v>
      </c>
      <c r="B102" s="6" t="s">
        <v>215</v>
      </c>
      <c r="C102" s="1">
        <v>0</v>
      </c>
      <c r="D102" s="1" t="s">
        <v>216</v>
      </c>
    </row>
    <row r="103" spans="1:4" x14ac:dyDescent="0.5">
      <c r="A103" s="1" t="s">
        <v>131</v>
      </c>
      <c r="B103" s="1" t="s">
        <v>217</v>
      </c>
      <c r="C103" s="1" t="s">
        <v>196</v>
      </c>
      <c r="D103" s="1"/>
    </row>
    <row r="104" spans="1:4" ht="29" thickBot="1" x14ac:dyDescent="0.55000000000000004">
      <c r="A104" s="1" t="s">
        <v>218</v>
      </c>
      <c r="B104" s="1" t="s">
        <v>220</v>
      </c>
      <c r="C104" s="1">
        <f>0.8*C81</f>
        <v>16.356800000000003</v>
      </c>
      <c r="D104" s="1"/>
    </row>
    <row r="105" spans="1:4" ht="14.7" thickBot="1" x14ac:dyDescent="0.55000000000000004">
      <c r="A105" s="19" t="s">
        <v>86</v>
      </c>
      <c r="B105" s="20"/>
      <c r="C105" s="20"/>
      <c r="D105" s="21"/>
    </row>
    <row r="106" spans="1:4" x14ac:dyDescent="0.5">
      <c r="A106" s="1" t="s">
        <v>16</v>
      </c>
      <c r="B106" s="1" t="s">
        <v>74</v>
      </c>
      <c r="C106" s="1">
        <f>49.55/12</f>
        <v>4.1291666666666664</v>
      </c>
      <c r="D106" s="1" t="s">
        <v>14</v>
      </c>
    </row>
    <row r="107" spans="1:4" x14ac:dyDescent="0.5">
      <c r="A107" s="1" t="s">
        <v>17</v>
      </c>
      <c r="B107" s="1" t="s">
        <v>73</v>
      </c>
      <c r="C107" s="1">
        <f>24.28/12</f>
        <v>2.0233333333333334</v>
      </c>
      <c r="D107" s="1" t="s">
        <v>14</v>
      </c>
    </row>
    <row r="108" spans="1:4" x14ac:dyDescent="0.5">
      <c r="A108" s="9" t="s">
        <v>155</v>
      </c>
      <c r="B108" s="1" t="s">
        <v>156</v>
      </c>
      <c r="C108" s="1">
        <v>41</v>
      </c>
      <c r="D108" s="1" t="s">
        <v>12</v>
      </c>
    </row>
    <row r="109" spans="1:4" ht="28.7" x14ac:dyDescent="0.5">
      <c r="A109" s="1" t="s">
        <v>43</v>
      </c>
      <c r="B109" s="1" t="s">
        <v>76</v>
      </c>
      <c r="C109" s="1"/>
      <c r="D109" s="1" t="s">
        <v>14</v>
      </c>
    </row>
    <row r="110" spans="1:4" x14ac:dyDescent="0.5">
      <c r="A110" s="1" t="s">
        <v>151</v>
      </c>
      <c r="B110" s="1" t="s">
        <v>154</v>
      </c>
      <c r="C110" s="1">
        <f>C111^2/C108</f>
        <v>3.9649390243902438</v>
      </c>
      <c r="D110" s="1" t="s">
        <v>52</v>
      </c>
    </row>
    <row r="111" spans="1:4" ht="28.7" x14ac:dyDescent="0.5">
      <c r="A111" s="1" t="s">
        <v>157</v>
      </c>
      <c r="B111" s="1" t="s">
        <v>158</v>
      </c>
      <c r="C111" s="1">
        <v>12.75</v>
      </c>
      <c r="D111" s="1" t="s">
        <v>14</v>
      </c>
    </row>
    <row r="112" spans="1:4" ht="26" x14ac:dyDescent="0.5">
      <c r="A112" s="8" t="s">
        <v>45</v>
      </c>
      <c r="B112" s="1" t="s">
        <v>77</v>
      </c>
      <c r="C112" s="1"/>
      <c r="D112" s="1" t="s">
        <v>14</v>
      </c>
    </row>
    <row r="113" spans="1:4" x14ac:dyDescent="0.5">
      <c r="A113" s="1" t="s">
        <v>44</v>
      </c>
      <c r="B113" s="1" t="s">
        <v>35</v>
      </c>
      <c r="C113" s="1">
        <v>22.93844</v>
      </c>
      <c r="D113" s="1" t="s">
        <v>12</v>
      </c>
    </row>
    <row r="114" spans="1:4" ht="28.7" x14ac:dyDescent="0.5">
      <c r="A114" s="1" t="s">
        <v>160</v>
      </c>
      <c r="B114" s="1" t="s">
        <v>159</v>
      </c>
      <c r="C114" s="1">
        <v>0.15</v>
      </c>
      <c r="D114" s="1" t="s">
        <v>52</v>
      </c>
    </row>
    <row r="115" spans="1:4" ht="28.7" x14ac:dyDescent="0.5">
      <c r="A115" s="7" t="s">
        <v>164</v>
      </c>
      <c r="B115" s="7" t="s">
        <v>161</v>
      </c>
      <c r="C115" s="7">
        <v>0.3</v>
      </c>
      <c r="D115" s="1" t="s">
        <v>165</v>
      </c>
    </row>
    <row r="116" spans="1:4" x14ac:dyDescent="0.5">
      <c r="A116" s="1" t="s">
        <v>162</v>
      </c>
      <c r="B116" s="1" t="s">
        <v>163</v>
      </c>
      <c r="C116" s="1"/>
      <c r="D116" s="1"/>
    </row>
    <row r="117" spans="1:4" x14ac:dyDescent="0.5">
      <c r="A117" s="1" t="s">
        <v>34</v>
      </c>
      <c r="B117" s="1"/>
      <c r="C117" s="1"/>
      <c r="D117" s="1"/>
    </row>
    <row r="118" spans="1:4" x14ac:dyDescent="0.5">
      <c r="A118" s="1" t="s">
        <v>15</v>
      </c>
      <c r="B118" s="1"/>
      <c r="C118" s="1"/>
      <c r="D118" s="1"/>
    </row>
    <row r="119" spans="1:4" x14ac:dyDescent="0.5">
      <c r="A119" s="1" t="s">
        <v>62</v>
      </c>
      <c r="B119" s="1" t="s">
        <v>80</v>
      </c>
      <c r="C119" s="1">
        <f>0.15*C106</f>
        <v>0.6193749999999999</v>
      </c>
      <c r="D119" s="1" t="s">
        <v>14</v>
      </c>
    </row>
    <row r="120" spans="1:4" x14ac:dyDescent="0.5">
      <c r="A120" s="1" t="s">
        <v>63</v>
      </c>
      <c r="B120" s="1" t="s">
        <v>75</v>
      </c>
      <c r="C120" s="1">
        <f>0.15*C107</f>
        <v>0.30349999999999999</v>
      </c>
      <c r="D120" s="1" t="s">
        <v>14</v>
      </c>
    </row>
    <row r="121" spans="1:4" x14ac:dyDescent="0.5">
      <c r="A121" s="1" t="s">
        <v>41</v>
      </c>
      <c r="B121" s="1" t="s">
        <v>81</v>
      </c>
      <c r="C121" s="1">
        <f>152.9/12</f>
        <v>12.741666666666667</v>
      </c>
      <c r="D121" s="1" t="s">
        <v>14</v>
      </c>
    </row>
    <row r="122" spans="1:4" ht="16" customHeight="1" x14ac:dyDescent="0.5">
      <c r="A122" s="1" t="s">
        <v>82</v>
      </c>
      <c r="B122" s="6" t="s">
        <v>87</v>
      </c>
      <c r="C122" s="1">
        <v>9.3800000000000008</v>
      </c>
      <c r="D122" s="1" t="s">
        <v>84</v>
      </c>
    </row>
    <row r="123" spans="1:4" ht="28.7" x14ac:dyDescent="0.5">
      <c r="A123" s="1" t="s">
        <v>83</v>
      </c>
      <c r="B123" s="6" t="s">
        <v>87</v>
      </c>
      <c r="C123" s="1">
        <v>9.3800000000000008</v>
      </c>
      <c r="D123" s="1" t="s">
        <v>84</v>
      </c>
    </row>
    <row r="124" spans="1:4" ht="43" x14ac:dyDescent="0.5">
      <c r="A124" s="1" t="s">
        <v>97</v>
      </c>
      <c r="B124" s="1" t="s">
        <v>98</v>
      </c>
      <c r="C124" s="1">
        <v>14.59404</v>
      </c>
      <c r="D124" s="1" t="s">
        <v>14</v>
      </c>
    </row>
    <row r="125" spans="1:4" ht="43" x14ac:dyDescent="0.5">
      <c r="A125" s="1" t="s">
        <v>89</v>
      </c>
      <c r="B125" s="1" t="s">
        <v>88</v>
      </c>
      <c r="C125" s="1">
        <f>31.5/12</f>
        <v>2.625</v>
      </c>
      <c r="D125" s="1" t="s">
        <v>14</v>
      </c>
    </row>
    <row r="126" spans="1:4" x14ac:dyDescent="0.5">
      <c r="A126" s="1" t="s">
        <v>100</v>
      </c>
      <c r="B126" s="1" t="s">
        <v>99</v>
      </c>
      <c r="C126" s="1">
        <v>0</v>
      </c>
      <c r="D126" s="1" t="s">
        <v>52</v>
      </c>
    </row>
    <row r="127" spans="1:4" x14ac:dyDescent="0.5">
      <c r="A127" s="1" t="s">
        <v>101</v>
      </c>
      <c r="B127" s="1" t="s">
        <v>105</v>
      </c>
      <c r="C127" s="1">
        <v>0</v>
      </c>
      <c r="D127" s="1"/>
    </row>
    <row r="128" spans="1:4" x14ac:dyDescent="0.5">
      <c r="A128" s="1" t="s">
        <v>151</v>
      </c>
      <c r="B128" s="1" t="s">
        <v>154</v>
      </c>
      <c r="C128" s="1" t="e">
        <f>C121/#REF!</f>
        <v>#REF!</v>
      </c>
      <c r="D128" s="1" t="s">
        <v>52</v>
      </c>
    </row>
    <row r="129" spans="1:4" ht="100.35" x14ac:dyDescent="0.5">
      <c r="A129" s="1" t="s">
        <v>131</v>
      </c>
      <c r="B129" s="1" t="s">
        <v>195</v>
      </c>
      <c r="C129" s="1" t="s">
        <v>196</v>
      </c>
      <c r="D129" s="1" t="s">
        <v>198</v>
      </c>
    </row>
    <row r="130" spans="1:4" x14ac:dyDescent="0.5">
      <c r="A130" s="1" t="s">
        <v>113</v>
      </c>
      <c r="B130" s="6" t="s">
        <v>199</v>
      </c>
      <c r="C130" s="5">
        <f>886.65/144</f>
        <v>6.1572916666666666</v>
      </c>
      <c r="D130" s="1" t="s">
        <v>12</v>
      </c>
    </row>
    <row r="131" spans="1:4" x14ac:dyDescent="0.5">
      <c r="A131" s="1" t="s">
        <v>115</v>
      </c>
      <c r="B131" s="6" t="s">
        <v>200</v>
      </c>
      <c r="C131" s="5">
        <f>765.91/144</f>
        <v>5.3188194444444443</v>
      </c>
      <c r="D131" s="1" t="s">
        <v>12</v>
      </c>
    </row>
    <row r="132" spans="1:4" ht="16" customHeight="1" x14ac:dyDescent="0.5">
      <c r="A132" s="1" t="s">
        <v>116</v>
      </c>
      <c r="B132" s="6" t="s">
        <v>201</v>
      </c>
      <c r="C132" s="5">
        <f>645.17/144</f>
        <v>4.480347222222222</v>
      </c>
      <c r="D132" s="1" t="s">
        <v>12</v>
      </c>
    </row>
    <row r="133" spans="1:4" x14ac:dyDescent="0.5">
      <c r="A133" s="1" t="s">
        <v>117</v>
      </c>
      <c r="B133" s="6" t="s">
        <v>202</v>
      </c>
      <c r="C133" s="5">
        <f>334.19/144</f>
        <v>2.3207638888888891</v>
      </c>
      <c r="D133" s="1" t="s">
        <v>12</v>
      </c>
    </row>
    <row r="134" spans="1:4" ht="28.7" x14ac:dyDescent="0.5">
      <c r="A134" s="1" t="s">
        <v>121</v>
      </c>
      <c r="B134" s="6" t="s">
        <v>203</v>
      </c>
      <c r="C134" s="5">
        <f>46.36/12</f>
        <v>3.8633333333333333</v>
      </c>
      <c r="D134" s="1" t="s">
        <v>14</v>
      </c>
    </row>
    <row r="135" spans="1:4" ht="28.7" x14ac:dyDescent="0.5">
      <c r="A135" s="1" t="s">
        <v>122</v>
      </c>
      <c r="B135" s="6" t="s">
        <v>204</v>
      </c>
      <c r="C135" s="5">
        <f>39.93/12</f>
        <v>3.3275000000000001</v>
      </c>
      <c r="D135" s="1" t="s">
        <v>14</v>
      </c>
    </row>
    <row r="136" spans="1:4" ht="28.7" x14ac:dyDescent="0.5">
      <c r="A136" s="1" t="s">
        <v>123</v>
      </c>
      <c r="B136" s="6" t="s">
        <v>205</v>
      </c>
      <c r="C136" s="5">
        <f>33.83/12</f>
        <v>2.8191666666666664</v>
      </c>
      <c r="D136" s="1" t="s">
        <v>14</v>
      </c>
    </row>
    <row r="137" spans="1:4" ht="28.7" x14ac:dyDescent="0.5">
      <c r="A137" s="1" t="s">
        <v>124</v>
      </c>
      <c r="B137" s="6" t="s">
        <v>206</v>
      </c>
      <c r="C137" s="5">
        <f>27.27/12</f>
        <v>2.2725</v>
      </c>
      <c r="D137" s="1" t="s">
        <v>14</v>
      </c>
    </row>
    <row r="138" spans="1:4" ht="28.7" x14ac:dyDescent="0.5">
      <c r="A138" s="1" t="s">
        <v>130</v>
      </c>
      <c r="B138" s="6" t="s">
        <v>129</v>
      </c>
      <c r="C138" s="1">
        <v>0</v>
      </c>
      <c r="D138" s="1"/>
    </row>
    <row r="139" spans="1:4" ht="28.7" x14ac:dyDescent="0.5">
      <c r="A139" s="1" t="s">
        <v>219</v>
      </c>
      <c r="B139" s="1" t="s">
        <v>221</v>
      </c>
      <c r="C139" s="1">
        <f>0.8*C108</f>
        <v>32.800000000000004</v>
      </c>
      <c r="D139" s="1"/>
    </row>
    <row r="140" spans="1:4" ht="14.7" thickBot="1" x14ac:dyDescent="0.55000000000000004">
      <c r="A140" s="1"/>
      <c r="B140" s="1"/>
      <c r="C140" s="1"/>
      <c r="D140" s="1"/>
    </row>
    <row r="141" spans="1:4" ht="14.75" customHeight="1" thickBot="1" x14ac:dyDescent="0.55000000000000004">
      <c r="A141" s="19" t="s">
        <v>239</v>
      </c>
      <c r="B141" s="20"/>
      <c r="C141" s="20"/>
      <c r="D141" s="21"/>
    </row>
    <row r="142" spans="1:4" ht="14.75" customHeight="1" x14ac:dyDescent="0.5">
      <c r="A142" s="13" t="s">
        <v>227</v>
      </c>
      <c r="B142" s="18" t="s">
        <v>226</v>
      </c>
      <c r="C142" s="13">
        <v>10.5</v>
      </c>
      <c r="D142" s="13" t="s">
        <v>232</v>
      </c>
    </row>
    <row r="143" spans="1:4" ht="14.75" customHeight="1" x14ac:dyDescent="0.5">
      <c r="A143" s="13" t="s">
        <v>229</v>
      </c>
      <c r="B143" s="18" t="s">
        <v>228</v>
      </c>
      <c r="C143" s="13">
        <f>((C142^2 *PI())/4)/144</f>
        <v>0.6013204688511713</v>
      </c>
      <c r="D143" s="13" t="s">
        <v>12</v>
      </c>
    </row>
    <row r="144" spans="1:4" ht="14.75" customHeight="1" x14ac:dyDescent="0.5">
      <c r="A144" s="13" t="s">
        <v>231</v>
      </c>
      <c r="B144" s="18" t="s">
        <v>230</v>
      </c>
      <c r="C144" s="13">
        <v>0.28000000000000003</v>
      </c>
      <c r="D144" s="13" t="s">
        <v>233</v>
      </c>
    </row>
    <row r="145" spans="1:4" ht="14.75" customHeight="1" x14ac:dyDescent="0.5">
      <c r="A145" s="13" t="s">
        <v>236</v>
      </c>
      <c r="B145" s="13" t="s">
        <v>234</v>
      </c>
      <c r="C145" s="13">
        <v>510</v>
      </c>
      <c r="D145" s="13" t="s">
        <v>235</v>
      </c>
    </row>
    <row r="146" spans="1:4" ht="14.75" customHeight="1" x14ac:dyDescent="0.5">
      <c r="A146" s="13" t="s">
        <v>237</v>
      </c>
      <c r="B146" s="13" t="s">
        <v>246</v>
      </c>
      <c r="C146" s="13">
        <v>6</v>
      </c>
      <c r="D146" s="13" t="s">
        <v>238</v>
      </c>
    </row>
    <row r="147" spans="1:4" ht="14.75" customHeight="1" x14ac:dyDescent="0.5">
      <c r="A147" s="13" t="s">
        <v>237</v>
      </c>
      <c r="B147" s="13" t="s">
        <v>247</v>
      </c>
      <c r="C147" s="13">
        <v>4</v>
      </c>
      <c r="D147" s="13" t="s">
        <v>238</v>
      </c>
    </row>
    <row r="148" spans="1:4" ht="14.75" customHeight="1" x14ac:dyDescent="0.5">
      <c r="A148" s="13" t="s">
        <v>276</v>
      </c>
      <c r="B148" s="18" t="s">
        <v>275</v>
      </c>
      <c r="C148" s="13">
        <v>12</v>
      </c>
      <c r="D148" s="13" t="s">
        <v>232</v>
      </c>
    </row>
    <row r="149" spans="1:4" ht="14.75" customHeight="1" x14ac:dyDescent="0.5">
      <c r="A149" s="13" t="s">
        <v>274</v>
      </c>
      <c r="B149" s="18" t="s">
        <v>273</v>
      </c>
      <c r="C149" s="13">
        <f>((C148^2 *PI())/4)/144</f>
        <v>0.78539816339744828</v>
      </c>
      <c r="D149" s="13" t="s">
        <v>12</v>
      </c>
    </row>
    <row r="150" spans="1:4" x14ac:dyDescent="0.5">
      <c r="A150" s="13" t="s">
        <v>278</v>
      </c>
      <c r="B150" s="18" t="s">
        <v>277</v>
      </c>
      <c r="C150" s="13">
        <v>5</v>
      </c>
      <c r="D150" s="13" t="s">
        <v>232</v>
      </c>
    </row>
    <row r="151" spans="1:4" x14ac:dyDescent="0.5">
      <c r="A151" s="13" t="s">
        <v>279</v>
      </c>
      <c r="B151" s="18" t="s">
        <v>273</v>
      </c>
      <c r="C151" s="13">
        <f>((C150^2 *PI())/4)/144</f>
        <v>0.13635384781205701</v>
      </c>
      <c r="D151" s="13" t="s">
        <v>12</v>
      </c>
    </row>
    <row r="152" spans="1:4" ht="14" customHeight="1" x14ac:dyDescent="0.5"/>
    <row r="157" spans="1:4" x14ac:dyDescent="0.5">
      <c r="A157" s="13" t="s">
        <v>241</v>
      </c>
      <c r="B157" s="13" t="s">
        <v>243</v>
      </c>
      <c r="C157" s="13">
        <v>30</v>
      </c>
      <c r="D157" s="13" t="s">
        <v>232</v>
      </c>
    </row>
    <row r="158" spans="1:4" ht="28.7" x14ac:dyDescent="0.5">
      <c r="A158" s="13" t="s">
        <v>242</v>
      </c>
      <c r="B158" s="13" t="s">
        <v>240</v>
      </c>
      <c r="C158" s="13">
        <f>((C157^2 *PI())/4)/144</f>
        <v>4.908738521234052</v>
      </c>
      <c r="D158" s="1" t="s">
        <v>12</v>
      </c>
    </row>
    <row r="159" spans="1:4" x14ac:dyDescent="0.5">
      <c r="A159" s="13" t="s">
        <v>248</v>
      </c>
      <c r="B159" s="13" t="s">
        <v>250</v>
      </c>
      <c r="C159" s="13">
        <v>21.5</v>
      </c>
      <c r="D159" s="13" t="s">
        <v>232</v>
      </c>
    </row>
    <row r="160" spans="1:4" ht="28.7" x14ac:dyDescent="0.5">
      <c r="A160" s="13" t="s">
        <v>249</v>
      </c>
      <c r="B160" s="13" t="s">
        <v>251</v>
      </c>
      <c r="C160" s="13">
        <f>((C159^2 *PI())/4)/144</f>
        <v>2.5211826460449336</v>
      </c>
      <c r="D160" s="1" t="s">
        <v>12</v>
      </c>
    </row>
    <row r="161" spans="1:6" x14ac:dyDescent="0.5">
      <c r="A161" s="13" t="s">
        <v>244</v>
      </c>
      <c r="B161" s="13" t="s">
        <v>245</v>
      </c>
      <c r="C161" s="13">
        <v>0.1</v>
      </c>
      <c r="D161" s="13" t="s">
        <v>233</v>
      </c>
    </row>
    <row r="162" spans="1:6" ht="28.7" x14ac:dyDescent="0.5">
      <c r="A162" s="13" t="s">
        <v>252</v>
      </c>
      <c r="B162" s="13" t="s">
        <v>253</v>
      </c>
      <c r="C162" s="13">
        <v>0.06</v>
      </c>
      <c r="D162" s="1"/>
    </row>
    <row r="163" spans="1:6" x14ac:dyDescent="0.5">
      <c r="A163" s="13" t="s">
        <v>262</v>
      </c>
      <c r="B163" s="13" t="s">
        <v>263</v>
      </c>
      <c r="C163">
        <f>11.7*2</f>
        <v>23.4</v>
      </c>
      <c r="D163" s="1" t="s">
        <v>232</v>
      </c>
    </row>
    <row r="164" spans="1:6" ht="28.7" x14ac:dyDescent="0.5">
      <c r="A164" s="13" t="s">
        <v>260</v>
      </c>
      <c r="B164" s="13" t="s">
        <v>261</v>
      </c>
      <c r="C164" s="13">
        <f>((C163^2 *PI())/4)/144</f>
        <v>2.9864765163187967</v>
      </c>
      <c r="D164" s="1" t="s">
        <v>12</v>
      </c>
    </row>
    <row r="165" spans="1:6" x14ac:dyDescent="0.5">
      <c r="A165" s="13" t="s">
        <v>271</v>
      </c>
      <c r="B165" s="13" t="s">
        <v>269</v>
      </c>
      <c r="C165" s="13">
        <v>27</v>
      </c>
      <c r="D165" s="1" t="s">
        <v>232</v>
      </c>
    </row>
    <row r="166" spans="1:6" ht="28.7" x14ac:dyDescent="0.5">
      <c r="A166" s="13" t="s">
        <v>272</v>
      </c>
      <c r="B166" s="13" t="s">
        <v>270</v>
      </c>
      <c r="C166" s="13">
        <f>((C165^2 *PI())/4)/144</f>
        <v>3.9760782021995817</v>
      </c>
      <c r="D166" s="1" t="s">
        <v>12</v>
      </c>
    </row>
    <row r="167" spans="1:6" ht="43" x14ac:dyDescent="0.5">
      <c r="A167" s="13" t="s">
        <v>254</v>
      </c>
      <c r="B167" s="13" t="s">
        <v>255</v>
      </c>
      <c r="C167" s="13">
        <f>0.58+0.1</f>
        <v>0.67999999999999994</v>
      </c>
      <c r="D167" s="1" t="s">
        <v>256</v>
      </c>
    </row>
    <row r="168" spans="1:6" x14ac:dyDescent="0.5">
      <c r="A168" s="13" t="s">
        <v>258</v>
      </c>
      <c r="B168" s="13" t="s">
        <v>257</v>
      </c>
      <c r="C168" s="13">
        <f>((3.14*(14^2)/4)/2 + (8.5*14))/144</f>
        <v>1.360625</v>
      </c>
      <c r="D168" s="1" t="s">
        <v>259</v>
      </c>
    </row>
    <row r="169" spans="1:6" ht="14.7" thickBot="1" x14ac:dyDescent="0.55000000000000004">
      <c r="A169" s="13"/>
      <c r="B169" s="13"/>
      <c r="C169" s="13"/>
      <c r="D169" s="1"/>
    </row>
    <row r="170" spans="1:6" ht="14.7" thickBot="1" x14ac:dyDescent="0.55000000000000004">
      <c r="A170" s="19" t="s">
        <v>102</v>
      </c>
      <c r="B170" s="20"/>
      <c r="C170" s="20"/>
      <c r="D170" s="21"/>
    </row>
    <row r="171" spans="1:6" x14ac:dyDescent="0.5">
      <c r="A171" s="1" t="s">
        <v>100</v>
      </c>
      <c r="B171" s="1" t="s">
        <v>99</v>
      </c>
      <c r="C171" s="1">
        <v>0</v>
      </c>
      <c r="D171" s="1"/>
    </row>
    <row r="172" spans="1:6" x14ac:dyDescent="0.5">
      <c r="A172" s="1" t="s">
        <v>135</v>
      </c>
      <c r="B172" s="6" t="s">
        <v>133</v>
      </c>
      <c r="C172" s="1">
        <v>-10</v>
      </c>
      <c r="D172" s="1" t="s">
        <v>28</v>
      </c>
    </row>
    <row r="173" spans="1:6" x14ac:dyDescent="0.5">
      <c r="A173" s="1" t="s">
        <v>136</v>
      </c>
      <c r="B173" s="1" t="s">
        <v>134</v>
      </c>
      <c r="C173" s="1">
        <v>12</v>
      </c>
      <c r="D173" s="1" t="s">
        <v>28</v>
      </c>
    </row>
    <row r="174" spans="1:6" ht="43" x14ac:dyDescent="0.5">
      <c r="A174" s="1" t="s">
        <v>140</v>
      </c>
      <c r="B174" s="1" t="s">
        <v>137</v>
      </c>
      <c r="C174" s="1">
        <v>-5</v>
      </c>
      <c r="D174" s="1" t="s">
        <v>28</v>
      </c>
    </row>
    <row r="175" spans="1:6" ht="43" x14ac:dyDescent="0.5">
      <c r="A175" s="1" t="s">
        <v>139</v>
      </c>
      <c r="B175" s="1" t="s">
        <v>138</v>
      </c>
      <c r="C175" s="1">
        <v>2</v>
      </c>
      <c r="D175" s="1" t="s">
        <v>28</v>
      </c>
      <c r="F175" s="1" t="s">
        <v>222</v>
      </c>
    </row>
    <row r="176" spans="1:6" x14ac:dyDescent="0.5">
      <c r="A176" s="1"/>
      <c r="B176" s="1"/>
      <c r="C176" s="1"/>
      <c r="D176" s="1"/>
    </row>
    <row r="177" spans="1:4" x14ac:dyDescent="0.5">
      <c r="A177" s="1"/>
      <c r="B177" s="1"/>
      <c r="C177" s="1"/>
      <c r="D177" s="1"/>
    </row>
    <row r="178" spans="1:4" x14ac:dyDescent="0.5">
      <c r="A178" s="1"/>
      <c r="B178" s="1"/>
      <c r="C178" s="1"/>
      <c r="D178" s="1"/>
    </row>
    <row r="179" spans="1:4" ht="14.7" thickBot="1" x14ac:dyDescent="0.55000000000000004">
      <c r="A179" s="1"/>
      <c r="B179" s="1"/>
      <c r="C179" s="1"/>
      <c r="D179" s="1"/>
    </row>
    <row r="180" spans="1:4" ht="14.7" thickBot="1" x14ac:dyDescent="0.55000000000000004">
      <c r="A180" s="19" t="s">
        <v>149</v>
      </c>
      <c r="B180" s="20"/>
      <c r="C180" s="20"/>
      <c r="D180" s="21"/>
    </row>
    <row r="181" spans="1:4" ht="28.7" x14ac:dyDescent="0.5">
      <c r="A181" s="1" t="s">
        <v>150</v>
      </c>
      <c r="B181" s="1" t="s">
        <v>148</v>
      </c>
      <c r="C181" s="1">
        <v>0</v>
      </c>
      <c r="D181" s="1"/>
    </row>
  </sheetData>
  <mergeCells count="11">
    <mergeCell ref="A180:D180"/>
    <mergeCell ref="A170:D170"/>
    <mergeCell ref="A2:D2"/>
    <mergeCell ref="A15:D15"/>
    <mergeCell ref="A43:D43"/>
    <mergeCell ref="A78:D78"/>
    <mergeCell ref="A105:D105"/>
    <mergeCell ref="A64:D64"/>
    <mergeCell ref="A68:D68"/>
    <mergeCell ref="A72:D72"/>
    <mergeCell ref="A141:D14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2025-03-06T08:04:15Z</dcterms:modified>
</cp:coreProperties>
</file>