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266\OneDrive - Cal Poly\Documents\GitHub\443_design_problem\ClassII_Weight_Estimation\Weight Balance\"/>
    </mc:Choice>
  </mc:AlternateContent>
  <xr:revisionPtr revIDLastSave="0" documentId="13_ncr:1_{11D11EEB-BEEF-4101-8D48-23DC545AB761}" xr6:coauthVersionLast="47" xr6:coauthVersionMax="47" xr10:uidLastSave="{00000000-0000-0000-0000-000000000000}"/>
  <bookViews>
    <workbookView xWindow="-120" yWindow="-120" windowWidth="29040" windowHeight="15720" xr2:uid="{59DD35D0-A79A-45B2-8D31-F1AE4E911AEB}"/>
  </bookViews>
  <sheets>
    <sheet name="Empty Weight" sheetId="1" r:id="rId1"/>
    <sheet name="CG_Envelope" sheetId="2" r:id="rId2"/>
    <sheet name="Landing 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20" i="2"/>
  <c r="E18" i="2"/>
  <c r="D22" i="2"/>
  <c r="C22" i="2"/>
  <c r="D20" i="2"/>
  <c r="C20" i="2"/>
  <c r="C19" i="2"/>
  <c r="D18" i="2"/>
  <c r="C18" i="2"/>
  <c r="B15" i="3"/>
  <c r="F6" i="1"/>
  <c r="D8" i="1"/>
  <c r="C3" i="3"/>
  <c r="B3" i="3"/>
  <c r="A3" i="3"/>
  <c r="L15" i="1"/>
  <c r="S13" i="1"/>
  <c r="S10" i="1"/>
  <c r="S12" i="1"/>
  <c r="Q22" i="1"/>
  <c r="S16" i="1"/>
  <c r="D17" i="2"/>
  <c r="C14" i="2"/>
  <c r="E10" i="2"/>
  <c r="D3" i="1"/>
  <c r="D2" i="1"/>
  <c r="B25" i="1"/>
  <c r="I3" i="2" s="1"/>
  <c r="E3" i="1"/>
  <c r="E2" i="1"/>
  <c r="D14" i="2" s="1"/>
  <c r="L13" i="1" l="1"/>
  <c r="F7" i="1"/>
  <c r="F8" i="1"/>
  <c r="C13" i="1"/>
  <c r="E6" i="1"/>
  <c r="C25" i="1"/>
  <c r="B18" i="1"/>
  <c r="A18" i="1"/>
  <c r="E10" i="1"/>
  <c r="F10" i="1" s="1"/>
  <c r="E9" i="1"/>
  <c r="F9" i="1" s="1"/>
  <c r="J3" i="2"/>
  <c r="E8" i="2"/>
  <c r="E11" i="1"/>
  <c r="F11" i="1" s="1"/>
  <c r="E12" i="1"/>
  <c r="F12" i="1" s="1"/>
  <c r="F5" i="1"/>
  <c r="F4" i="1"/>
  <c r="E3" i="2"/>
  <c r="E4" i="2"/>
  <c r="E5" i="2"/>
  <c r="E14" i="2"/>
  <c r="F2" i="1" l="1"/>
  <c r="F3" i="1"/>
  <c r="D13" i="1"/>
  <c r="C2" i="2" s="1"/>
  <c r="C7" i="2" l="1"/>
  <c r="C17" i="2" s="1"/>
  <c r="F15" i="1"/>
  <c r="F14" i="1"/>
  <c r="D12" i="2" l="1"/>
  <c r="D2" i="2"/>
  <c r="E2" i="2" s="1"/>
  <c r="E7" i="2" s="1"/>
  <c r="J13" i="2"/>
  <c r="J7" i="2"/>
  <c r="C9" i="2"/>
  <c r="C11" i="2" s="1"/>
  <c r="C13" i="2" l="1"/>
  <c r="J12" i="2"/>
  <c r="C21" i="2"/>
  <c r="J11" i="2"/>
  <c r="F11" i="2"/>
  <c r="G11" i="2" s="1"/>
  <c r="I12" i="2" s="1"/>
  <c r="E17" i="2"/>
  <c r="F7" i="2"/>
  <c r="F9" i="2"/>
  <c r="G9" i="2" s="1"/>
  <c r="E12" i="2"/>
  <c r="E15" i="2" s="1"/>
  <c r="F17" i="2" l="1"/>
  <c r="G7" i="2"/>
  <c r="F19" i="2"/>
  <c r="G19" i="2" s="1"/>
  <c r="I11" i="2" s="1"/>
  <c r="F13" i="2"/>
  <c r="G13" i="2" s="1"/>
  <c r="I8" i="2" s="1"/>
  <c r="C23" i="2"/>
  <c r="C25" i="2" s="1"/>
  <c r="J10" i="2"/>
  <c r="J8" i="2"/>
  <c r="C15" i="2"/>
  <c r="F15" i="2" s="1"/>
  <c r="G15" i="2" s="1"/>
  <c r="F25" i="2" l="1"/>
  <c r="G25" i="2" s="1"/>
  <c r="F21" i="2"/>
  <c r="G21" i="2" s="1"/>
  <c r="I9" i="2" s="1"/>
  <c r="F23" i="2"/>
  <c r="G23" i="2" s="1"/>
  <c r="G17" i="2"/>
  <c r="I7" i="2"/>
  <c r="I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Shuo Chen</author>
  </authors>
  <commentList>
    <comment ref="E5" authorId="0" shapeId="0" xr:uid="{F369CCC9-EF30-4DEA-B611-F525C212FF50}">
      <text>
        <r>
          <rPr>
            <b/>
            <sz val="9"/>
            <color indexed="81"/>
            <rFont val="Tahoma"/>
            <family val="2"/>
          </rPr>
          <t xml:space="preserve">Shuo Chen:
CG location very sensitive to this
</t>
        </r>
      </text>
    </comment>
    <comment ref="E6" authorId="0" shapeId="0" xr:uid="{C46A1D5A-A700-4B2D-9F3A-E695F7A27263}">
      <text>
        <r>
          <rPr>
            <b/>
            <sz val="9"/>
            <color indexed="81"/>
            <rFont val="Tahoma"/>
            <family val="2"/>
          </rPr>
          <t>Shuo Chen:</t>
        </r>
        <r>
          <rPr>
            <sz val="9"/>
            <color indexed="81"/>
            <rFont val="Tahoma"/>
            <family val="2"/>
          </rPr>
          <t xml:space="preserve">
CG sensitive
</t>
        </r>
      </text>
    </comment>
    <comment ref="E8" authorId="0" shapeId="0" xr:uid="{ACA19C8B-D27C-4CB6-814E-1C6DECE0D3F2}">
      <text>
        <r>
          <rPr>
            <b/>
            <sz val="9"/>
            <color indexed="81"/>
            <rFont val="Tahoma"/>
            <family val="2"/>
          </rPr>
          <t>Shuo Chen:</t>
        </r>
        <r>
          <rPr>
            <sz val="9"/>
            <color indexed="81"/>
            <rFont val="Tahoma"/>
            <family val="2"/>
          </rPr>
          <t xml:space="preserve">
Break down somehome to nose and main</t>
        </r>
      </text>
    </comment>
  </commentList>
</comments>
</file>

<file path=xl/sharedStrings.xml><?xml version="1.0" encoding="utf-8"?>
<sst xmlns="http://schemas.openxmlformats.org/spreadsheetml/2006/main" count="175" uniqueCount="95">
  <si>
    <t>Component</t>
  </si>
  <si>
    <t>Component 1</t>
  </si>
  <si>
    <t>Component 2</t>
  </si>
  <si>
    <t>Component 3</t>
  </si>
  <si>
    <t>Component 4</t>
  </si>
  <si>
    <t>Pilot</t>
  </si>
  <si>
    <t>Passenger</t>
  </si>
  <si>
    <t>Component 5</t>
  </si>
  <si>
    <t>Number</t>
  </si>
  <si>
    <t>Weight Description</t>
  </si>
  <si>
    <t>W.x</t>
  </si>
  <si>
    <t>%cma</t>
  </si>
  <si>
    <t>empty weight</t>
  </si>
  <si>
    <t>-</t>
  </si>
  <si>
    <t>minimum fuel</t>
  </si>
  <si>
    <t>oil</t>
  </si>
  <si>
    <t>light pilot</t>
  </si>
  <si>
    <t>minimum operating weight</t>
  </si>
  <si>
    <t>partial weight (5+6)</t>
  </si>
  <si>
    <t>passenger</t>
  </si>
  <si>
    <t>partial weight (7+8)</t>
  </si>
  <si>
    <t>partial weight (9+10)</t>
  </si>
  <si>
    <t>maximum fuel</t>
  </si>
  <si>
    <t>total weight</t>
  </si>
  <si>
    <t>Minimum operating weight</t>
  </si>
  <si>
    <t>Maximum fuel</t>
  </si>
  <si>
    <t>Partial weight (5+14)</t>
  </si>
  <si>
    <t>Partial weight (15+16)</t>
  </si>
  <si>
    <t>Partial weight (17+18)</t>
  </si>
  <si>
    <t>Partial weight (19+20)</t>
  </si>
  <si>
    <t>W [lb]</t>
  </si>
  <si>
    <t>X [ft]</t>
  </si>
  <si>
    <t>Minimum Weight (lb)</t>
  </si>
  <si>
    <t>Maximum Weight (lb)</t>
  </si>
  <si>
    <t>Arm (ft)</t>
  </si>
  <si>
    <t>Component 6</t>
  </si>
  <si>
    <t>Payload</t>
  </si>
  <si>
    <t>Wing</t>
  </si>
  <si>
    <t>Fuselage</t>
  </si>
  <si>
    <t>Main Gear</t>
  </si>
  <si>
    <t>Component 7</t>
  </si>
  <si>
    <t>Nose Gear</t>
  </si>
  <si>
    <t>W.X</t>
  </si>
  <si>
    <t>Forward CG Calcs</t>
  </si>
  <si>
    <t>Aft CG Calcs</t>
  </si>
  <si>
    <t>I think we need to analyize different payload configs? No way we have time to do this right now but manybe eventually</t>
  </si>
  <si>
    <t>Assumed 42%</t>
  </si>
  <si>
    <t>Component 8</t>
  </si>
  <si>
    <t>Nacelles</t>
  </si>
  <si>
    <t>Component 9</t>
  </si>
  <si>
    <t>Tail Boom</t>
  </si>
  <si>
    <t>Assume 40%</t>
  </si>
  <si>
    <t>Assume 50%</t>
  </si>
  <si>
    <t>Assumed by oilver</t>
  </si>
  <si>
    <t>Vert Tail</t>
  </si>
  <si>
    <t xml:space="preserve">pilot </t>
  </si>
  <si>
    <t>CG Position [ft]</t>
  </si>
  <si>
    <t>Volume of wing (US Gal)</t>
  </si>
  <si>
    <t>Total Length</t>
  </si>
  <si>
    <t>MAC_length</t>
  </si>
  <si>
    <t>x_MAC</t>
  </si>
  <si>
    <t>Emp</t>
  </si>
  <si>
    <t>C.G. %MAC</t>
  </si>
  <si>
    <t>x_CG</t>
  </si>
  <si>
    <t>Total</t>
  </si>
  <si>
    <t>Landing Gear</t>
  </si>
  <si>
    <t>Engine/</t>
  </si>
  <si>
    <t>Propulsion Group</t>
  </si>
  <si>
    <t>Wing Move</t>
  </si>
  <si>
    <t>Fuselage Move</t>
  </si>
  <si>
    <t>Assumed 35%</t>
  </si>
  <si>
    <t>Wing Margin</t>
  </si>
  <si>
    <t>Landing Gear Margin</t>
  </si>
  <si>
    <t>Fuselage Margin</t>
  </si>
  <si>
    <t>Note for CAD</t>
  </si>
  <si>
    <t>Move Wing forward 2 feet</t>
  </si>
  <si>
    <t>min fuel determined with SFC for 75% power for 30 min flight</t>
  </si>
  <si>
    <t>% MAC</t>
  </si>
  <si>
    <t>Weight [lb]</t>
  </si>
  <si>
    <t>X Location [ft]</t>
  </si>
  <si>
    <t>Empty Weight</t>
  </si>
  <si>
    <t>Margin</t>
  </si>
  <si>
    <t>EWF</t>
  </si>
  <si>
    <t>Class I EWF</t>
  </si>
  <si>
    <t>Operating EW</t>
  </si>
  <si>
    <t>F CG % MAC</t>
  </si>
  <si>
    <t>AFT CG % MAC</t>
  </si>
  <si>
    <t>X F CG [ft]</t>
  </si>
  <si>
    <t>X AFT CG [ft]</t>
  </si>
  <si>
    <t>Step 2:</t>
  </si>
  <si>
    <t>Step 1:</t>
  </si>
  <si>
    <t>Line % MAC</t>
  </si>
  <si>
    <t>x  line</t>
  </si>
  <si>
    <t>Step 3: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</si>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</sst>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CG_Envelope!$J$6</c:f>
              <c:strCache>
                <c:ptCount val="1"/>
                <c:pt idx="0">
                  <c:v>W [lb]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CG_Envelope!$I$7:$I$13</c:f>
              <c:numCache>
                <c:formatCode>General</c:formatCode>
                <c:ptCount val="7"/>
                <c:pt idx="0">
                  <c:v>17.418739686781194</c:v>
                </c:pt>
                <c:pt idx="1">
                  <c:v>19.615344414614391</c:v>
                </c:pt>
                <c:pt idx="2">
                  <c:v>27.814132425568534</c:v>
                </c:pt>
                <c:pt idx="3">
                  <c:v>24.1478</c:v>
                </c:pt>
                <c:pt idx="4">
                  <c:v>20.810764298709032</c:v>
                </c:pt>
                <c:pt idx="5">
                  <c:v>20.810764298709032</c:v>
                </c:pt>
                <c:pt idx="6">
                  <c:v>17.418739686781194</c:v>
                </c:pt>
              </c:numCache>
            </c:numRef>
          </c:xVal>
          <c:yVal>
            <c:numRef>
              <c:f>CG_Envelope!$J$7:$J$13</c:f>
              <c:numCache>
                <c:formatCode>General</c:formatCode>
                <c:ptCount val="7"/>
                <c:pt idx="0" formatCode="0.00">
                  <c:v>5000</c:v>
                </c:pt>
                <c:pt idx="1">
                  <c:v>8720</c:v>
                </c:pt>
                <c:pt idx="2">
                  <c:v>11593.52</c:v>
                </c:pt>
                <c:pt idx="3">
                  <c:v>8136.4</c:v>
                </c:pt>
                <c:pt idx="4">
                  <c:v>5220</c:v>
                </c:pt>
                <c:pt idx="5">
                  <c:v>5220</c:v>
                </c:pt>
                <c:pt idx="6" formatCode="0.00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3-4E5C-8780-3FB73D8D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06832"/>
        <c:axId val="406306352"/>
      </c:scatterChart>
      <c:valAx>
        <c:axId val="406306832"/>
        <c:scaling>
          <c:orientation val="minMax"/>
          <c:max val="30"/>
          <c:min val="15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%</a:t>
                </a:r>
                <a:r>
                  <a:rPr lang="en-US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MAC</a:t>
                </a:r>
                <a:endParaRPr lang="en-US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623490813648295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6352"/>
        <c:crosses val="autoZero"/>
        <c:crossBetween val="midCat"/>
      </c:valAx>
      <c:valAx>
        <c:axId val="406306352"/>
        <c:scaling>
          <c:orientation val="minMax"/>
          <c:min val="50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Weight</a:t>
                </a:r>
                <a:r>
                  <a:rPr lang="en-US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[lb]</a:t>
                </a:r>
                <a:endParaRPr lang="en-US"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34088327500729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184977</xdr:colOff>
      <xdr:row>14</xdr:row>
      <xdr:rowOff>64051</xdr:rowOff>
    </xdr:from>
    <xdr:to>
      <xdr:col>14</xdr:col>
      <xdr:colOff>505238</xdr:colOff>
      <xdr:row>29</xdr:row>
      <xdr:rowOff>73990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40039-29B2-402E-56A8-82E0AA092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54D2-D2DA-438D-B5A0-7CF0FCADAAC6}">
  <dimension ref="A1:T26"/>
  <sheetViews>
    <sheetView tabSelected="1" workbookViewId="0">
      <selection activeCell="D6" sqref="D6"/>
    </sheetView>
  </sheetViews>
  <sheetFormatPr defaultRowHeight="14.5" x14ac:dyDescent="0.35"/>
  <cols>
    <col min="1" max="1" width="12" bestFit="1" customWidth="1"/>
    <col min="2" max="2" width="15.08984375" customWidth="1"/>
    <col min="3" max="3" width="8.6328125" bestFit="1" customWidth="1"/>
    <col min="4" max="4" width="11.453125" customWidth="1"/>
    <col min="5" max="5" width="7.453125" bestFit="1" customWidth="1"/>
    <col min="14" max="14" width="16.453125" bestFit="1" customWidth="1"/>
    <col min="17" max="17" width="11.6328125" bestFit="1" customWidth="1"/>
    <col min="18" max="18" width="15.6328125" customWidth="1"/>
    <col min="19" max="19" width="12" customWidth="1"/>
    <col min="20" max="20" width="13.453125" customWidth="1"/>
    <col min="21" max="21" width="14.1796875" customWidth="1"/>
  </cols>
  <sheetData>
    <row r="1" spans="1:20" ht="20" customHeight="1" x14ac:dyDescent="0.35">
      <c r="A1" s="9"/>
      <c r="B1" s="10" t="s">
        <v>0</v>
      </c>
      <c r="C1" s="10" t="s">
        <v>32</v>
      </c>
      <c r="D1" s="10" t="s">
        <v>33</v>
      </c>
      <c r="E1" s="10" t="s">
        <v>34</v>
      </c>
      <c r="F1" s="10" t="s">
        <v>42</v>
      </c>
      <c r="R1" s="19" t="s">
        <v>80</v>
      </c>
      <c r="S1" s="20"/>
      <c r="T1" s="20"/>
    </row>
    <row r="2" spans="1:20" x14ac:dyDescent="0.35">
      <c r="A2" s="10" t="s">
        <v>1</v>
      </c>
      <c r="B2" s="11" t="s">
        <v>37</v>
      </c>
      <c r="C2" s="12"/>
      <c r="D2" s="12">
        <f>817*O2</f>
        <v>1634</v>
      </c>
      <c r="E2" s="9">
        <f>13.972 + H26</f>
        <v>12.972</v>
      </c>
      <c r="F2" s="13">
        <f>D2*E2</f>
        <v>21196.248</v>
      </c>
      <c r="H2" t="s">
        <v>46</v>
      </c>
      <c r="K2" s="3">
        <v>13.972</v>
      </c>
      <c r="N2" t="s">
        <v>71</v>
      </c>
      <c r="O2">
        <v>2</v>
      </c>
      <c r="R2" s="21" t="s">
        <v>0</v>
      </c>
      <c r="S2" s="22" t="s">
        <v>78</v>
      </c>
      <c r="T2" s="22" t="s">
        <v>79</v>
      </c>
    </row>
    <row r="3" spans="1:20" x14ac:dyDescent="0.35">
      <c r="A3" s="10" t="s">
        <v>2</v>
      </c>
      <c r="B3" s="11" t="s">
        <v>38</v>
      </c>
      <c r="C3" s="12"/>
      <c r="D3" s="12">
        <f>497*O3</f>
        <v>1491</v>
      </c>
      <c r="E3" s="9">
        <f>(146/12)+I26</f>
        <v>12.166666666666666</v>
      </c>
      <c r="F3" s="13">
        <f t="shared" ref="F3:F10" si="0">D3*E3</f>
        <v>18140.5</v>
      </c>
      <c r="H3" t="s">
        <v>70</v>
      </c>
      <c r="N3" t="s">
        <v>73</v>
      </c>
      <c r="O3">
        <v>3</v>
      </c>
      <c r="R3" s="18" t="s">
        <v>37</v>
      </c>
      <c r="S3" s="18">
        <v>1634</v>
      </c>
      <c r="T3" s="23">
        <v>12.972</v>
      </c>
    </row>
    <row r="4" spans="1:20" x14ac:dyDescent="0.35">
      <c r="A4" s="10" t="s">
        <v>3</v>
      </c>
      <c r="B4" s="11" t="s">
        <v>66</v>
      </c>
      <c r="C4" s="12">
        <v>593.13</v>
      </c>
      <c r="D4" s="12">
        <v>0</v>
      </c>
      <c r="E4" s="9">
        <v>5.5</v>
      </c>
      <c r="F4" s="13">
        <f t="shared" si="0"/>
        <v>0</v>
      </c>
      <c r="H4" t="s">
        <v>52</v>
      </c>
      <c r="R4" s="18" t="s">
        <v>38</v>
      </c>
      <c r="S4" s="18">
        <v>1491</v>
      </c>
      <c r="T4" s="23">
        <v>12.166666666666666</v>
      </c>
    </row>
    <row r="5" spans="1:20" x14ac:dyDescent="0.35">
      <c r="A5" s="10" t="s">
        <v>4</v>
      </c>
      <c r="B5" s="28" t="s">
        <v>67</v>
      </c>
      <c r="C5" s="29"/>
      <c r="D5" s="29">
        <v>928</v>
      </c>
      <c r="E5" s="30">
        <v>5.5</v>
      </c>
      <c r="F5" s="31">
        <f t="shared" si="0"/>
        <v>5104</v>
      </c>
      <c r="H5" t="s">
        <v>53</v>
      </c>
      <c r="R5" s="18" t="s">
        <v>67</v>
      </c>
      <c r="S5" s="18">
        <v>928</v>
      </c>
      <c r="T5" s="23">
        <v>5.5</v>
      </c>
    </row>
    <row r="6" spans="1:20" x14ac:dyDescent="0.35">
      <c r="A6" s="10" t="s">
        <v>7</v>
      </c>
      <c r="B6" s="28" t="s">
        <v>61</v>
      </c>
      <c r="C6" s="29"/>
      <c r="D6" s="29">
        <v>140</v>
      </c>
      <c r="E6" s="30">
        <f>(31.735+31.743)/2</f>
        <v>31.738999999999997</v>
      </c>
      <c r="F6" s="31">
        <f>D6*E6</f>
        <v>4443.46</v>
      </c>
      <c r="R6" s="18" t="s">
        <v>61</v>
      </c>
      <c r="S6" s="18">
        <v>140</v>
      </c>
      <c r="T6" s="23">
        <v>31.738999999999997</v>
      </c>
    </row>
    <row r="7" spans="1:20" x14ac:dyDescent="0.35">
      <c r="A7" s="13"/>
      <c r="B7" s="11" t="s">
        <v>54</v>
      </c>
      <c r="C7" s="12"/>
      <c r="D7" s="12"/>
      <c r="E7" s="9">
        <v>31.742999999999999</v>
      </c>
      <c r="F7" s="13">
        <f t="shared" si="0"/>
        <v>0</v>
      </c>
      <c r="R7" s="18" t="s">
        <v>65</v>
      </c>
      <c r="S7" s="18">
        <v>225</v>
      </c>
      <c r="T7" s="23">
        <v>10.7</v>
      </c>
    </row>
    <row r="8" spans="1:20" x14ac:dyDescent="0.35">
      <c r="A8" s="10" t="s">
        <v>35</v>
      </c>
      <c r="B8" s="11" t="s">
        <v>65</v>
      </c>
      <c r="C8" s="13"/>
      <c r="D8" s="13">
        <f>225</f>
        <v>225</v>
      </c>
      <c r="E8" s="13">
        <v>10.7</v>
      </c>
      <c r="F8" s="13">
        <f t="shared" si="0"/>
        <v>2407.5</v>
      </c>
      <c r="N8" t="s">
        <v>72</v>
      </c>
      <c r="O8">
        <v>3</v>
      </c>
    </row>
    <row r="9" spans="1:20" x14ac:dyDescent="0.35">
      <c r="A9" s="10" t="s">
        <v>40</v>
      </c>
      <c r="B9" s="11" t="s">
        <v>39</v>
      </c>
      <c r="C9" s="12">
        <v>0</v>
      </c>
      <c r="D9" s="12"/>
      <c r="E9" s="9">
        <f>174.37/12</f>
        <v>14.530833333333334</v>
      </c>
      <c r="F9" s="13">
        <f>D9*E9</f>
        <v>0</v>
      </c>
      <c r="R9" s="21" t="s">
        <v>80</v>
      </c>
      <c r="S9" s="18">
        <v>4418</v>
      </c>
    </row>
    <row r="10" spans="1:20" x14ac:dyDescent="0.35">
      <c r="A10" s="10" t="s">
        <v>40</v>
      </c>
      <c r="B10" s="11" t="s">
        <v>41</v>
      </c>
      <c r="C10" s="12">
        <v>0</v>
      </c>
      <c r="D10" s="12"/>
      <c r="E10" s="13">
        <f>48.09/12</f>
        <v>4.0075000000000003</v>
      </c>
      <c r="F10" s="13">
        <f t="shared" si="0"/>
        <v>0</v>
      </c>
      <c r="R10" s="24" t="s">
        <v>84</v>
      </c>
      <c r="S10" s="14">
        <f>5000</f>
        <v>5000</v>
      </c>
    </row>
    <row r="11" spans="1:20" x14ac:dyDescent="0.35">
      <c r="A11" s="10" t="s">
        <v>47</v>
      </c>
      <c r="B11" s="11" t="s">
        <v>48</v>
      </c>
      <c r="C11" s="12">
        <v>0</v>
      </c>
      <c r="D11" s="12"/>
      <c r="E11" s="13">
        <f>57.18/12</f>
        <v>4.7649999999999997</v>
      </c>
      <c r="F11" s="13">
        <f t="shared" ref="F11" si="1">D11*E11</f>
        <v>0</v>
      </c>
      <c r="R11" s="24" t="s">
        <v>82</v>
      </c>
      <c r="S11" s="18">
        <v>0.35</v>
      </c>
    </row>
    <row r="12" spans="1:20" x14ac:dyDescent="0.35">
      <c r="A12" s="10" t="s">
        <v>49</v>
      </c>
      <c r="B12" s="11" t="s">
        <v>50</v>
      </c>
      <c r="C12" s="12">
        <v>0</v>
      </c>
      <c r="D12" s="12"/>
      <c r="E12" s="13">
        <f>305.53/12</f>
        <v>25.46083333333333</v>
      </c>
      <c r="F12" s="13">
        <f>D12*E12</f>
        <v>0</v>
      </c>
      <c r="H12" t="s">
        <v>51</v>
      </c>
      <c r="R12" s="24" t="s">
        <v>83</v>
      </c>
      <c r="S12" s="18">
        <f>0.51</f>
        <v>0.51</v>
      </c>
    </row>
    <row r="13" spans="1:20" x14ac:dyDescent="0.35">
      <c r="A13" s="10" t="s">
        <v>64</v>
      </c>
      <c r="B13" s="13"/>
      <c r="C13" s="13">
        <f>SUM(C2:C12)</f>
        <v>593.13</v>
      </c>
      <c r="D13" s="13">
        <f>SUM(D2:D12)</f>
        <v>4418</v>
      </c>
      <c r="E13" s="13"/>
      <c r="F13" s="13"/>
      <c r="L13">
        <f>12450*0.5034</f>
        <v>6267.33</v>
      </c>
      <c r="R13" s="24" t="s">
        <v>81</v>
      </c>
      <c r="S13" s="25">
        <f>S12-S11</f>
        <v>0.16000000000000003</v>
      </c>
    </row>
    <row r="14" spans="1:20" x14ac:dyDescent="0.35">
      <c r="E14" t="s">
        <v>62</v>
      </c>
      <c r="F14">
        <f>((SUM(F2:F12)/SUM(D2:D12)-B25)/C25)*100</f>
        <v>17.832461044621795</v>
      </c>
    </row>
    <row r="15" spans="1:20" x14ac:dyDescent="0.35">
      <c r="E15" t="s">
        <v>63</v>
      </c>
      <c r="F15">
        <f>(SUM(F2:F12)/SUM(D2:D12))</f>
        <v>11.609712086917156</v>
      </c>
      <c r="L15">
        <f>4418-6260</f>
        <v>-1842</v>
      </c>
    </row>
    <row r="16" spans="1:20" x14ac:dyDescent="0.35">
      <c r="S16">
        <f>1842/12425</f>
        <v>0.14824949698189135</v>
      </c>
    </row>
    <row r="17" spans="1:17" x14ac:dyDescent="0.35">
      <c r="A17" s="8" t="s">
        <v>60</v>
      </c>
      <c r="B17" s="8" t="s">
        <v>59</v>
      </c>
      <c r="N17" t="s">
        <v>74</v>
      </c>
    </row>
    <row r="18" spans="1:17" x14ac:dyDescent="0.35">
      <c r="A18" s="8">
        <f>138.37/12</f>
        <v>11.530833333333334</v>
      </c>
      <c r="B18" s="8">
        <f>72.601/12</f>
        <v>6.0500833333333333</v>
      </c>
      <c r="N18" t="s">
        <v>75</v>
      </c>
    </row>
    <row r="21" spans="1:17" x14ac:dyDescent="0.35">
      <c r="B21" t="s">
        <v>58</v>
      </c>
      <c r="C21" t="s">
        <v>57</v>
      </c>
    </row>
    <row r="22" spans="1:17" x14ac:dyDescent="0.35">
      <c r="C22">
        <v>198.1</v>
      </c>
      <c r="Q22">
        <f>4418/12500</f>
        <v>0.35343999999999998</v>
      </c>
    </row>
    <row r="24" spans="1:17" x14ac:dyDescent="0.35">
      <c r="B24" s="8" t="s">
        <v>60</v>
      </c>
      <c r="C24" s="8" t="s">
        <v>59</v>
      </c>
    </row>
    <row r="25" spans="1:17" x14ac:dyDescent="0.35">
      <c r="B25" s="8">
        <f>138.37/12+H26</f>
        <v>10.530833333333334</v>
      </c>
      <c r="C25" s="8">
        <f>72.601/12</f>
        <v>6.0500833333333333</v>
      </c>
      <c r="H25" t="s">
        <v>68</v>
      </c>
      <c r="I25" t="s">
        <v>69</v>
      </c>
    </row>
    <row r="26" spans="1:17" x14ac:dyDescent="0.35">
      <c r="H26">
        <v>-1</v>
      </c>
      <c r="I26">
        <v>0</v>
      </c>
    </row>
  </sheetData>
  <mergeCells count="1">
    <mergeCell ref="R1:T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8DCE-B4DC-4B74-93FB-17A21D3B8CE9}">
  <dimension ref="A1:L36"/>
  <sheetViews>
    <sheetView zoomScale="115" zoomScaleNormal="115" workbookViewId="0">
      <pane ySplit="1" topLeftCell="A2" activePane="bottomLeft" state="frozen"/>
      <selection pane="bottomLeft" activeCell="L11" sqref="L11"/>
    </sheetView>
  </sheetViews>
  <sheetFormatPr defaultRowHeight="14.5" x14ac:dyDescent="0.35"/>
  <cols>
    <col min="1" max="1" width="8.6328125" customWidth="1"/>
    <col min="2" max="2" width="25.6328125" customWidth="1"/>
    <col min="3" max="3" width="8.6328125" bestFit="1" customWidth="1"/>
    <col min="4" max="7" width="11.7265625" bestFit="1" customWidth="1"/>
    <col min="9" max="9" width="11.7265625" bestFit="1" customWidth="1"/>
  </cols>
  <sheetData>
    <row r="1" spans="1:12" ht="43.5" x14ac:dyDescent="0.35">
      <c r="A1" s="4" t="s">
        <v>8</v>
      </c>
      <c r="B1" s="4" t="s">
        <v>9</v>
      </c>
      <c r="C1" s="4" t="s">
        <v>30</v>
      </c>
      <c r="D1" s="4" t="s">
        <v>31</v>
      </c>
      <c r="E1" s="4" t="s">
        <v>10</v>
      </c>
      <c r="F1" s="4" t="s">
        <v>56</v>
      </c>
      <c r="G1" s="4" t="s">
        <v>11</v>
      </c>
    </row>
    <row r="2" spans="1:12" x14ac:dyDescent="0.35">
      <c r="A2" s="5">
        <v>1</v>
      </c>
      <c r="B2" s="6" t="s">
        <v>12</v>
      </c>
      <c r="C2" s="6">
        <f>'Empty Weight'!D13</f>
        <v>4418</v>
      </c>
      <c r="D2" s="6">
        <f>'Empty Weight'!F15</f>
        <v>11.609712086917156</v>
      </c>
      <c r="E2" s="6">
        <f>C2*D2</f>
        <v>51291.707999999999</v>
      </c>
      <c r="F2" s="6" t="s">
        <v>13</v>
      </c>
      <c r="G2" s="6" t="s">
        <v>13</v>
      </c>
      <c r="I2" s="8" t="s">
        <v>60</v>
      </c>
      <c r="J2" s="8" t="s">
        <v>59</v>
      </c>
    </row>
    <row r="3" spans="1:12" x14ac:dyDescent="0.35">
      <c r="A3" s="5">
        <v>2</v>
      </c>
      <c r="B3" s="6" t="s">
        <v>14</v>
      </c>
      <c r="C3" s="6">
        <v>300</v>
      </c>
      <c r="D3" s="6">
        <v>12.972</v>
      </c>
      <c r="E3" s="6">
        <f t="shared" ref="E3:E5" si="0">C3*D3</f>
        <v>3891.6</v>
      </c>
      <c r="F3" s="6" t="s">
        <v>13</v>
      </c>
      <c r="G3" s="6" t="s">
        <v>13</v>
      </c>
      <c r="I3" s="8">
        <f>'Empty Weight'!B25</f>
        <v>10.530833333333334</v>
      </c>
      <c r="J3" s="8">
        <f>72.601/12</f>
        <v>6.0500833333333333</v>
      </c>
    </row>
    <row r="4" spans="1:12" x14ac:dyDescent="0.35">
      <c r="A4" s="5">
        <v>3</v>
      </c>
      <c r="B4" s="6" t="s">
        <v>15</v>
      </c>
      <c r="C4" s="6">
        <v>19.12</v>
      </c>
      <c r="D4" s="6">
        <v>5.5</v>
      </c>
      <c r="E4" s="6">
        <f t="shared" si="0"/>
        <v>105.16000000000001</v>
      </c>
      <c r="F4" s="6" t="s">
        <v>13</v>
      </c>
      <c r="G4" s="6" t="s">
        <v>13</v>
      </c>
    </row>
    <row r="5" spans="1:12" x14ac:dyDescent="0.35">
      <c r="A5" s="5">
        <v>4</v>
      </c>
      <c r="B5" s="6" t="s">
        <v>16</v>
      </c>
      <c r="C5" s="6">
        <v>220</v>
      </c>
      <c r="D5" s="6">
        <v>11.977</v>
      </c>
      <c r="E5" s="6">
        <f t="shared" si="0"/>
        <v>2634.94</v>
      </c>
      <c r="F5" s="6" t="s">
        <v>13</v>
      </c>
      <c r="G5" s="6" t="s">
        <v>13</v>
      </c>
      <c r="L5" t="s">
        <v>45</v>
      </c>
    </row>
    <row r="6" spans="1:12" x14ac:dyDescent="0.35">
      <c r="A6" s="7" t="s">
        <v>43</v>
      </c>
      <c r="B6" s="7"/>
      <c r="C6" s="7"/>
      <c r="D6" s="7"/>
      <c r="E6" s="7"/>
      <c r="F6" s="7"/>
      <c r="G6" s="7"/>
      <c r="I6" s="2" t="s">
        <v>77</v>
      </c>
      <c r="J6" s="2" t="s">
        <v>30</v>
      </c>
    </row>
    <row r="7" spans="1:12" x14ac:dyDescent="0.35">
      <c r="A7" s="2">
        <v>5</v>
      </c>
      <c r="B7" s="1" t="s">
        <v>17</v>
      </c>
      <c r="C7" s="16">
        <f>ROUNDUP(SUM(C2:C5),-3)</f>
        <v>5000</v>
      </c>
      <c r="D7" s="1" t="s">
        <v>13</v>
      </c>
      <c r="E7" s="1">
        <f>SUM(E2:E5)</f>
        <v>57923.408000000003</v>
      </c>
      <c r="F7" s="1">
        <f>E7/C7</f>
        <v>11.584681600000001</v>
      </c>
      <c r="G7" s="1">
        <f>((F7-$I$3)/$J$3)*100</f>
        <v>17.418739686781194</v>
      </c>
      <c r="I7" s="15">
        <f>G7</f>
        <v>17.418739686781194</v>
      </c>
      <c r="J7" s="17">
        <f>C7</f>
        <v>5000</v>
      </c>
    </row>
    <row r="8" spans="1:12" x14ac:dyDescent="0.35">
      <c r="A8" s="2">
        <v>6</v>
      </c>
      <c r="B8" s="1" t="s">
        <v>55</v>
      </c>
      <c r="C8" s="1">
        <v>0</v>
      </c>
      <c r="D8" s="1">
        <v>11.977</v>
      </c>
      <c r="E8" s="1">
        <f>C8*D8</f>
        <v>0</v>
      </c>
      <c r="F8" s="1" t="s">
        <v>13</v>
      </c>
      <c r="G8" s="1" t="s">
        <v>13</v>
      </c>
      <c r="I8" s="15">
        <f>G13</f>
        <v>19.615344414614391</v>
      </c>
      <c r="J8" s="15">
        <f>C13</f>
        <v>8720</v>
      </c>
      <c r="L8" t="s">
        <v>76</v>
      </c>
    </row>
    <row r="9" spans="1:12" x14ac:dyDescent="0.35">
      <c r="A9" s="2">
        <v>7</v>
      </c>
      <c r="B9" s="1" t="s">
        <v>18</v>
      </c>
      <c r="C9" s="1">
        <f>C7+C8</f>
        <v>5000</v>
      </c>
      <c r="D9" s="1" t="s">
        <v>13</v>
      </c>
      <c r="E9" s="1" t="s">
        <v>13</v>
      </c>
      <c r="F9" s="1">
        <f>(E8+E7)/C9</f>
        <v>11.584681600000001</v>
      </c>
      <c r="G9" s="1">
        <f t="shared" ref="G9:G15" si="1">((F9-$I$3)/$J$3)*100</f>
        <v>17.418739686781194</v>
      </c>
      <c r="I9" s="15">
        <f>G21</f>
        <v>27.814132425568534</v>
      </c>
      <c r="J9" s="15">
        <v>11593.52</v>
      </c>
    </row>
    <row r="10" spans="1:12" x14ac:dyDescent="0.35">
      <c r="A10" s="2">
        <v>8</v>
      </c>
      <c r="B10" s="1" t="s">
        <v>19</v>
      </c>
      <c r="C10" s="1">
        <v>220</v>
      </c>
      <c r="D10" s="1">
        <v>16.454000000000001</v>
      </c>
      <c r="E10" s="1">
        <f>C10*D10</f>
        <v>3619.88</v>
      </c>
      <c r="F10" s="1" t="s">
        <v>13</v>
      </c>
      <c r="G10" s="1" t="s">
        <v>13</v>
      </c>
      <c r="I10" s="15">
        <v>24.1478</v>
      </c>
      <c r="J10" s="15">
        <f>C21</f>
        <v>8136.4</v>
      </c>
    </row>
    <row r="11" spans="1:12" x14ac:dyDescent="0.35">
      <c r="A11" s="2">
        <v>9</v>
      </c>
      <c r="B11" s="1" t="s">
        <v>20</v>
      </c>
      <c r="C11" s="1">
        <f>C9+C10</f>
        <v>5220</v>
      </c>
      <c r="D11" s="1" t="s">
        <v>13</v>
      </c>
      <c r="E11" s="1" t="s">
        <v>13</v>
      </c>
      <c r="F11" s="1">
        <f>SUM(E7,E8,E10)/C11</f>
        <v>11.789901915708812</v>
      </c>
      <c r="G11" s="1">
        <f>((F11-$I$3)/$J$3)*100</f>
        <v>20.810764298709032</v>
      </c>
      <c r="I11" s="15">
        <f>G19</f>
        <v>20.810764298709032</v>
      </c>
      <c r="J11" s="15">
        <f>C19</f>
        <v>5220</v>
      </c>
    </row>
    <row r="12" spans="1:12" x14ac:dyDescent="0.35">
      <c r="A12" s="2">
        <v>10</v>
      </c>
      <c r="B12" s="1" t="s">
        <v>36</v>
      </c>
      <c r="C12" s="1">
        <v>3500</v>
      </c>
      <c r="D12" s="1">
        <f>'Empty Weight'!F15</f>
        <v>11.609712086917156</v>
      </c>
      <c r="E12" s="1">
        <f>C12*D12</f>
        <v>40633.992304210049</v>
      </c>
      <c r="F12" s="1" t="s">
        <v>13</v>
      </c>
      <c r="G12" s="1" t="s">
        <v>13</v>
      </c>
      <c r="I12" s="15">
        <f>G11</f>
        <v>20.810764298709032</v>
      </c>
      <c r="J12" s="15">
        <f>C11</f>
        <v>5220</v>
      </c>
    </row>
    <row r="13" spans="1:12" x14ac:dyDescent="0.35">
      <c r="A13" s="2">
        <v>11</v>
      </c>
      <c r="B13" s="1" t="s">
        <v>21</v>
      </c>
      <c r="C13" s="1">
        <f>C11+C12</f>
        <v>8720</v>
      </c>
      <c r="D13" s="1" t="s">
        <v>13</v>
      </c>
      <c r="E13" s="1" t="s">
        <v>13</v>
      </c>
      <c r="F13" s="1">
        <f>SUM(E8,E10,E12,E7)/C13</f>
        <v>11.71757801653785</v>
      </c>
      <c r="G13" s="1">
        <f t="shared" si="1"/>
        <v>19.615344414614391</v>
      </c>
      <c r="I13" s="15">
        <f>G7</f>
        <v>17.418739686781194</v>
      </c>
      <c r="J13" s="17">
        <f>C7</f>
        <v>5000</v>
      </c>
    </row>
    <row r="14" spans="1:12" x14ac:dyDescent="0.35">
      <c r="A14" s="2">
        <v>12</v>
      </c>
      <c r="B14" s="1" t="s">
        <v>22</v>
      </c>
      <c r="C14" s="1">
        <f>473*6.8-C3</f>
        <v>2916.4</v>
      </c>
      <c r="D14" s="1">
        <f>'Empty Weight'!E2</f>
        <v>12.972</v>
      </c>
      <c r="E14" s="1">
        <f>C14*D14</f>
        <v>37831.540800000002</v>
      </c>
      <c r="F14" s="1" t="s">
        <v>13</v>
      </c>
      <c r="G14" s="1" t="s">
        <v>13</v>
      </c>
    </row>
    <row r="15" spans="1:12" x14ac:dyDescent="0.35">
      <c r="A15" s="2">
        <v>13</v>
      </c>
      <c r="B15" s="1" t="s">
        <v>23</v>
      </c>
      <c r="C15" s="1">
        <f>C13+C14</f>
        <v>11636.4</v>
      </c>
      <c r="D15" s="1" t="s">
        <v>13</v>
      </c>
      <c r="E15" s="1">
        <f>SUM(E7:E14)</f>
        <v>140008.82110421004</v>
      </c>
      <c r="F15" s="1">
        <f>E15/C15</f>
        <v>12.031970463735352</v>
      </c>
      <c r="G15" s="1">
        <f t="shared" si="1"/>
        <v>24.811842212675057</v>
      </c>
    </row>
    <row r="16" spans="1:12" x14ac:dyDescent="0.35">
      <c r="A16" s="7" t="s">
        <v>44</v>
      </c>
      <c r="B16" s="7"/>
      <c r="C16" s="7"/>
      <c r="D16" s="7"/>
      <c r="E16" s="7"/>
      <c r="F16" s="7"/>
      <c r="G16" s="7"/>
    </row>
    <row r="17" spans="1:7" x14ac:dyDescent="0.35">
      <c r="A17" s="2">
        <v>5</v>
      </c>
      <c r="B17" s="1" t="s">
        <v>24</v>
      </c>
      <c r="C17" s="1">
        <f>C7</f>
        <v>5000</v>
      </c>
      <c r="D17" s="1" t="str">
        <f t="shared" ref="D17:G17" si="2">D7</f>
        <v>-</v>
      </c>
      <c r="E17" s="1">
        <f t="shared" si="2"/>
        <v>57923.408000000003</v>
      </c>
      <c r="F17" s="1">
        <f t="shared" si="2"/>
        <v>11.584681600000001</v>
      </c>
      <c r="G17" s="1">
        <f t="shared" si="2"/>
        <v>17.418739686781194</v>
      </c>
    </row>
    <row r="18" spans="1:7" x14ac:dyDescent="0.35">
      <c r="A18" s="2">
        <v>14</v>
      </c>
      <c r="B18" s="1" t="s">
        <v>6</v>
      </c>
      <c r="C18" s="1">
        <f>C10</f>
        <v>220</v>
      </c>
      <c r="D18" s="1">
        <f>D10</f>
        <v>16.454000000000001</v>
      </c>
      <c r="E18" s="1">
        <f>E10</f>
        <v>3619.88</v>
      </c>
      <c r="F18" s="1" t="s">
        <v>13</v>
      </c>
      <c r="G18" s="1" t="s">
        <v>13</v>
      </c>
    </row>
    <row r="19" spans="1:7" x14ac:dyDescent="0.35">
      <c r="A19" s="2">
        <v>15</v>
      </c>
      <c r="B19" s="1" t="s">
        <v>26</v>
      </c>
      <c r="C19" s="1">
        <f>SUM(C17:C18)</f>
        <v>5220</v>
      </c>
      <c r="D19" s="1" t="s">
        <v>13</v>
      </c>
      <c r="E19" s="1" t="s">
        <v>13</v>
      </c>
      <c r="F19" s="1">
        <f>SUM(E17:E18)/C19</f>
        <v>11.789901915708812</v>
      </c>
      <c r="G19" s="1">
        <f>((F19-$I$3)/$J$3)*100</f>
        <v>20.810764298709032</v>
      </c>
    </row>
    <row r="20" spans="1:7" x14ac:dyDescent="0.35">
      <c r="A20" s="2">
        <v>16</v>
      </c>
      <c r="B20" s="1" t="s">
        <v>94</v>
      </c>
      <c r="C20" s="1">
        <f>C14</f>
        <v>2916.4</v>
      </c>
      <c r="D20" s="1">
        <f>D14</f>
        <v>12.972</v>
      </c>
      <c r="E20" s="1">
        <f>E14</f>
        <v>37831.540800000002</v>
      </c>
      <c r="F20" s="1" t="s">
        <v>13</v>
      </c>
      <c r="G20" s="1" t="s">
        <v>13</v>
      </c>
    </row>
    <row r="21" spans="1:7" x14ac:dyDescent="0.35">
      <c r="A21" s="2">
        <v>17</v>
      </c>
      <c r="B21" s="1" t="s">
        <v>27</v>
      </c>
      <c r="C21" s="1">
        <f>SUM(C19:C20)</f>
        <v>8136.4</v>
      </c>
      <c r="D21" s="1" t="s">
        <v>13</v>
      </c>
      <c r="E21" s="1" t="s">
        <v>13</v>
      </c>
      <c r="F21" s="1">
        <f>SUM(E17,E18,E20)/C21</f>
        <v>12.213611523523918</v>
      </c>
      <c r="G21" s="1">
        <f t="shared" ref="G21:G25" si="3">((F21-$I$3)/$J$3)*100</f>
        <v>27.814132425568534</v>
      </c>
    </row>
    <row r="22" spans="1:7" x14ac:dyDescent="0.35">
      <c r="A22" s="2">
        <v>18</v>
      </c>
      <c r="B22" s="1" t="s">
        <v>36</v>
      </c>
      <c r="C22" s="1">
        <f>C12</f>
        <v>3500</v>
      </c>
      <c r="D22" s="1">
        <f>D12</f>
        <v>11.609712086917156</v>
      </c>
      <c r="E22" s="1">
        <f>E12</f>
        <v>40633.992304210049</v>
      </c>
      <c r="F22" s="1" t="s">
        <v>13</v>
      </c>
      <c r="G22" s="1" t="s">
        <v>13</v>
      </c>
    </row>
    <row r="23" spans="1:7" x14ac:dyDescent="0.35">
      <c r="A23" s="2">
        <v>19</v>
      </c>
      <c r="B23" s="1" t="s">
        <v>28</v>
      </c>
      <c r="C23" s="1">
        <f>SUM(C21:C22)</f>
        <v>11636.4</v>
      </c>
      <c r="D23" s="1" t="s">
        <v>13</v>
      </c>
      <c r="E23" s="1" t="s">
        <v>13</v>
      </c>
      <c r="F23" s="1">
        <f>SUM(E17,E18,E20,E22)/C23</f>
        <v>12.031970463735352</v>
      </c>
      <c r="G23" s="1">
        <f t="shared" si="3"/>
        <v>24.811842212675057</v>
      </c>
    </row>
    <row r="24" spans="1:7" x14ac:dyDescent="0.35">
      <c r="A24" s="2">
        <v>20</v>
      </c>
      <c r="B24" s="1" t="s">
        <v>5</v>
      </c>
      <c r="C24" s="1">
        <v>0</v>
      </c>
      <c r="D24" s="1"/>
      <c r="E24" s="1"/>
      <c r="F24" s="1" t="s">
        <v>13</v>
      </c>
      <c r="G24" s="1" t="s">
        <v>13</v>
      </c>
    </row>
    <row r="25" spans="1:7" x14ac:dyDescent="0.35">
      <c r="A25" s="2">
        <v>21</v>
      </c>
      <c r="B25" s="1" t="s">
        <v>29</v>
      </c>
      <c r="C25" s="1">
        <f>SUM(C23:C24)</f>
        <v>11636.4</v>
      </c>
      <c r="D25" s="1" t="s">
        <v>13</v>
      </c>
      <c r="E25" s="1" t="s">
        <v>13</v>
      </c>
      <c r="F25" s="1">
        <f>SUM(E17,E18,E20,E22,E24)/C25</f>
        <v>12.031970463735352</v>
      </c>
      <c r="G25" s="1">
        <f t="shared" si="3"/>
        <v>24.811842212675057</v>
      </c>
    </row>
    <row r="28" spans="1:7" x14ac:dyDescent="0.35">
      <c r="B28" t="s">
        <v>24</v>
      </c>
      <c r="C28">
        <v>5000</v>
      </c>
      <c r="D28" t="s">
        <v>13</v>
      </c>
      <c r="E28">
        <v>57923.408000000003</v>
      </c>
      <c r="F28">
        <v>11.584681600000001</v>
      </c>
      <c r="G28">
        <v>17.418739686781194</v>
      </c>
    </row>
    <row r="29" spans="1:7" x14ac:dyDescent="0.35">
      <c r="B29" t="s">
        <v>25</v>
      </c>
      <c r="C29">
        <v>2916.4</v>
      </c>
      <c r="D29">
        <v>12.972</v>
      </c>
      <c r="E29">
        <v>37831.540800000002</v>
      </c>
      <c r="F29" t="s">
        <v>13</v>
      </c>
      <c r="G29" t="s">
        <v>13</v>
      </c>
    </row>
    <row r="30" spans="1:7" x14ac:dyDescent="0.35">
      <c r="B30" t="s">
        <v>26</v>
      </c>
      <c r="C30">
        <v>7916.4</v>
      </c>
      <c r="D30" t="s">
        <v>13</v>
      </c>
      <c r="E30" t="s">
        <v>13</v>
      </c>
      <c r="F30">
        <v>12.095769390126828</v>
      </c>
      <c r="G30">
        <v>25.866355396650082</v>
      </c>
    </row>
    <row r="31" spans="1:7" x14ac:dyDescent="0.35">
      <c r="B31" t="s">
        <v>36</v>
      </c>
      <c r="C31">
        <v>3500</v>
      </c>
      <c r="D31">
        <v>11.609712086917156</v>
      </c>
      <c r="E31">
        <v>40633.992304210049</v>
      </c>
      <c r="F31" t="s">
        <v>13</v>
      </c>
      <c r="G31" t="s">
        <v>13</v>
      </c>
    </row>
    <row r="32" spans="1:7" x14ac:dyDescent="0.35">
      <c r="B32" t="s">
        <v>27</v>
      </c>
      <c r="C32">
        <v>11416.4</v>
      </c>
      <c r="D32" t="s">
        <v>13</v>
      </c>
      <c r="E32" t="s">
        <v>13</v>
      </c>
      <c r="F32">
        <v>11.946755641376447</v>
      </c>
      <c r="G32">
        <v>23.403352152886814</v>
      </c>
    </row>
    <row r="33" spans="2:7" x14ac:dyDescent="0.35">
      <c r="B33" t="s">
        <v>6</v>
      </c>
      <c r="C33">
        <v>220</v>
      </c>
      <c r="D33">
        <v>16.454000000000001</v>
      </c>
      <c r="E33">
        <v>3619.88</v>
      </c>
      <c r="F33" t="s">
        <v>13</v>
      </c>
      <c r="G33" t="s">
        <v>13</v>
      </c>
    </row>
    <row r="34" spans="2:7" x14ac:dyDescent="0.35">
      <c r="B34" t="s">
        <v>28</v>
      </c>
      <c r="C34">
        <v>11636.4</v>
      </c>
      <c r="D34" t="s">
        <v>13</v>
      </c>
      <c r="E34" t="s">
        <v>13</v>
      </c>
      <c r="F34">
        <v>12.031970463735355</v>
      </c>
      <c r="G34">
        <v>24.811842212675113</v>
      </c>
    </row>
    <row r="35" spans="2:7" x14ac:dyDescent="0.35">
      <c r="B35" t="s">
        <v>5</v>
      </c>
      <c r="C35">
        <v>0</v>
      </c>
      <c r="F35" t="s">
        <v>13</v>
      </c>
      <c r="G35" t="s">
        <v>13</v>
      </c>
    </row>
    <row r="36" spans="2:7" x14ac:dyDescent="0.35">
      <c r="B36" t="s">
        <v>29</v>
      </c>
      <c r="C36">
        <v>11636.4</v>
      </c>
      <c r="D36" t="s">
        <v>13</v>
      </c>
      <c r="E36" t="s">
        <v>13</v>
      </c>
      <c r="F36">
        <v>12.031970463735355</v>
      </c>
      <c r="G36">
        <v>24.811842212675113</v>
      </c>
    </row>
  </sheetData>
  <mergeCells count="2">
    <mergeCell ref="A6:G6"/>
    <mergeCell ref="A16:G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E39E-36B5-43F7-9622-90CD37749FCE}">
  <dimension ref="A1:D15"/>
  <sheetViews>
    <sheetView workbookViewId="0">
      <selection activeCell="A8" sqref="A8"/>
    </sheetView>
  </sheetViews>
  <sheetFormatPr defaultRowHeight="14.5" x14ac:dyDescent="0.35"/>
  <cols>
    <col min="1" max="1" width="10.7265625" customWidth="1"/>
    <col min="2" max="2" width="11.81640625" bestFit="1" customWidth="1"/>
    <col min="3" max="3" width="10.81640625" bestFit="1" customWidth="1"/>
    <col min="4" max="4" width="12.90625" bestFit="1" customWidth="1"/>
  </cols>
  <sheetData>
    <row r="1" spans="1:4" x14ac:dyDescent="0.35">
      <c r="A1" s="27" t="s">
        <v>90</v>
      </c>
      <c r="B1" s="27"/>
      <c r="C1" s="27"/>
      <c r="D1" s="27"/>
    </row>
    <row r="2" spans="1:4" x14ac:dyDescent="0.35">
      <c r="A2" s="8" t="s">
        <v>60</v>
      </c>
      <c r="B2" s="8" t="s">
        <v>59</v>
      </c>
      <c r="C2" s="8" t="s">
        <v>85</v>
      </c>
      <c r="D2" s="8" t="s">
        <v>86</v>
      </c>
    </row>
    <row r="3" spans="1:4" x14ac:dyDescent="0.35">
      <c r="A3" s="26">
        <f>'Empty Weight'!B25</f>
        <v>10.530833333333334</v>
      </c>
      <c r="B3" s="26">
        <f>'Empty Weight'!C25</f>
        <v>6.0500833333333333</v>
      </c>
      <c r="C3" s="8">
        <f>17.42</f>
        <v>17.420000000000002</v>
      </c>
      <c r="D3" s="8">
        <v>25.87</v>
      </c>
    </row>
    <row r="4" spans="1:4" x14ac:dyDescent="0.35">
      <c r="C4" t="s">
        <v>87</v>
      </c>
      <c r="D4" t="s">
        <v>88</v>
      </c>
    </row>
    <row r="5" spans="1:4" x14ac:dyDescent="0.35">
      <c r="C5">
        <v>11.58</v>
      </c>
      <c r="D5">
        <v>12.1</v>
      </c>
    </row>
    <row r="7" spans="1:4" x14ac:dyDescent="0.35">
      <c r="A7" s="27" t="s">
        <v>93</v>
      </c>
      <c r="B7" s="27"/>
      <c r="C7" s="27"/>
      <c r="D7" s="27"/>
    </row>
    <row r="13" spans="1:4" x14ac:dyDescent="0.35">
      <c r="A13" s="27" t="s">
        <v>89</v>
      </c>
      <c r="B13" s="27"/>
      <c r="C13" s="27"/>
      <c r="D13" s="27"/>
    </row>
    <row r="14" spans="1:4" x14ac:dyDescent="0.35">
      <c r="A14" t="s">
        <v>91</v>
      </c>
      <c r="B14" t="s">
        <v>92</v>
      </c>
    </row>
    <row r="15" spans="1:4" x14ac:dyDescent="0.35">
      <c r="A15">
        <v>0.55000000000000004</v>
      </c>
      <c r="B15">
        <f>B3*A15+A3</f>
        <v>13.858379166666667</v>
      </c>
    </row>
  </sheetData>
  <mergeCells count="3">
    <mergeCell ref="A1:D1"/>
    <mergeCell ref="A13:D13"/>
    <mergeCell ref="A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55F58912B654AAA143FB6F23867BF" ma:contentTypeVersion="18" ma:contentTypeDescription="Create a new document." ma:contentTypeScope="" ma:versionID="ca35ef2c79184dece2382fe10a86ecc2">
  <xsd:schema xmlns:xsd="http://www.w3.org/2001/XMLSchema" xmlns:xs="http://www.w3.org/2001/XMLSchema" xmlns:p="http://schemas.microsoft.com/office/2006/metadata/properties" xmlns:ns3="5e3388d9-314e-4294-86c7-b13e3e1771a6" xmlns:ns4="b7f6fc4a-4dd4-4733-a317-024af99a3eac" targetNamespace="http://schemas.microsoft.com/office/2006/metadata/properties" ma:root="true" ma:fieldsID="11badb3ba1486ac4ed64eef28c55e54c" ns3:_="" ns4:_="">
    <xsd:import namespace="5e3388d9-314e-4294-86c7-b13e3e1771a6"/>
    <xsd:import namespace="b7f6fc4a-4dd4-4733-a317-024af99a3e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388d9-314e-4294-86c7-b13e3e177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6fc4a-4dd4-4733-a317-024af99a3ea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3388d9-314e-4294-86c7-b13e3e1771a6" xsi:nil="true"/>
  </documentManagement>
</p:properties>
</file>

<file path=customXml/itemProps1.xml><?xml version="1.0" encoding="utf-8"?>
<ds:datastoreItem xmlns:ds="http://schemas.openxmlformats.org/officeDocument/2006/customXml" ds:itemID="{93CDCB7F-8648-4905-9D51-EA330003B1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388d9-314e-4294-86c7-b13e3e1771a6"/>
    <ds:schemaRef ds:uri="b7f6fc4a-4dd4-4733-a317-024af99a3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904E1D-471D-4B0D-997C-93DA4375DA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793EFF-49C1-4883-A0FB-581B72B07948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b7f6fc4a-4dd4-4733-a317-024af99a3eac"/>
    <ds:schemaRef ds:uri="5e3388d9-314e-4294-86c7-b13e3e1771a6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Empty Weight</vt:lpstr>
      <vt:lpstr>CG_Envelope</vt:lpstr>
      <vt:lpstr>Landing 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2025-01-30T02:14:08Z</dcterms:created>
  <dcterms:modified xsi:type="dcterms:W3CDTF">2025-02-01T06:17:11Z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0x010100DD955F58912B654AAA143FB6F23867BF</vt:lpwstr>
  </property>
</Properties>
</file>