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860A2E75-484B-4E93-84FA-6BC5832562CA}" xr6:coauthVersionLast="43" xr6:coauthVersionMax="43" xr10:uidLastSave="{00000000-0000-0000-0000-000000000000}"/>
  <bookViews>
    <workbookView xWindow="23880" yWindow="-120" windowWidth="24240" windowHeight="13140" activeTab="2" xr2:uid="{6676EBA9-1B60-4743-AD0B-38828D275A1F}"/>
  </bookViews>
  <sheets>
    <sheet name="PL" sheetId="3" r:id="rId1"/>
    <sheet name="tab grafs" sheetId="12" r:id="rId2"/>
    <sheet name="grafs" sheetId="13" r:id="rId3"/>
    <sheet name="Planilha3" sheetId="11" r:id="rId4"/>
    <sheet name="Planilha1" sheetId="7" r:id="rId5"/>
    <sheet name="Planilha1 (2)" sheetId="9" r:id="rId6"/>
    <sheet name="Planilha5" sheetId="10" r:id="rId7"/>
    <sheet name="Planilha2" sheetId="6" r:id="rId8"/>
    <sheet name="Governança" sheetId="4" r:id="rId9"/>
    <sheet name="Setor Privado" sheetId="5" r:id="rId10"/>
  </sheets>
  <externalReferences>
    <externalReference r:id="rId11"/>
  </externalReferences>
  <definedNames>
    <definedName name="_xlnm._FilterDatabase" localSheetId="0" hidden="1">PL!$A$1:$M$259</definedName>
    <definedName name="_xlnm._FilterDatabase" localSheetId="6" hidden="1">Planilha5!$A$1:$B$21</definedName>
  </definedNames>
  <calcPr calcId="191029"/>
  <pivotCaches>
    <pivotCache cacheId="11" r:id="rId12"/>
    <pivotCache cacheId="1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M242" i="3"/>
  <c r="M241" i="3"/>
  <c r="M240" i="3"/>
  <c r="M239" i="3"/>
  <c r="M238" i="3"/>
  <c r="M237" i="3"/>
  <c r="M232" i="3"/>
  <c r="M231" i="3"/>
  <c r="M230" i="3"/>
  <c r="M229" i="3"/>
  <c r="M228" i="3"/>
  <c r="M227" i="3"/>
  <c r="M226" i="3"/>
  <c r="M216" i="3"/>
  <c r="M215" i="3"/>
  <c r="M214" i="3"/>
  <c r="M213" i="3"/>
  <c r="M195" i="3"/>
  <c r="M190" i="3"/>
  <c r="M189" i="3"/>
  <c r="M188" i="3"/>
  <c r="M187" i="3"/>
  <c r="M186" i="3"/>
  <c r="M184" i="3"/>
  <c r="M183" i="3"/>
  <c r="M182" i="3"/>
  <c r="M181" i="3"/>
  <c r="M180" i="3"/>
  <c r="M179" i="3"/>
  <c r="M178" i="3"/>
  <c r="M177" i="3"/>
  <c r="M176" i="3"/>
  <c r="M175" i="3"/>
  <c r="M147" i="3"/>
  <c r="M146" i="3"/>
  <c r="M145" i="3"/>
  <c r="M144" i="3"/>
  <c r="M143" i="3"/>
  <c r="M142" i="3"/>
  <c r="M141" i="3"/>
  <c r="M138" i="3"/>
  <c r="M136" i="3"/>
  <c r="M135" i="3"/>
  <c r="M134" i="3"/>
  <c r="M133" i="3"/>
  <c r="M132" i="3"/>
  <c r="M131" i="3"/>
  <c r="M130" i="3"/>
  <c r="M129" i="3"/>
  <c r="M127" i="3"/>
  <c r="M126" i="3"/>
  <c r="M125" i="3"/>
  <c r="M124" i="3"/>
  <c r="M122" i="3"/>
  <c r="M120" i="3"/>
  <c r="M119" i="3"/>
  <c r="M118" i="3"/>
  <c r="M117" i="3"/>
  <c r="M116" i="3"/>
  <c r="M115" i="3"/>
  <c r="M111" i="3"/>
  <c r="M110" i="3"/>
  <c r="M93" i="3"/>
  <c r="M92" i="3"/>
  <c r="M91" i="3"/>
  <c r="M87" i="3"/>
  <c r="M86" i="3"/>
  <c r="M74" i="3"/>
  <c r="M73" i="3"/>
  <c r="M72" i="3"/>
  <c r="M71" i="3"/>
  <c r="M70" i="3"/>
  <c r="M65" i="3"/>
  <c r="M64" i="3"/>
  <c r="M57" i="3"/>
  <c r="M56" i="3"/>
  <c r="M55" i="3"/>
  <c r="M54" i="3"/>
  <c r="M53" i="3"/>
  <c r="M52" i="3"/>
  <c r="M51" i="3"/>
  <c r="M42" i="3"/>
  <c r="M41" i="3"/>
  <c r="M40" i="3"/>
  <c r="M39" i="3"/>
  <c r="M32" i="3"/>
  <c r="M31" i="3"/>
  <c r="M30" i="3"/>
  <c r="M29" i="3"/>
  <c r="M28" i="3"/>
  <c r="M27" i="3"/>
  <c r="M20" i="3"/>
  <c r="M19" i="3"/>
  <c r="M18" i="3"/>
  <c r="M12" i="3"/>
  <c r="M11" i="3"/>
  <c r="M10" i="3"/>
  <c r="M9" i="3"/>
  <c r="M8" i="3"/>
  <c r="M7" i="3"/>
  <c r="M6" i="3"/>
  <c r="M5" i="3"/>
  <c r="M4" i="3"/>
  <c r="M3" i="3"/>
  <c r="M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H248" i="3"/>
  <c r="H246" i="3"/>
  <c r="H242" i="3"/>
  <c r="H210" i="3"/>
  <c r="H175" i="3"/>
  <c r="H169" i="3"/>
  <c r="H162" i="3"/>
  <c r="H146" i="3"/>
  <c r="H142" i="3"/>
  <c r="H124" i="3"/>
  <c r="H109" i="3"/>
  <c r="H84" i="3"/>
  <c r="H69" i="3"/>
  <c r="H54" i="3"/>
  <c r="H53" i="3"/>
  <c r="H45" i="3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I58" i="3"/>
</calcChain>
</file>

<file path=xl/sharedStrings.xml><?xml version="1.0" encoding="utf-8"?>
<sst xmlns="http://schemas.openxmlformats.org/spreadsheetml/2006/main" count="1542" uniqueCount="414">
  <si>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</si>
  <si>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</si>
  <si>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</si>
  <si>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</si>
  <si>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</si>
  <si>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</si>
  <si>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</si>
  <si>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</si>
  <si>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</si>
  <si>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</si>
  <si>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</si>
  <si>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</si>
  <si>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</si>
  <si>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</si>
  <si>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</si>
  <si>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</si>
  <si>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</si>
  <si>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</si>
  <si>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</si>
  <si>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</si>
  <si>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</si>
  <si>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</si>
  <si>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</si>
  <si>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</si>
  <si>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</si>
  <si>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</si>
  <si>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</si>
  <si>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</si>
  <si>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</si>
  <si>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</si>
  <si>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</si>
  <si>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</si>
  <si>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</si>
  <si>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</si>
  <si>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</si>
  <si>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</si>
  <si>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</si>
  <si>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</si>
  <si>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</si>
  <si>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</si>
  <si>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</si>
  <si>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</si>
  <si>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</si>
  <si>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</si>
  <si>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</si>
  <si>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</si>
  <si>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</si>
  <si>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</si>
  <si>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</si>
  <si>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</si>
  <si>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</si>
  <si>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</si>
  <si>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</si>
  <si>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</si>
  <si>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</si>
  <si>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</si>
  <si>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</si>
  <si>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</si>
  <si>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</si>
  <si>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</si>
  <si>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</si>
  <si>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</si>
  <si>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</si>
  <si>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</si>
  <si>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</si>
  <si>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</si>
  <si>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</si>
  <si>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</si>
  <si>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</si>
  <si>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</si>
  <si>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</si>
  <si>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</si>
  <si>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</si>
  <si>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</si>
  <si>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</si>
  <si>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</si>
  <si>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</si>
  <si>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</si>
  <si>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</si>
  <si>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</si>
  <si>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</si>
  <si>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</si>
  <si>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</si>
  <si>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</si>
  <si>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</si>
  <si>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</si>
  <si>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</si>
  <si>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</si>
  <si>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</si>
  <si>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</si>
  <si>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</si>
  <si>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</si>
  <si>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</si>
  <si>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</si>
  <si>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</si>
  <si>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</si>
  <si>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</si>
  <si>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</si>
  <si>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</si>
  <si>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</si>
  <si>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</si>
  <si>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</si>
  <si>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</si>
  <si>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</si>
  <si>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</si>
  <si>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</si>
  <si>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</si>
  <si>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</si>
  <si>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</si>
  <si>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</si>
  <si>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</si>
  <si>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</si>
  <si>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</si>
  <si>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</si>
  <si>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</si>
  <si>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</si>
  <si>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</si>
  <si>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</si>
  <si>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</si>
  <si>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</si>
  <si>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</si>
  <si>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</si>
  <si>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</si>
  <si>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</si>
  <si>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</si>
  <si>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</si>
  <si>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</si>
  <si>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</si>
  <si>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</si>
  <si>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</si>
  <si>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</si>
  <si>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</si>
  <si>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</si>
  <si>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</si>
  <si>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</si>
  <si>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</si>
  <si>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</si>
  <si>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</si>
  <si>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</si>
  <si>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</si>
  <si>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</si>
  <si>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</si>
  <si>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</si>
  <si>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</si>
  <si>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</si>
  <si>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</si>
  <si>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</si>
  <si>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</si>
  <si>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</si>
  <si>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</si>
  <si>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</si>
  <si>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</si>
  <si>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</si>
  <si>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</si>
  <si>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</si>
  <si>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</si>
  <si>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</si>
  <si>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</si>
  <si>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</si>
  <si>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</si>
  <si>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</si>
  <si>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</si>
  <si>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</si>
  <si>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</si>
  <si>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</si>
  <si>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</si>
  <si>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</si>
  <si>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</si>
  <si>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</si>
  <si>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</si>
  <si>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</si>
  <si>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</si>
  <si>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</si>
  <si>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</si>
  <si>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</si>
  <si>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</si>
  <si>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</si>
  <si>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</si>
  <si>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</si>
  <si>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</si>
  <si>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</si>
  <si>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</si>
  <si>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</si>
  <si>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</si>
  <si>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</si>
  <si>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</si>
  <si>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</si>
  <si>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</si>
  <si>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</si>
  <si>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</si>
  <si>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</si>
  <si>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</si>
  <si>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</si>
  <si>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</si>
  <si>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</si>
  <si>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</si>
  <si>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</si>
  <si>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</si>
  <si>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</si>
  <si>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</si>
  <si>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</si>
  <si>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</si>
  <si>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</si>
  <si>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</si>
  <si>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</si>
  <si>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</si>
  <si>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</si>
  <si>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</si>
  <si>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</si>
  <si>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</si>
  <si>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</si>
  <si>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</si>
  <si>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</si>
  <si>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</si>
  <si>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</si>
  <si>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</si>
  <si>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</si>
  <si>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</si>
  <si>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</si>
  <si>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</si>
  <si>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</si>
  <si>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</si>
  <si>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</si>
  <si>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</si>
  <si>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</si>
  <si>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</si>
  <si>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</si>
  <si>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</si>
  <si>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</si>
  <si>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</si>
  <si>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</si>
  <si>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</si>
  <si>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</si>
  <si>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</si>
  <si>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</si>
  <si>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</si>
  <si>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</si>
  <si>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</si>
  <si>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</si>
  <si>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</si>
  <si>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</si>
  <si>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</si>
  <si>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</si>
  <si>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</si>
  <si>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</si>
  <si>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</si>
  <si>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</si>
  <si>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</si>
  <si>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</si>
  <si>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</si>
  <si>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</si>
  <si>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</si>
  <si>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</si>
  <si>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</si>
  <si>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</si>
  <si>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</si>
  <si>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</si>
  <si>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</si>
  <si>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</si>
  <si>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</si>
  <si>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</si>
  <si>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</si>
  <si>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</si>
  <si>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</si>
  <si>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</si>
  <si>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</si>
  <si>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</si>
  <si>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</si>
  <si>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</si>
  <si>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</si>
  <si>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</si>
  <si>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</si>
  <si>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</si>
  <si>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</si>
  <si>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</si>
  <si>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</si>
  <si>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</si>
  <si>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</si>
  <si>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</si>
  <si>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</si>
  <si>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</si>
  <si>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</si>
  <si>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</si>
  <si>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</si>
  <si>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</si>
  <si>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</si>
  <si>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</si>
  <si>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</si>
  <si>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</si>
  <si>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</si>
  <si>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</si>
  <si>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</si>
  <si>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</si>
  <si>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</si>
  <si>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</si>
  <si>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</si>
  <si>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</si>
  <si>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</si>
  <si>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</si>
  <si>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</si>
  <si>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</si>
  <si>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</si>
  <si>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</si>
  <si>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</si>
  <si>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</si>
  <si>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</si>
  <si>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</si>
  <si>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</si>
  <si>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</si>
  <si>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</si>
  <si>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</si>
  <si>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</si>
  <si>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</si>
  <si>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</si>
  <si>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</si>
  <si>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</si>
  <si>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</si>
  <si>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</si>
  <si>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</si>
  <si>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</si>
  <si>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</si>
  <si>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</si>
  <si>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</si>
  <si>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</si>
  <si>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</si>
  <si>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</si>
  <si>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</si>
  <si>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</si>
  <si>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</si>
  <si>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</si>
  <si>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</si>
  <si>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</si>
  <si>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</si>
  <si>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</si>
  <si>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</si>
  <si>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</si>
  <si>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</si>
  <si>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</si>
  <si>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</si>
  <si>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</si>
  <si>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</si>
  <si>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</si>
  <si>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</si>
  <si>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</si>
  <si>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</si>
  <si>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</si>
  <si>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</si>
  <si>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</si>
  <si>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</si>
  <si>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</si>
  <si>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</si>
  <si>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</si>
  <si>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</si>
  <si>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</si>
  <si>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</si>
  <si>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</si>
  <si>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</si>
  <si>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</si>
  <si>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</si>
  <si>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</si>
  <si>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</si>
  <si>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</si>
  <si>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</si>
  <si>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</si>
  <si>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</si>
  <si>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</si>
  <si>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</si>
  <si>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</si>
  <si>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</si>
  <si>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</si>
  <si>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</si>
  <si>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</si>
  <si>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</si>
  <si>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</si>
  <si>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</si>
  <si>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</si>
  <si>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</si>
  <si>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</si>
  <si>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</si>
  <si>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</si>
  <si>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</si>
  <si>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</si>
  <si>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</si>
  <si>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</si>
  <si>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</si>
  <si>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</si>
  <si>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</si>
  <si>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</si>
  <si>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</si>
  <si>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</si>
  <si>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</si>
  <si>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</si>
  <si>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</si>
  <si>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</si>
  <si>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</si>
  <si>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</si>
  <si>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</si>
  <si>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</si>
  <si>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</si>
  <si>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</si>
  <si>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</si>
  <si>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</si>
  <si>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</si>
  <si>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</si>
  <si>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</si>
  <si>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</si>
  <si>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</si>
  <si>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</si>
  <si>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</si>
  <si>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</si>
  <si>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</si>
  <si>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 xml:space="preserve">R$   7.822.945.000,00 </t>
  </si>
  <si>
    <t xml:space="preserve"> R$   832.379.000,00 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</si>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</sst>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9" fontId="0" fillId="0" borderId="1" xfId="3" applyFont="1" applyBorder="1"/>
    <xf numFmtId="9" fontId="0" fillId="0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44" fontId="0" fillId="0" borderId="0" xfId="1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44" fontId="4" fillId="0" borderId="1" xfId="1" applyFont="1" applyBorder="1"/>
    <xf numFmtId="0" fontId="5" fillId="0" borderId="0" xfId="0" applyFont="1"/>
    <xf numFmtId="0" fontId="6" fillId="0" borderId="0" xfId="0" applyFont="1"/>
    <xf numFmtId="0" fontId="7" fillId="0" borderId="0" xfId="4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3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44" fontId="0" fillId="0" borderId="1" xfId="0" applyNumberFormat="1" applyBorder="1"/>
    <xf numFmtId="165" fontId="0" fillId="0" borderId="0" xfId="5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</cellXfs>
  <cellStyles count="6">
    <cellStyle name="Hiperlink" xfId="4" builtinId="8"/>
    <cellStyle name="Moeda" xfId="1" builtinId="4"/>
    <cellStyle name="Normal" xfId="0" builtinId="0"/>
    <cellStyle name="Normal 2" xfId="2" xr:uid="{ECEC709A-4EA8-4B28-978A-7118A7AFE356}"/>
    <cellStyle name="Porcentagem" xfId="3" builtinId="5"/>
    <cellStyle name="Vírgula" xfId="5" builtinId="3"/>
  </cellStyles>
  <dxfs count="13"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" formatCode="0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/>
      <sheetData sheetId="1">
        <row r="30">
          <cell r="AG30">
            <v>97455026.060000002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L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E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M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hidden="1" customWidth="1"/>
    <col min="4" max="4" width="19.42578125" style="2" customWidth="1"/>
    <col min="5" max="5" width="22" style="2" customWidth="1"/>
    <col min="6" max="6" width="20.5703125" style="2" bestFit="1" customWidth="1"/>
    <col min="7" max="7" width="19.5703125" style="2" bestFit="1" customWidth="1"/>
    <col min="8" max="8" width="19.5703125" style="2" customWidth="1"/>
    <col min="9" max="9" width="19.5703125" style="2" bestFit="1" customWidth="1"/>
    <col min="10" max="10" width="20.42578125" style="2" hidden="1" customWidth="1"/>
    <col min="11" max="11" width="19.5703125" style="2" bestFit="1" customWidth="1"/>
    <col min="12" max="12" width="20.42578125" style="2" bestFit="1" customWidth="1"/>
    <col min="13" max="13" width="31.28515625" style="2" bestFit="1" customWidth="1"/>
    <col min="14" max="16384" width="9.140625" style="2"/>
  </cols>
  <sheetData>
    <row r="1" spans="1:13" x14ac:dyDescent="0.25">
      <c r="A1" s="3" t="s">
        <v>0</v>
      </c>
      <c r="B1" s="3" t="s">
        <v>2</v>
      </c>
      <c r="C1" s="3" t="s">
        <v>279</v>
      </c>
      <c r="D1" s="3" t="s">
        <v>10</v>
      </c>
      <c r="E1" s="3" t="s">
        <v>1</v>
      </c>
      <c r="F1" s="3" t="s">
        <v>3</v>
      </c>
      <c r="G1" s="3" t="s">
        <v>4</v>
      </c>
      <c r="H1" s="3"/>
      <c r="I1" s="3" t="s">
        <v>11</v>
      </c>
      <c r="J1" s="3" t="s">
        <v>5</v>
      </c>
      <c r="K1" s="3" t="s">
        <v>6</v>
      </c>
      <c r="L1" s="3" t="s">
        <v>7</v>
      </c>
      <c r="M1" s="3" t="s">
        <v>406</v>
      </c>
    </row>
    <row r="2" spans="1:13" x14ac:dyDescent="0.25">
      <c r="A2" s="9" t="s">
        <v>32</v>
      </c>
      <c r="B2" s="2" t="s">
        <v>202</v>
      </c>
      <c r="D2" s="2" t="s">
        <v>21</v>
      </c>
      <c r="E2" s="2" t="s">
        <v>49</v>
      </c>
      <c r="F2" s="4">
        <v>52502677.979999997</v>
      </c>
      <c r="G2" s="4">
        <v>7305574.7400000002</v>
      </c>
      <c r="H2" s="4"/>
      <c r="I2" s="4"/>
      <c r="J2" s="4"/>
      <c r="K2" s="4">
        <v>8742169.7599999998</v>
      </c>
      <c r="L2" s="4"/>
      <c r="M2" s="31">
        <f>I2-K2-L2</f>
        <v>-8742169.7599999998</v>
      </c>
    </row>
    <row r="3" spans="1:13" x14ac:dyDescent="0.25">
      <c r="A3" s="9" t="s">
        <v>32</v>
      </c>
      <c r="B3" s="2" t="s">
        <v>203</v>
      </c>
      <c r="D3" s="2" t="s">
        <v>21</v>
      </c>
      <c r="E3" s="2" t="s">
        <v>26</v>
      </c>
      <c r="F3" s="4">
        <v>-185821</v>
      </c>
      <c r="G3" s="4">
        <v>-1704</v>
      </c>
      <c r="H3" s="4"/>
      <c r="I3" s="4"/>
      <c r="J3" s="4"/>
      <c r="K3" s="4">
        <v>1398</v>
      </c>
      <c r="L3" s="4"/>
      <c r="M3" s="31">
        <f t="shared" ref="M3:M12" si="0">I3-K3-L3</f>
        <v>-1398</v>
      </c>
    </row>
    <row r="4" spans="1:13" x14ac:dyDescent="0.25">
      <c r="A4" s="9" t="s">
        <v>32</v>
      </c>
      <c r="B4" s="2" t="s">
        <v>204</v>
      </c>
      <c r="D4" s="2" t="s">
        <v>21</v>
      </c>
      <c r="E4" s="2" t="s">
        <v>24</v>
      </c>
      <c r="F4" s="4"/>
      <c r="G4" s="4"/>
      <c r="H4" s="4"/>
      <c r="I4" s="4"/>
      <c r="J4" s="4"/>
      <c r="K4" s="4"/>
      <c r="L4" s="4"/>
      <c r="M4" s="31">
        <f t="shared" si="0"/>
        <v>0</v>
      </c>
    </row>
    <row r="5" spans="1:13" x14ac:dyDescent="0.25">
      <c r="A5" s="9" t="s">
        <v>32</v>
      </c>
      <c r="B5" s="2" t="s">
        <v>205</v>
      </c>
      <c r="D5" s="2" t="s">
        <v>21</v>
      </c>
      <c r="E5" s="2" t="s">
        <v>24</v>
      </c>
      <c r="F5" s="4">
        <v>41354413.369999997</v>
      </c>
      <c r="G5" s="4">
        <v>-5249854.38</v>
      </c>
      <c r="H5" s="4"/>
      <c r="I5" s="4"/>
      <c r="J5" s="4">
        <v>42235798.060000002</v>
      </c>
      <c r="K5" s="4">
        <v>2471640.77</v>
      </c>
      <c r="L5" s="4"/>
      <c r="M5" s="31">
        <f t="shared" si="0"/>
        <v>-2471640.77</v>
      </c>
    </row>
    <row r="6" spans="1:13" x14ac:dyDescent="0.25">
      <c r="A6" s="9" t="s">
        <v>32</v>
      </c>
      <c r="B6" s="2" t="s">
        <v>206</v>
      </c>
      <c r="D6" s="2" t="s">
        <v>21</v>
      </c>
      <c r="E6" s="2" t="s">
        <v>24</v>
      </c>
      <c r="F6" s="4">
        <v>7869740.0599999996</v>
      </c>
      <c r="G6" s="4">
        <v>-3372681.29</v>
      </c>
      <c r="H6" s="4"/>
      <c r="I6" s="4"/>
      <c r="J6" s="4">
        <v>2670849.4700000002</v>
      </c>
      <c r="K6" s="4">
        <v>4282165.53</v>
      </c>
      <c r="L6" s="4"/>
      <c r="M6" s="31">
        <f t="shared" si="0"/>
        <v>-4282165.53</v>
      </c>
    </row>
    <row r="7" spans="1:13" x14ac:dyDescent="0.25">
      <c r="A7" s="9" t="s">
        <v>32</v>
      </c>
      <c r="B7" s="2" t="s">
        <v>207</v>
      </c>
      <c r="D7" s="2" t="s">
        <v>21</v>
      </c>
      <c r="E7" s="2" t="s">
        <v>47</v>
      </c>
      <c r="F7" s="4">
        <v>-5312747.46</v>
      </c>
      <c r="G7" s="4">
        <v>-1976962.1</v>
      </c>
      <c r="H7" s="4"/>
      <c r="I7" s="4"/>
      <c r="J7" s="4"/>
      <c r="K7" s="4"/>
      <c r="L7" s="4"/>
      <c r="M7" s="31">
        <f t="shared" si="0"/>
        <v>0</v>
      </c>
    </row>
    <row r="8" spans="1:13" x14ac:dyDescent="0.25">
      <c r="A8" s="9" t="s">
        <v>32</v>
      </c>
      <c r="B8" s="2" t="s">
        <v>208</v>
      </c>
      <c r="D8" s="2" t="s">
        <v>21</v>
      </c>
      <c r="E8" s="2" t="s">
        <v>27</v>
      </c>
      <c r="F8" s="4">
        <v>2897848.98</v>
      </c>
      <c r="G8" s="4">
        <v>0</v>
      </c>
      <c r="H8" s="4"/>
      <c r="I8" s="4"/>
      <c r="J8" s="4">
        <v>18113185.359999999</v>
      </c>
      <c r="K8" s="4">
        <v>3076558.54</v>
      </c>
      <c r="L8" s="4"/>
      <c r="M8" s="31">
        <f t="shared" si="0"/>
        <v>-3076558.54</v>
      </c>
    </row>
    <row r="9" spans="1:13" x14ac:dyDescent="0.25">
      <c r="A9" s="1" t="s">
        <v>13</v>
      </c>
      <c r="B9" s="20" t="s">
        <v>322</v>
      </c>
      <c r="D9" s="2" t="s">
        <v>21</v>
      </c>
      <c r="E9" s="2" t="s">
        <v>23</v>
      </c>
      <c r="F9" s="21">
        <v>34705000</v>
      </c>
      <c r="G9" s="21">
        <v>-1262</v>
      </c>
      <c r="H9" s="21"/>
      <c r="I9" s="4"/>
      <c r="J9" s="4"/>
      <c r="K9" s="4"/>
      <c r="L9" s="4"/>
      <c r="M9" s="31">
        <f t="shared" si="0"/>
        <v>0</v>
      </c>
    </row>
    <row r="10" spans="1:13" x14ac:dyDescent="0.25">
      <c r="A10" s="1" t="s">
        <v>13</v>
      </c>
      <c r="B10" s="2" t="s">
        <v>14</v>
      </c>
      <c r="D10" s="2" t="s">
        <v>21</v>
      </c>
      <c r="E10" s="2" t="s">
        <v>24</v>
      </c>
      <c r="I10" s="4"/>
      <c r="J10" s="4"/>
      <c r="K10" s="4"/>
      <c r="L10" s="4"/>
      <c r="M10" s="31">
        <f t="shared" si="0"/>
        <v>0</v>
      </c>
    </row>
    <row r="11" spans="1:13" x14ac:dyDescent="0.25">
      <c r="A11" s="1" t="s">
        <v>13</v>
      </c>
      <c r="B11" s="2" t="s">
        <v>15</v>
      </c>
      <c r="D11" s="2" t="s">
        <v>21</v>
      </c>
      <c r="E11" s="2" t="s">
        <v>25</v>
      </c>
      <c r="I11" s="4"/>
      <c r="J11" s="4"/>
      <c r="K11" s="4"/>
      <c r="L11" s="4"/>
      <c r="M11" s="31">
        <f t="shared" si="0"/>
        <v>0</v>
      </c>
    </row>
    <row r="12" spans="1:13" x14ac:dyDescent="0.25">
      <c r="A12" s="1" t="s">
        <v>13</v>
      </c>
      <c r="B12" s="20" t="s">
        <v>323</v>
      </c>
      <c r="D12" s="2" t="s">
        <v>21</v>
      </c>
      <c r="E12" s="2" t="s">
        <v>26</v>
      </c>
      <c r="I12" s="4"/>
      <c r="J12" s="4"/>
      <c r="K12" s="4"/>
      <c r="L12" s="4"/>
      <c r="M12" s="31">
        <f t="shared" si="0"/>
        <v>0</v>
      </c>
    </row>
    <row r="13" spans="1:13" x14ac:dyDescent="0.25">
      <c r="A13" s="1" t="s">
        <v>13</v>
      </c>
      <c r="B13" s="2" t="s">
        <v>16</v>
      </c>
      <c r="C13" s="2" t="s">
        <v>319</v>
      </c>
      <c r="D13" s="2" t="s">
        <v>22</v>
      </c>
      <c r="E13" s="2" t="s">
        <v>27</v>
      </c>
      <c r="F13" s="4">
        <v>-546777148.64999998</v>
      </c>
      <c r="G13" s="4">
        <v>7543037.3399999999</v>
      </c>
      <c r="H13" s="4"/>
      <c r="I13" s="4"/>
      <c r="J13" s="4"/>
      <c r="K13" s="4"/>
      <c r="L13" s="4"/>
    </row>
    <row r="14" spans="1:13" x14ac:dyDescent="0.25">
      <c r="A14" s="1" t="s">
        <v>13</v>
      </c>
      <c r="B14" s="2" t="s">
        <v>17</v>
      </c>
      <c r="C14" s="2" t="s">
        <v>318</v>
      </c>
      <c r="D14" s="2" t="s">
        <v>22</v>
      </c>
      <c r="E14" s="2" t="s">
        <v>28</v>
      </c>
      <c r="F14" s="4">
        <v>85978000</v>
      </c>
      <c r="G14" s="4">
        <v>22825000</v>
      </c>
      <c r="H14" s="4"/>
      <c r="I14" s="4"/>
      <c r="J14" s="4"/>
      <c r="K14" s="4"/>
      <c r="L14" s="4"/>
    </row>
    <row r="15" spans="1:13" x14ac:dyDescent="0.25">
      <c r="A15" s="1" t="s">
        <v>13</v>
      </c>
      <c r="B15" s="2" t="s">
        <v>18</v>
      </c>
      <c r="C15" s="2" t="s">
        <v>320</v>
      </c>
      <c r="D15" s="2" t="s">
        <v>22</v>
      </c>
      <c r="E15" s="2" t="s">
        <v>29</v>
      </c>
      <c r="F15" s="4">
        <v>5650868</v>
      </c>
      <c r="G15" s="4">
        <v>-3372260</v>
      </c>
      <c r="H15" s="4"/>
      <c r="I15" s="4"/>
      <c r="J15" s="4"/>
      <c r="K15" s="4"/>
      <c r="L15" s="4"/>
    </row>
    <row r="16" spans="1:13" x14ac:dyDescent="0.25">
      <c r="A16" s="1" t="s">
        <v>13</v>
      </c>
      <c r="B16" s="2" t="s">
        <v>19</v>
      </c>
      <c r="D16" s="2" t="s">
        <v>22</v>
      </c>
      <c r="E16" s="2" t="s">
        <v>30</v>
      </c>
      <c r="F16" s="4"/>
      <c r="G16" s="4"/>
      <c r="H16" s="4"/>
      <c r="I16" s="4"/>
      <c r="J16" s="4"/>
      <c r="K16" s="4"/>
      <c r="L16" s="4"/>
    </row>
    <row r="17" spans="1:13" x14ac:dyDescent="0.25">
      <c r="A17" s="1" t="s">
        <v>13</v>
      </c>
      <c r="B17" s="2" t="s">
        <v>20</v>
      </c>
      <c r="C17" s="2" t="s">
        <v>321</v>
      </c>
      <c r="D17" s="2" t="s">
        <v>22</v>
      </c>
      <c r="E17" s="2" t="s">
        <v>31</v>
      </c>
      <c r="F17" s="4">
        <v>6721921.4699999997</v>
      </c>
      <c r="G17" s="4">
        <v>87201.13</v>
      </c>
      <c r="H17" s="4"/>
      <c r="I17" s="4"/>
      <c r="J17" s="4"/>
      <c r="K17" s="4"/>
      <c r="L17" s="4"/>
    </row>
    <row r="18" spans="1:13" x14ac:dyDescent="0.25">
      <c r="A18" s="1" t="s">
        <v>262</v>
      </c>
      <c r="B18" s="2" t="s">
        <v>255</v>
      </c>
      <c r="D18" s="2" t="s">
        <v>21</v>
      </c>
      <c r="E18" s="2" t="s">
        <v>27</v>
      </c>
      <c r="F18" s="4">
        <v>8060890.0199999996</v>
      </c>
      <c r="G18" s="4">
        <v>-4816384.63</v>
      </c>
      <c r="H18" s="4"/>
      <c r="I18" s="4"/>
      <c r="J18" s="4"/>
      <c r="K18" s="4">
        <v>21257052.620000001</v>
      </c>
      <c r="L18" s="4">
        <v>600000</v>
      </c>
      <c r="M18" s="31">
        <f t="shared" ref="M18:M20" si="1">I18-K18-L18</f>
        <v>-21857052.620000001</v>
      </c>
    </row>
    <row r="19" spans="1:13" x14ac:dyDescent="0.25">
      <c r="A19" s="1" t="s">
        <v>262</v>
      </c>
      <c r="B19" s="2" t="s">
        <v>256</v>
      </c>
      <c r="D19" s="2" t="s">
        <v>21</v>
      </c>
      <c r="E19" s="2" t="s">
        <v>29</v>
      </c>
      <c r="F19" s="4">
        <v>-4139327</v>
      </c>
      <c r="G19" s="4">
        <v>-1476082</v>
      </c>
      <c r="H19" s="4"/>
      <c r="I19" s="4"/>
      <c r="J19" s="4"/>
      <c r="K19" s="4">
        <v>152356690</v>
      </c>
      <c r="L19" s="4"/>
      <c r="M19" s="31">
        <f t="shared" si="1"/>
        <v>-152356690</v>
      </c>
    </row>
    <row r="20" spans="1:13" x14ac:dyDescent="0.25">
      <c r="A20" s="1" t="s">
        <v>262</v>
      </c>
      <c r="B20" s="2" t="s">
        <v>257</v>
      </c>
      <c r="D20" s="2" t="s">
        <v>21</v>
      </c>
      <c r="E20" s="2" t="s">
        <v>29</v>
      </c>
      <c r="F20" s="4">
        <v>6468786.2400000002</v>
      </c>
      <c r="G20" s="4">
        <v>-414186.43</v>
      </c>
      <c r="H20" s="4"/>
      <c r="I20" s="4"/>
      <c r="J20" s="4"/>
      <c r="K20" s="4">
        <v>80293551.510000005</v>
      </c>
      <c r="L20" s="4"/>
      <c r="M20" s="31">
        <f t="shared" si="1"/>
        <v>-80293551.510000005</v>
      </c>
    </row>
    <row r="21" spans="1:13" x14ac:dyDescent="0.25">
      <c r="A21" s="1" t="s">
        <v>262</v>
      </c>
      <c r="B21" s="2" t="s">
        <v>258</v>
      </c>
      <c r="D21" s="2" t="s">
        <v>22</v>
      </c>
      <c r="E21" s="2" t="s">
        <v>28</v>
      </c>
      <c r="F21" s="4">
        <v>162734777.41</v>
      </c>
      <c r="G21" s="4">
        <v>90872587.129999995</v>
      </c>
      <c r="H21" s="4"/>
      <c r="I21" s="4">
        <v>12325387.83</v>
      </c>
      <c r="J21" s="4"/>
      <c r="K21" s="4"/>
      <c r="L21" s="4"/>
    </row>
    <row r="22" spans="1:13" x14ac:dyDescent="0.25">
      <c r="A22" s="1" t="s">
        <v>262</v>
      </c>
      <c r="B22" s="2" t="s">
        <v>259</v>
      </c>
      <c r="D22" s="2" t="s">
        <v>22</v>
      </c>
      <c r="E22" s="2" t="s">
        <v>23</v>
      </c>
      <c r="F22" s="4">
        <v>26231651.09</v>
      </c>
      <c r="G22" s="4">
        <v>2288299.2799999998</v>
      </c>
      <c r="H22" s="4"/>
      <c r="I22" s="4"/>
      <c r="J22" s="4"/>
      <c r="K22" s="4">
        <v>10083511.880000001</v>
      </c>
      <c r="L22" s="4"/>
    </row>
    <row r="23" spans="1:13" x14ac:dyDescent="0.25">
      <c r="A23" s="1" t="s">
        <v>262</v>
      </c>
      <c r="B23" s="2" t="s">
        <v>260</v>
      </c>
      <c r="D23" s="2" t="s">
        <v>22</v>
      </c>
      <c r="E23" s="2" t="s">
        <v>49</v>
      </c>
      <c r="F23" s="4">
        <v>50688877.289999999</v>
      </c>
      <c r="G23" s="4">
        <v>-4966883.4400000004</v>
      </c>
      <c r="H23" s="4"/>
      <c r="I23" s="4"/>
      <c r="J23" s="4"/>
      <c r="K23" s="4"/>
      <c r="L23" s="4"/>
    </row>
    <row r="24" spans="1:13" x14ac:dyDescent="0.25">
      <c r="A24" s="1" t="s">
        <v>262</v>
      </c>
      <c r="B24" s="2" t="s">
        <v>261</v>
      </c>
      <c r="D24" s="2" t="s">
        <v>22</v>
      </c>
      <c r="E24" s="2" t="s">
        <v>26</v>
      </c>
      <c r="F24" s="4">
        <v>85948217.359999999</v>
      </c>
      <c r="G24" s="4">
        <v>-8707340.7200000007</v>
      </c>
      <c r="H24" s="4"/>
      <c r="I24" s="4"/>
      <c r="J24" s="4"/>
      <c r="K24" s="4"/>
      <c r="L24" s="4"/>
    </row>
    <row r="25" spans="1:13" x14ac:dyDescent="0.25">
      <c r="A25" s="1" t="s">
        <v>33</v>
      </c>
      <c r="B25" s="2" t="s">
        <v>276</v>
      </c>
      <c r="C25" s="2" t="s">
        <v>324</v>
      </c>
      <c r="D25" s="2" t="s">
        <v>349</v>
      </c>
      <c r="E25" s="2" t="s">
        <v>27</v>
      </c>
      <c r="I25" s="4"/>
      <c r="J25" s="4"/>
      <c r="K25" s="4"/>
      <c r="L25" s="4"/>
    </row>
    <row r="26" spans="1:13" x14ac:dyDescent="0.25">
      <c r="A26" s="1" t="s">
        <v>33</v>
      </c>
      <c r="B26" s="2" t="s">
        <v>277</v>
      </c>
      <c r="C26" s="2" t="s">
        <v>278</v>
      </c>
      <c r="D26" s="2" t="s">
        <v>349</v>
      </c>
      <c r="E26" s="2" t="s">
        <v>66</v>
      </c>
      <c r="I26" s="4"/>
      <c r="J26" s="4"/>
      <c r="K26" s="4"/>
      <c r="L26" s="4"/>
    </row>
    <row r="27" spans="1:13" x14ac:dyDescent="0.25">
      <c r="A27" s="1" t="s">
        <v>35</v>
      </c>
      <c r="B27" s="2" t="s">
        <v>34</v>
      </c>
      <c r="D27" s="2" t="s">
        <v>21</v>
      </c>
      <c r="E27" s="2" t="s">
        <v>27</v>
      </c>
      <c r="F27" s="4">
        <v>5832992759.9064999</v>
      </c>
      <c r="G27" s="4">
        <v>335107288.69</v>
      </c>
      <c r="H27" s="4"/>
      <c r="I27" s="4"/>
      <c r="J27" s="4">
        <v>56759544.520000003</v>
      </c>
      <c r="K27" s="4"/>
      <c r="L27" s="4">
        <v>135895601.53999999</v>
      </c>
      <c r="M27" s="31">
        <f t="shared" ref="M27:M32" si="2">I27-K27-L27</f>
        <v>-135895601.53999999</v>
      </c>
    </row>
    <row r="28" spans="1:13" x14ac:dyDescent="0.25">
      <c r="A28" s="1" t="s">
        <v>35</v>
      </c>
      <c r="B28" s="2" t="s">
        <v>36</v>
      </c>
      <c r="D28" s="2" t="s">
        <v>21</v>
      </c>
      <c r="E28" s="2" t="s">
        <v>23</v>
      </c>
      <c r="F28" s="4">
        <v>174544722</v>
      </c>
      <c r="G28" s="4"/>
      <c r="H28" s="4"/>
      <c r="I28" s="4"/>
      <c r="J28" s="4"/>
      <c r="K28" s="4">
        <v>20287129.75</v>
      </c>
      <c r="L28" s="4"/>
      <c r="M28" s="31">
        <f t="shared" si="2"/>
        <v>-20287129.75</v>
      </c>
    </row>
    <row r="29" spans="1:13" x14ac:dyDescent="0.25">
      <c r="A29" s="1" t="s">
        <v>35</v>
      </c>
      <c r="B29" s="2" t="s">
        <v>37</v>
      </c>
      <c r="D29" s="2" t="s">
        <v>21</v>
      </c>
      <c r="E29" s="2" t="s">
        <v>24</v>
      </c>
      <c r="F29" s="4">
        <v>-6288405</v>
      </c>
      <c r="G29" s="4">
        <v>-1831492</v>
      </c>
      <c r="H29" s="4"/>
      <c r="I29" s="4"/>
      <c r="J29" s="4"/>
      <c r="K29" s="4">
        <v>21329444.129999999</v>
      </c>
      <c r="L29" s="4"/>
      <c r="M29" s="31">
        <f t="shared" si="2"/>
        <v>-21329444.129999999</v>
      </c>
    </row>
    <row r="30" spans="1:13" x14ac:dyDescent="0.25">
      <c r="A30" s="1" t="s">
        <v>35</v>
      </c>
      <c r="B30" s="2" t="s">
        <v>38</v>
      </c>
      <c r="D30" s="2" t="s">
        <v>21</v>
      </c>
      <c r="E30" s="2" t="s">
        <v>23</v>
      </c>
      <c r="F30" s="4">
        <v>-32959119</v>
      </c>
      <c r="I30" s="4"/>
      <c r="J30" s="4"/>
      <c r="K30" s="4"/>
      <c r="L30" s="4"/>
      <c r="M30" s="31">
        <f t="shared" si="2"/>
        <v>0</v>
      </c>
    </row>
    <row r="31" spans="1:13" x14ac:dyDescent="0.25">
      <c r="A31" s="1" t="s">
        <v>35</v>
      </c>
      <c r="B31" s="2" t="s">
        <v>39</v>
      </c>
      <c r="D31" s="2" t="s">
        <v>21</v>
      </c>
      <c r="E31" s="2" t="s">
        <v>48</v>
      </c>
      <c r="F31" s="4">
        <v>-28449197</v>
      </c>
      <c r="I31" s="4"/>
      <c r="J31" s="4"/>
      <c r="K31" s="4"/>
      <c r="L31" s="4"/>
      <c r="M31" s="31">
        <f t="shared" si="2"/>
        <v>0</v>
      </c>
    </row>
    <row r="32" spans="1:13" x14ac:dyDescent="0.25">
      <c r="A32" s="1" t="s">
        <v>35</v>
      </c>
      <c r="B32" s="2" t="s">
        <v>40</v>
      </c>
      <c r="D32" s="2" t="s">
        <v>21</v>
      </c>
      <c r="E32" s="2" t="s">
        <v>27</v>
      </c>
      <c r="F32" s="4">
        <v>163838</v>
      </c>
      <c r="I32" s="4"/>
      <c r="J32" s="4"/>
      <c r="K32" s="4"/>
      <c r="L32" s="4"/>
      <c r="M32" s="31">
        <f t="shared" si="2"/>
        <v>0</v>
      </c>
    </row>
    <row r="33" spans="1:13" x14ac:dyDescent="0.25">
      <c r="A33" s="1" t="s">
        <v>35</v>
      </c>
      <c r="B33" s="2" t="s">
        <v>41</v>
      </c>
      <c r="D33" s="2" t="s">
        <v>22</v>
      </c>
      <c r="E33" s="2" t="s">
        <v>28</v>
      </c>
      <c r="F33" s="4">
        <v>600289554.27999997</v>
      </c>
      <c r="G33" s="4">
        <v>116659997.94999993</v>
      </c>
      <c r="H33" s="4"/>
      <c r="I33" s="4">
        <v>16246971.57</v>
      </c>
      <c r="J33" s="4"/>
      <c r="K33" s="4"/>
      <c r="L33" s="4"/>
    </row>
    <row r="34" spans="1:13" x14ac:dyDescent="0.25">
      <c r="A34" s="1" t="s">
        <v>35</v>
      </c>
      <c r="B34" s="2" t="s">
        <v>42</v>
      </c>
      <c r="D34" s="2" t="s">
        <v>22</v>
      </c>
      <c r="E34" s="2" t="s">
        <v>30</v>
      </c>
      <c r="F34" s="4">
        <v>2166024.7599999998</v>
      </c>
      <c r="G34" s="4">
        <v>-1958974.57</v>
      </c>
      <c r="H34" s="4"/>
      <c r="I34" s="4"/>
      <c r="J34" s="4"/>
      <c r="K34" s="4"/>
      <c r="L34" s="4">
        <v>7000000</v>
      </c>
    </row>
    <row r="35" spans="1:13" x14ac:dyDescent="0.25">
      <c r="A35" s="1" t="s">
        <v>35</v>
      </c>
      <c r="B35" s="2" t="s">
        <v>43</v>
      </c>
      <c r="D35" s="2" t="s">
        <v>22</v>
      </c>
      <c r="E35" s="2" t="s">
        <v>26</v>
      </c>
      <c r="F35" s="4">
        <v>559285095</v>
      </c>
      <c r="G35" s="4"/>
      <c r="H35" s="4"/>
      <c r="I35" s="4"/>
      <c r="J35" s="4"/>
      <c r="K35" s="4"/>
      <c r="L35" s="4"/>
    </row>
    <row r="36" spans="1:13" x14ac:dyDescent="0.25">
      <c r="A36" s="1" t="s">
        <v>35</v>
      </c>
      <c r="B36" s="2" t="s">
        <v>44</v>
      </c>
      <c r="D36" s="2" t="s">
        <v>22</v>
      </c>
      <c r="E36" s="2" t="s">
        <v>49</v>
      </c>
      <c r="F36" s="4">
        <v>28224926</v>
      </c>
      <c r="I36" s="4"/>
      <c r="J36" s="4"/>
      <c r="K36" s="4"/>
      <c r="L36" s="4"/>
    </row>
    <row r="37" spans="1:13" x14ac:dyDescent="0.25">
      <c r="A37" s="1" t="s">
        <v>35</v>
      </c>
      <c r="B37" s="2" t="s">
        <v>45</v>
      </c>
      <c r="D37" s="2" t="s">
        <v>22</v>
      </c>
      <c r="E37" s="2" t="s">
        <v>24</v>
      </c>
      <c r="F37" s="4">
        <v>63110467</v>
      </c>
      <c r="I37" s="4"/>
      <c r="J37" s="4"/>
      <c r="K37" s="4"/>
      <c r="L37" s="4"/>
    </row>
    <row r="38" spans="1:13" x14ac:dyDescent="0.25">
      <c r="A38" s="1" t="s">
        <v>35</v>
      </c>
      <c r="B38" s="2" t="s">
        <v>46</v>
      </c>
      <c r="D38" s="2" t="s">
        <v>22</v>
      </c>
      <c r="E38" s="2" t="s">
        <v>48</v>
      </c>
      <c r="F38" s="4">
        <v>-89206000</v>
      </c>
      <c r="I38" s="4"/>
      <c r="J38" s="4"/>
      <c r="K38" s="4"/>
      <c r="L38" s="4"/>
    </row>
    <row r="39" spans="1:13" x14ac:dyDescent="0.25">
      <c r="A39" s="1" t="s">
        <v>50</v>
      </c>
      <c r="B39" s="2" t="s">
        <v>263</v>
      </c>
      <c r="D39" s="2" t="s">
        <v>21</v>
      </c>
      <c r="E39" s="2" t="s">
        <v>25</v>
      </c>
      <c r="F39" s="4">
        <v>-108186182.62</v>
      </c>
      <c r="G39" s="4">
        <v>-846982.38999999897</v>
      </c>
      <c r="H39" s="4"/>
      <c r="I39" s="4"/>
      <c r="J39" s="4"/>
      <c r="K39" s="4">
        <v>0</v>
      </c>
      <c r="L39" s="4"/>
      <c r="M39" s="31">
        <f t="shared" ref="M39:M42" si="3">I39-K39-L39</f>
        <v>0</v>
      </c>
    </row>
    <row r="40" spans="1:13" x14ac:dyDescent="0.25">
      <c r="A40" s="1" t="s">
        <v>50</v>
      </c>
      <c r="B40" s="2" t="s">
        <v>264</v>
      </c>
      <c r="D40" s="2" t="s">
        <v>21</v>
      </c>
      <c r="E40" s="2" t="s">
        <v>49</v>
      </c>
      <c r="F40" s="4">
        <v>5296778.28</v>
      </c>
      <c r="G40" s="4">
        <v>-2067194.3</v>
      </c>
      <c r="H40" s="4"/>
      <c r="I40" s="4"/>
      <c r="J40" s="4"/>
      <c r="K40" s="4">
        <v>37133</v>
      </c>
      <c r="L40" s="4"/>
      <c r="M40" s="31">
        <f t="shared" si="3"/>
        <v>-37133</v>
      </c>
    </row>
    <row r="41" spans="1:13" x14ac:dyDescent="0.25">
      <c r="A41" s="1" t="s">
        <v>50</v>
      </c>
      <c r="B41" s="2" t="s">
        <v>265</v>
      </c>
      <c r="D41" s="2" t="s">
        <v>21</v>
      </c>
      <c r="E41" s="2" t="s">
        <v>275</v>
      </c>
      <c r="F41" s="4">
        <v>-264748828</v>
      </c>
      <c r="G41" s="4">
        <v>-18787405.289999999</v>
      </c>
      <c r="H41" s="4"/>
      <c r="I41" s="4"/>
      <c r="J41" s="4">
        <v>366702563</v>
      </c>
      <c r="K41" s="4">
        <v>2999457</v>
      </c>
      <c r="L41" s="4"/>
      <c r="M41" s="31">
        <f t="shared" si="3"/>
        <v>-2999457</v>
      </c>
    </row>
    <row r="42" spans="1:13" x14ac:dyDescent="0.25">
      <c r="A42" s="1" t="s">
        <v>50</v>
      </c>
      <c r="B42" s="2" t="s">
        <v>266</v>
      </c>
      <c r="D42" s="2" t="s">
        <v>21</v>
      </c>
      <c r="E42" s="2" t="s">
        <v>23</v>
      </c>
      <c r="F42" s="4">
        <v>20011000</v>
      </c>
      <c r="G42" s="4">
        <v>-4804000</v>
      </c>
      <c r="H42" s="4"/>
      <c r="I42" s="4"/>
      <c r="J42" s="4"/>
      <c r="K42" s="4">
        <v>2367464.0299999998</v>
      </c>
      <c r="L42" s="4"/>
      <c r="M42" s="31">
        <f t="shared" si="3"/>
        <v>-2367464.0299999998</v>
      </c>
    </row>
    <row r="43" spans="1:13" x14ac:dyDescent="0.25">
      <c r="A43" s="1" t="s">
        <v>50</v>
      </c>
      <c r="B43" s="2" t="s">
        <v>267</v>
      </c>
      <c r="D43" s="2" t="s">
        <v>22</v>
      </c>
      <c r="E43" s="2" t="s">
        <v>27</v>
      </c>
      <c r="F43" s="4">
        <v>2439788000</v>
      </c>
      <c r="G43" s="4">
        <v>132714000</v>
      </c>
      <c r="H43" s="4"/>
      <c r="I43" s="4">
        <v>82283974.980133697</v>
      </c>
      <c r="J43" s="4"/>
      <c r="K43" s="4"/>
      <c r="L43" s="4">
        <v>97240040.4572943</v>
      </c>
    </row>
    <row r="44" spans="1:13" x14ac:dyDescent="0.25">
      <c r="A44" s="1" t="s">
        <v>50</v>
      </c>
      <c r="B44" s="2" t="s">
        <v>268</v>
      </c>
      <c r="D44" s="2" t="s">
        <v>22</v>
      </c>
      <c r="E44" s="2" t="s">
        <v>28</v>
      </c>
      <c r="F44" s="4">
        <v>189817000</v>
      </c>
      <c r="G44" s="4">
        <v>56674000</v>
      </c>
      <c r="H44" s="4"/>
      <c r="I44" s="4">
        <v>8015262.5</v>
      </c>
      <c r="J44" s="4"/>
      <c r="K44" s="4" t="s">
        <v>125</v>
      </c>
      <c r="L44" s="4">
        <v>0</v>
      </c>
    </row>
    <row r="45" spans="1:13" x14ac:dyDescent="0.25">
      <c r="A45" s="1" t="s">
        <v>50</v>
      </c>
      <c r="B45" s="2" t="s">
        <v>269</v>
      </c>
      <c r="D45" s="2" t="s">
        <v>22</v>
      </c>
      <c r="E45" s="2" t="s">
        <v>65</v>
      </c>
      <c r="F45" s="4">
        <v>1126658138.78</v>
      </c>
      <c r="G45" s="4">
        <v>-180906336.50999999</v>
      </c>
      <c r="H45" s="6">
        <f>G45/F45</f>
        <v>-0.16056896966625045</v>
      </c>
      <c r="I45" s="4"/>
      <c r="J45" s="4"/>
      <c r="K45" s="4">
        <v>174514100.63</v>
      </c>
      <c r="L45" s="4">
        <v>174514100.63</v>
      </c>
    </row>
    <row r="46" spans="1:13" x14ac:dyDescent="0.25">
      <c r="A46" s="1" t="s">
        <v>50</v>
      </c>
      <c r="B46" s="2" t="s">
        <v>270</v>
      </c>
      <c r="D46" s="2" t="s">
        <v>22</v>
      </c>
      <c r="E46" s="2" t="s">
        <v>29</v>
      </c>
      <c r="F46" s="4">
        <v>1087767000</v>
      </c>
      <c r="G46" s="4">
        <v>48231000</v>
      </c>
      <c r="H46" s="4"/>
      <c r="I46" s="4"/>
      <c r="J46" s="4"/>
      <c r="K46" s="4"/>
      <c r="L46" s="4"/>
    </row>
    <row r="47" spans="1:13" x14ac:dyDescent="0.25">
      <c r="A47" s="1" t="s">
        <v>50</v>
      </c>
      <c r="B47" s="2" t="s">
        <v>271</v>
      </c>
      <c r="D47" s="2" t="s">
        <v>22</v>
      </c>
      <c r="E47" s="2" t="s">
        <v>47</v>
      </c>
      <c r="F47" s="4">
        <v>6591141.7599999998</v>
      </c>
      <c r="G47" s="4">
        <v>1034020.73</v>
      </c>
      <c r="H47" s="4"/>
      <c r="I47" s="4"/>
      <c r="J47" s="4"/>
      <c r="K47" s="4">
        <v>705000</v>
      </c>
      <c r="L47" s="4"/>
    </row>
    <row r="48" spans="1:13" x14ac:dyDescent="0.25">
      <c r="A48" s="1" t="s">
        <v>50</v>
      </c>
      <c r="B48" s="2" t="s">
        <v>272</v>
      </c>
      <c r="D48" s="2" t="s">
        <v>22</v>
      </c>
      <c r="E48" s="2" t="s">
        <v>29</v>
      </c>
      <c r="F48" s="4">
        <v>216820155</v>
      </c>
      <c r="G48" s="4">
        <v>21260071</v>
      </c>
      <c r="H48" s="4"/>
      <c r="I48" s="4"/>
      <c r="J48" s="4"/>
      <c r="K48" s="4"/>
      <c r="L48" s="4"/>
    </row>
    <row r="49" spans="1:13" x14ac:dyDescent="0.25">
      <c r="A49" s="1" t="s">
        <v>50</v>
      </c>
      <c r="B49" s="2" t="s">
        <v>273</v>
      </c>
      <c r="D49" s="2" t="s">
        <v>22</v>
      </c>
      <c r="E49" s="2" t="s">
        <v>23</v>
      </c>
      <c r="F49" s="4">
        <v>102938731</v>
      </c>
      <c r="G49" s="4">
        <v>1758074</v>
      </c>
      <c r="H49" s="4"/>
      <c r="I49" s="4"/>
      <c r="J49" s="4"/>
      <c r="K49" s="4"/>
      <c r="L49" s="4"/>
    </row>
    <row r="50" spans="1:13" x14ac:dyDescent="0.25">
      <c r="A50" s="1" t="s">
        <v>50</v>
      </c>
      <c r="B50" s="2" t="s">
        <v>274</v>
      </c>
      <c r="D50" s="2" t="s">
        <v>22</v>
      </c>
      <c r="E50" s="2" t="s">
        <v>23</v>
      </c>
      <c r="F50" s="4">
        <v>13709431.550000001</v>
      </c>
      <c r="G50" s="4">
        <v>2875212</v>
      </c>
      <c r="H50" s="4"/>
      <c r="I50" s="4"/>
      <c r="J50" s="4"/>
      <c r="K50" s="4">
        <v>0</v>
      </c>
      <c r="L50" s="4"/>
    </row>
    <row r="51" spans="1:13" x14ac:dyDescent="0.25">
      <c r="A51" s="1" t="s">
        <v>51</v>
      </c>
      <c r="B51" s="2" t="s">
        <v>52</v>
      </c>
      <c r="D51" s="2" t="s">
        <v>21</v>
      </c>
      <c r="E51" s="2" t="s">
        <v>24</v>
      </c>
      <c r="F51" s="4">
        <v>-18086425</v>
      </c>
      <c r="G51" s="4">
        <v>-11136562</v>
      </c>
      <c r="H51" s="4"/>
      <c r="I51" s="4"/>
      <c r="J51" s="4">
        <v>6838081.7699999996</v>
      </c>
      <c r="K51" s="4"/>
      <c r="L51" s="4">
        <v>25620.11</v>
      </c>
      <c r="M51" s="31">
        <f t="shared" ref="M51:M57" si="4">I51-K51-L51</f>
        <v>-25620.11</v>
      </c>
    </row>
    <row r="52" spans="1:13" x14ac:dyDescent="0.25">
      <c r="A52" s="1" t="s">
        <v>51</v>
      </c>
      <c r="B52" s="2" t="s">
        <v>53</v>
      </c>
      <c r="D52" s="2" t="s">
        <v>21</v>
      </c>
      <c r="E52" s="2" t="s">
        <v>48</v>
      </c>
      <c r="F52" s="4">
        <v>608209581</v>
      </c>
      <c r="G52" s="4">
        <v>-162273342</v>
      </c>
      <c r="H52" s="4"/>
      <c r="I52" s="4"/>
      <c r="J52" s="4">
        <v>130629761.31</v>
      </c>
      <c r="K52" s="4">
        <v>11831310.699999999</v>
      </c>
      <c r="L52" s="4">
        <v>31939919.82</v>
      </c>
      <c r="M52" s="31">
        <f t="shared" si="4"/>
        <v>-43771230.519999996</v>
      </c>
    </row>
    <row r="53" spans="1:13" x14ac:dyDescent="0.25">
      <c r="A53" s="1" t="s">
        <v>51</v>
      </c>
      <c r="B53" s="2" t="s">
        <v>54</v>
      </c>
      <c r="D53" s="2" t="s">
        <v>21</v>
      </c>
      <c r="E53" s="2" t="s">
        <v>65</v>
      </c>
      <c r="F53" s="4">
        <v>53173296</v>
      </c>
      <c r="G53" s="4">
        <v>-5552345</v>
      </c>
      <c r="H53" s="6">
        <f t="shared" ref="H53:H54" si="5">G53/F53</f>
        <v>-0.10441980124760368</v>
      </c>
      <c r="I53" s="4"/>
      <c r="J53" s="4"/>
      <c r="K53" s="4"/>
      <c r="L53" s="4"/>
      <c r="M53" s="31">
        <f t="shared" si="4"/>
        <v>0</v>
      </c>
    </row>
    <row r="54" spans="1:13" x14ac:dyDescent="0.25">
      <c r="A54" s="1" t="s">
        <v>51</v>
      </c>
      <c r="B54" s="2" t="s">
        <v>55</v>
      </c>
      <c r="D54" s="2" t="s">
        <v>21</v>
      </c>
      <c r="E54" s="2" t="s">
        <v>65</v>
      </c>
      <c r="F54" s="4">
        <v>2063370883</v>
      </c>
      <c r="G54" s="4">
        <v>-49237721</v>
      </c>
      <c r="H54" s="6">
        <f t="shared" si="5"/>
        <v>-2.3862758462701444E-2</v>
      </c>
      <c r="I54" s="4"/>
      <c r="J54" s="4">
        <v>3828583.68</v>
      </c>
      <c r="K54" s="4">
        <v>24423473.920000002</v>
      </c>
      <c r="L54" s="4">
        <v>31939919.82</v>
      </c>
      <c r="M54" s="31">
        <f t="shared" si="4"/>
        <v>-56363393.740000002</v>
      </c>
    </row>
    <row r="55" spans="1:13" x14ac:dyDescent="0.25">
      <c r="A55" s="1" t="s">
        <v>51</v>
      </c>
      <c r="B55" s="2" t="s">
        <v>56</v>
      </c>
      <c r="D55" s="2" t="s">
        <v>21</v>
      </c>
      <c r="E55" s="2" t="s">
        <v>25</v>
      </c>
      <c r="F55" s="4">
        <v>9180659</v>
      </c>
      <c r="G55" s="4">
        <v>-14688079</v>
      </c>
      <c r="H55" s="4"/>
      <c r="I55" s="4"/>
      <c r="J55" s="4">
        <v>296829.01</v>
      </c>
      <c r="K55" s="4"/>
      <c r="L55" s="4"/>
      <c r="M55" s="31">
        <f t="shared" si="4"/>
        <v>0</v>
      </c>
    </row>
    <row r="56" spans="1:13" x14ac:dyDescent="0.25">
      <c r="A56" s="1" t="s">
        <v>51</v>
      </c>
      <c r="B56" s="2" t="s">
        <v>57</v>
      </c>
      <c r="D56" s="2" t="s">
        <v>21</v>
      </c>
      <c r="E56" s="2" t="s">
        <v>48</v>
      </c>
      <c r="F56" s="4">
        <v>121015025</v>
      </c>
      <c r="G56" s="4">
        <v>-34768143</v>
      </c>
      <c r="H56" s="4"/>
      <c r="I56" s="4"/>
      <c r="J56" s="4">
        <v>4103922.05</v>
      </c>
      <c r="K56" s="4"/>
      <c r="L56" s="4"/>
      <c r="M56" s="31">
        <f t="shared" si="4"/>
        <v>0</v>
      </c>
    </row>
    <row r="57" spans="1:13" x14ac:dyDescent="0.25">
      <c r="A57" s="1" t="s">
        <v>51</v>
      </c>
      <c r="B57" s="2" t="s">
        <v>58</v>
      </c>
      <c r="D57" s="2" t="s">
        <v>21</v>
      </c>
      <c r="E57" s="2" t="s">
        <v>47</v>
      </c>
      <c r="F57" s="4">
        <v>2402681</v>
      </c>
      <c r="G57" s="4">
        <v>109883</v>
      </c>
      <c r="H57" s="4"/>
      <c r="I57" s="4"/>
      <c r="J57" s="4">
        <v>3620.67</v>
      </c>
      <c r="K57" s="4"/>
      <c r="L57" s="4"/>
      <c r="M57" s="31">
        <f t="shared" si="4"/>
        <v>0</v>
      </c>
    </row>
    <row r="58" spans="1:13" x14ac:dyDescent="0.25">
      <c r="A58" s="1" t="s">
        <v>51</v>
      </c>
      <c r="B58" s="2" t="s">
        <v>59</v>
      </c>
      <c r="D58" s="2" t="s">
        <v>22</v>
      </c>
      <c r="E58" s="2" t="s">
        <v>26</v>
      </c>
      <c r="F58" s="4"/>
      <c r="G58" s="4"/>
      <c r="H58" s="4"/>
      <c r="I58" s="4">
        <f>'[1]Partic. Majoritárias do Estado'!$AG$30</f>
        <v>97455026.060000002</v>
      </c>
      <c r="J58" s="4"/>
      <c r="K58" s="4"/>
      <c r="L58" s="4"/>
    </row>
    <row r="59" spans="1:13" x14ac:dyDescent="0.25">
      <c r="A59" s="1" t="s">
        <v>51</v>
      </c>
      <c r="B59" s="2" t="s">
        <v>60</v>
      </c>
      <c r="D59" s="2" t="s">
        <v>22</v>
      </c>
      <c r="E59" s="2" t="s">
        <v>27</v>
      </c>
      <c r="F59" s="4">
        <v>1244028000</v>
      </c>
      <c r="G59" s="4">
        <v>-247439000</v>
      </c>
      <c r="H59" s="4"/>
      <c r="I59" s="4"/>
      <c r="J59" s="4"/>
      <c r="K59" s="4"/>
      <c r="L59" s="4">
        <v>102887047.20999999</v>
      </c>
    </row>
    <row r="60" spans="1:13" x14ac:dyDescent="0.25">
      <c r="A60" s="1" t="s">
        <v>51</v>
      </c>
      <c r="B60" s="2" t="s">
        <v>61</v>
      </c>
      <c r="D60" s="2" t="s">
        <v>22</v>
      </c>
      <c r="E60" s="2" t="s">
        <v>66</v>
      </c>
      <c r="F60" s="4">
        <v>792250000</v>
      </c>
      <c r="G60" s="4">
        <v>8000000</v>
      </c>
      <c r="H60" s="4"/>
      <c r="I60" s="4">
        <v>984176.65</v>
      </c>
      <c r="J60" s="4"/>
      <c r="K60" s="4"/>
      <c r="L60" s="4"/>
    </row>
    <row r="61" spans="1:13" x14ac:dyDescent="0.25">
      <c r="A61" s="1" t="s">
        <v>51</v>
      </c>
      <c r="B61" s="2" t="s">
        <v>62</v>
      </c>
      <c r="D61" s="2" t="s">
        <v>22</v>
      </c>
      <c r="E61" s="2" t="s">
        <v>47</v>
      </c>
      <c r="F61" s="4">
        <v>62275651</v>
      </c>
      <c r="G61" s="4">
        <v>5406510</v>
      </c>
      <c r="H61" s="4"/>
      <c r="I61" s="4">
        <v>7593210</v>
      </c>
      <c r="J61" s="4"/>
      <c r="K61" s="4"/>
      <c r="L61" s="4"/>
    </row>
    <row r="62" spans="1:13" x14ac:dyDescent="0.25">
      <c r="A62" s="1" t="s">
        <v>51</v>
      </c>
      <c r="B62" s="2" t="s">
        <v>63</v>
      </c>
      <c r="D62" s="2" t="s">
        <v>22</v>
      </c>
      <c r="E62" s="2" t="s">
        <v>48</v>
      </c>
      <c r="F62" s="4">
        <v>2533382768</v>
      </c>
      <c r="G62" s="4">
        <v>352593356</v>
      </c>
      <c r="H62" s="4"/>
      <c r="I62" s="4"/>
      <c r="J62" s="4"/>
      <c r="K62" s="4"/>
      <c r="L62" s="4"/>
    </row>
    <row r="63" spans="1:13" x14ac:dyDescent="0.25">
      <c r="A63" s="1" t="s">
        <v>51</v>
      </c>
      <c r="B63" s="2" t="s">
        <v>64</v>
      </c>
      <c r="D63" s="2" t="s">
        <v>22</v>
      </c>
      <c r="E63" s="2" t="s">
        <v>30</v>
      </c>
      <c r="F63" s="4">
        <v>0</v>
      </c>
      <c r="G63" s="4">
        <v>0</v>
      </c>
      <c r="H63" s="4"/>
      <c r="I63" s="4"/>
      <c r="J63" s="4"/>
      <c r="K63" s="4"/>
      <c r="L63" s="4"/>
    </row>
    <row r="64" spans="1:13" x14ac:dyDescent="0.25">
      <c r="A64" s="1" t="s">
        <v>68</v>
      </c>
      <c r="B64" s="2" t="s">
        <v>69</v>
      </c>
      <c r="D64" s="2" t="s">
        <v>21</v>
      </c>
      <c r="E64" s="2" t="s">
        <v>47</v>
      </c>
      <c r="F64" s="4">
        <v>9886684.3100000005</v>
      </c>
      <c r="G64" s="4">
        <v>1102706.54</v>
      </c>
      <c r="H64" s="4"/>
      <c r="I64" s="4"/>
      <c r="J64" s="4"/>
      <c r="K64" s="4">
        <v>7205124.0300000003</v>
      </c>
      <c r="L64" s="4"/>
      <c r="M64" s="31">
        <f t="shared" ref="M64:M65" si="6">I64-K64-L64</f>
        <v>-7205124.0300000003</v>
      </c>
    </row>
    <row r="65" spans="1:13" x14ac:dyDescent="0.25">
      <c r="A65" s="1" t="s">
        <v>68</v>
      </c>
      <c r="B65" s="2" t="s">
        <v>70</v>
      </c>
      <c r="D65" s="2" t="s">
        <v>21</v>
      </c>
      <c r="E65" s="2" t="s">
        <v>29</v>
      </c>
      <c r="F65" s="4">
        <v>19931000</v>
      </c>
      <c r="G65" s="4">
        <v>-7000</v>
      </c>
      <c r="H65" s="4"/>
      <c r="I65" s="4"/>
      <c r="J65" s="4"/>
      <c r="K65" s="5">
        <v>1919000</v>
      </c>
      <c r="L65" s="4"/>
      <c r="M65" s="31">
        <f t="shared" si="6"/>
        <v>-1919000</v>
      </c>
    </row>
    <row r="66" spans="1:13" x14ac:dyDescent="0.25">
      <c r="A66" s="1" t="s">
        <v>68</v>
      </c>
      <c r="B66" s="2" t="s">
        <v>71</v>
      </c>
      <c r="D66" s="2" t="s">
        <v>22</v>
      </c>
      <c r="E66" s="2" t="s">
        <v>26</v>
      </c>
      <c r="F66" s="4">
        <v>1492013000</v>
      </c>
      <c r="G66" s="4">
        <v>181055000</v>
      </c>
      <c r="H66" s="4"/>
      <c r="I66" s="4">
        <v>53247611.049999997</v>
      </c>
      <c r="J66" s="4"/>
      <c r="K66" s="4"/>
      <c r="L66" s="4"/>
    </row>
    <row r="67" spans="1:13" x14ac:dyDescent="0.25">
      <c r="A67" s="1" t="s">
        <v>68</v>
      </c>
      <c r="B67" s="2" t="s">
        <v>72</v>
      </c>
      <c r="D67" s="2" t="s">
        <v>22</v>
      </c>
      <c r="E67" s="2" t="s">
        <v>26</v>
      </c>
      <c r="F67" s="4">
        <v>460018000</v>
      </c>
      <c r="G67" s="4">
        <v>1669000</v>
      </c>
      <c r="H67" s="4"/>
      <c r="I67" s="4">
        <v>20151949.780000001</v>
      </c>
      <c r="J67" s="4"/>
      <c r="K67" s="4"/>
      <c r="L67" s="4"/>
    </row>
    <row r="68" spans="1:13" x14ac:dyDescent="0.25">
      <c r="A68" s="1" t="s">
        <v>68</v>
      </c>
      <c r="B68" s="2" t="s">
        <v>73</v>
      </c>
      <c r="D68" s="2" t="s">
        <v>22</v>
      </c>
      <c r="E68" s="2" t="s">
        <v>27</v>
      </c>
      <c r="F68" s="4">
        <v>2297000000</v>
      </c>
      <c r="G68" s="4">
        <v>191791000</v>
      </c>
      <c r="H68" s="4"/>
      <c r="I68" s="4"/>
      <c r="J68" s="4"/>
      <c r="K68" s="4"/>
      <c r="L68" s="5">
        <v>140420000</v>
      </c>
    </row>
    <row r="69" spans="1:13" x14ac:dyDescent="0.25">
      <c r="A69" s="1" t="s">
        <v>68</v>
      </c>
      <c r="B69" s="2" t="s">
        <v>74</v>
      </c>
      <c r="D69" s="2" t="s">
        <v>22</v>
      </c>
      <c r="E69" s="2" t="s">
        <v>65</v>
      </c>
      <c r="F69" s="4">
        <v>64854708.020000003</v>
      </c>
      <c r="G69" s="4">
        <v>-1909150.31</v>
      </c>
      <c r="H69" s="6">
        <f>G69/F69</f>
        <v>-2.9437343383170472E-2</v>
      </c>
      <c r="I69" s="4"/>
      <c r="J69" s="4"/>
      <c r="K69" s="4"/>
      <c r="L69" s="4"/>
    </row>
    <row r="70" spans="1:13" x14ac:dyDescent="0.25">
      <c r="A70" s="1" t="s">
        <v>75</v>
      </c>
      <c r="B70" s="2" t="s">
        <v>76</v>
      </c>
      <c r="D70" s="2" t="s">
        <v>21</v>
      </c>
      <c r="E70" s="2" t="s">
        <v>47</v>
      </c>
      <c r="F70" s="4">
        <v>22610909</v>
      </c>
      <c r="G70" s="4">
        <v>979081</v>
      </c>
      <c r="H70" s="4"/>
      <c r="I70" s="4"/>
      <c r="J70" s="4"/>
      <c r="K70" s="4"/>
      <c r="L70" s="4">
        <v>120266</v>
      </c>
      <c r="M70" s="31">
        <f t="shared" ref="M70:M74" si="7">I70-K70-L70</f>
        <v>-120266</v>
      </c>
    </row>
    <row r="71" spans="1:13" x14ac:dyDescent="0.25">
      <c r="A71" s="1" t="s">
        <v>75</v>
      </c>
      <c r="B71" s="2" t="s">
        <v>77</v>
      </c>
      <c r="D71" s="2" t="s">
        <v>21</v>
      </c>
      <c r="E71" s="2" t="s">
        <v>25</v>
      </c>
      <c r="F71" s="4">
        <v>45302624</v>
      </c>
      <c r="G71" s="4">
        <v>13581877</v>
      </c>
      <c r="H71" s="4"/>
      <c r="I71" s="4"/>
      <c r="J71" s="4"/>
      <c r="K71" s="4"/>
      <c r="L71" s="4">
        <v>292463</v>
      </c>
      <c r="M71" s="31">
        <f t="shared" si="7"/>
        <v>-292463</v>
      </c>
    </row>
    <row r="72" spans="1:13" x14ac:dyDescent="0.25">
      <c r="A72" s="1" t="s">
        <v>75</v>
      </c>
      <c r="B72" s="2" t="s">
        <v>78</v>
      </c>
      <c r="D72" s="2" t="s">
        <v>21</v>
      </c>
      <c r="E72" s="2" t="s">
        <v>31</v>
      </c>
      <c r="F72" s="4">
        <v>-1925913</v>
      </c>
      <c r="G72" s="4">
        <v>-3016442</v>
      </c>
      <c r="H72" s="4"/>
      <c r="I72" s="4"/>
      <c r="J72" s="4"/>
      <c r="K72" s="4"/>
      <c r="L72" s="4">
        <v>2650000</v>
      </c>
      <c r="M72" s="31">
        <f t="shared" si="7"/>
        <v>-2650000</v>
      </c>
    </row>
    <row r="73" spans="1:13" x14ac:dyDescent="0.25">
      <c r="A73" s="1" t="s">
        <v>75</v>
      </c>
      <c r="B73" s="2" t="s">
        <v>79</v>
      </c>
      <c r="D73" s="2" t="s">
        <v>21</v>
      </c>
      <c r="E73" s="2" t="s">
        <v>30</v>
      </c>
      <c r="F73" s="4">
        <v>21769816</v>
      </c>
      <c r="G73" s="4">
        <v>569030</v>
      </c>
      <c r="H73" s="4"/>
      <c r="I73" s="4"/>
      <c r="J73" s="4"/>
      <c r="K73" s="4"/>
      <c r="L73" s="4">
        <v>487363</v>
      </c>
      <c r="M73" s="31">
        <f t="shared" si="7"/>
        <v>-487363</v>
      </c>
    </row>
    <row r="74" spans="1:13" x14ac:dyDescent="0.25">
      <c r="A74" s="1" t="s">
        <v>75</v>
      </c>
      <c r="B74" s="2" t="s">
        <v>80</v>
      </c>
      <c r="D74" s="2" t="s">
        <v>21</v>
      </c>
      <c r="E74" s="2" t="s">
        <v>49</v>
      </c>
      <c r="F74" s="4">
        <v>-352797390</v>
      </c>
      <c r="G74" s="4">
        <v>54875118</v>
      </c>
      <c r="H74" s="4"/>
      <c r="I74" s="4"/>
      <c r="J74" s="4"/>
      <c r="K74" s="4"/>
      <c r="L74" s="4">
        <v>26018649</v>
      </c>
      <c r="M74" s="31">
        <f t="shared" si="7"/>
        <v>-26018649</v>
      </c>
    </row>
    <row r="75" spans="1:13" x14ac:dyDescent="0.25">
      <c r="A75" s="1" t="s">
        <v>75</v>
      </c>
      <c r="B75" s="2" t="s">
        <v>81</v>
      </c>
      <c r="D75" s="2" t="s">
        <v>22</v>
      </c>
      <c r="E75" s="2" t="s">
        <v>48</v>
      </c>
      <c r="F75" s="4">
        <v>12428311</v>
      </c>
      <c r="G75" s="4">
        <v>-31723250</v>
      </c>
      <c r="H75" s="4"/>
      <c r="I75" s="4"/>
      <c r="J75" s="4"/>
      <c r="K75" s="4"/>
      <c r="L75" s="4">
        <v>20000000</v>
      </c>
    </row>
    <row r="76" spans="1:13" x14ac:dyDescent="0.25">
      <c r="A76" s="1" t="s">
        <v>75</v>
      </c>
      <c r="B76" s="2" t="s">
        <v>82</v>
      </c>
      <c r="D76" s="2" t="s">
        <v>22</v>
      </c>
      <c r="E76" s="2" t="s">
        <v>26</v>
      </c>
      <c r="F76" s="4">
        <v>0</v>
      </c>
      <c r="G76" s="4">
        <v>0</v>
      </c>
      <c r="H76" s="4"/>
      <c r="I76" s="4"/>
      <c r="J76" s="4">
        <v>17624</v>
      </c>
      <c r="K76" s="4"/>
      <c r="L76" s="4"/>
    </row>
    <row r="77" spans="1:13" x14ac:dyDescent="0.25">
      <c r="A77" s="1" t="s">
        <v>75</v>
      </c>
      <c r="B77" s="2" t="s">
        <v>83</v>
      </c>
      <c r="D77" s="2" t="s">
        <v>22</v>
      </c>
      <c r="E77" s="2" t="s">
        <v>47</v>
      </c>
      <c r="F77" s="4">
        <v>13846608</v>
      </c>
      <c r="G77" s="4">
        <v>-925276</v>
      </c>
      <c r="H77" s="4"/>
      <c r="I77" s="4"/>
      <c r="J77" s="4"/>
      <c r="K77" s="4"/>
      <c r="L77" s="4"/>
    </row>
    <row r="78" spans="1:13" x14ac:dyDescent="0.25">
      <c r="A78" s="1" t="s">
        <v>75</v>
      </c>
      <c r="B78" s="2" t="s">
        <v>84</v>
      </c>
      <c r="D78" s="2" t="s">
        <v>22</v>
      </c>
      <c r="E78" s="2" t="s">
        <v>66</v>
      </c>
      <c r="F78" s="4">
        <v>-1714752</v>
      </c>
      <c r="G78" s="4">
        <v>62506</v>
      </c>
      <c r="H78" s="4"/>
      <c r="I78" s="4"/>
      <c r="J78" s="4"/>
      <c r="K78" s="4"/>
      <c r="L78" s="4"/>
    </row>
    <row r="79" spans="1:13" x14ac:dyDescent="0.25">
      <c r="A79" s="1" t="s">
        <v>75</v>
      </c>
      <c r="B79" s="2" t="s">
        <v>85</v>
      </c>
      <c r="D79" s="2" t="s">
        <v>22</v>
      </c>
      <c r="E79" s="2" t="s">
        <v>23</v>
      </c>
      <c r="F79" s="4">
        <v>134359042</v>
      </c>
      <c r="G79" s="4">
        <v>-4690534</v>
      </c>
      <c r="H79" s="4"/>
      <c r="I79" s="4"/>
      <c r="J79" s="4"/>
      <c r="K79" s="4"/>
      <c r="L79" s="4"/>
    </row>
    <row r="80" spans="1:13" x14ac:dyDescent="0.25">
      <c r="A80" s="1" t="s">
        <v>75</v>
      </c>
      <c r="B80" s="2" t="s">
        <v>86</v>
      </c>
      <c r="D80" s="2" t="s">
        <v>22</v>
      </c>
      <c r="E80" s="2" t="s">
        <v>23</v>
      </c>
      <c r="F80" s="4">
        <v>185159930</v>
      </c>
      <c r="G80" s="4">
        <v>6976696</v>
      </c>
      <c r="H80" s="4"/>
      <c r="I80" s="4"/>
      <c r="J80" s="4"/>
      <c r="K80" s="4"/>
      <c r="L80" s="4"/>
    </row>
    <row r="81" spans="1:13" x14ac:dyDescent="0.25">
      <c r="A81" s="1" t="s">
        <v>75</v>
      </c>
      <c r="B81" s="2" t="s">
        <v>87</v>
      </c>
      <c r="D81" s="2" t="s">
        <v>22</v>
      </c>
      <c r="E81" s="2" t="s">
        <v>28</v>
      </c>
      <c r="F81" s="4">
        <v>338000</v>
      </c>
      <c r="G81" s="4">
        <v>-465000</v>
      </c>
      <c r="H81" s="4"/>
      <c r="I81" s="4"/>
      <c r="J81" s="4"/>
      <c r="K81" s="4"/>
      <c r="L81" s="4"/>
    </row>
    <row r="82" spans="1:13" x14ac:dyDescent="0.25">
      <c r="A82" s="1" t="s">
        <v>75</v>
      </c>
      <c r="B82" s="2" t="s">
        <v>88</v>
      </c>
      <c r="D82" s="2" t="s">
        <v>22</v>
      </c>
      <c r="E82" s="2" t="s">
        <v>23</v>
      </c>
      <c r="F82" s="4">
        <v>232002027</v>
      </c>
      <c r="G82" s="4">
        <v>2789741</v>
      </c>
      <c r="H82" s="4"/>
      <c r="I82" s="4"/>
      <c r="J82" s="4"/>
      <c r="K82" s="4"/>
      <c r="L82" s="4"/>
    </row>
    <row r="83" spans="1:13" x14ac:dyDescent="0.25">
      <c r="A83" s="1" t="s">
        <v>75</v>
      </c>
      <c r="B83" s="2" t="s">
        <v>89</v>
      </c>
      <c r="D83" s="2" t="s">
        <v>22</v>
      </c>
      <c r="E83" s="2" t="s">
        <v>30</v>
      </c>
      <c r="F83" s="4">
        <v>-11453431</v>
      </c>
      <c r="G83" s="4">
        <v>-9694727</v>
      </c>
      <c r="H83" s="4"/>
      <c r="I83" s="4"/>
      <c r="J83" s="4"/>
      <c r="K83" s="4"/>
      <c r="L83" s="4"/>
    </row>
    <row r="84" spans="1:13" x14ac:dyDescent="0.25">
      <c r="A84" s="1" t="s">
        <v>75</v>
      </c>
      <c r="B84" s="2" t="s">
        <v>90</v>
      </c>
      <c r="D84" s="2" t="s">
        <v>22</v>
      </c>
      <c r="E84" s="2" t="s">
        <v>65</v>
      </c>
      <c r="F84" s="4">
        <v>26550</v>
      </c>
      <c r="G84" s="4">
        <v>-32754</v>
      </c>
      <c r="H84" s="6">
        <f>G84/F84</f>
        <v>-1.2336723163841807</v>
      </c>
      <c r="I84" s="4"/>
      <c r="J84" s="4"/>
      <c r="K84" s="4"/>
      <c r="L84" s="4"/>
    </row>
    <row r="85" spans="1:13" x14ac:dyDescent="0.25">
      <c r="A85" s="1" t="s">
        <v>75</v>
      </c>
      <c r="B85" s="2" t="s">
        <v>91</v>
      </c>
      <c r="D85" s="2" t="s">
        <v>22</v>
      </c>
      <c r="E85" s="2" t="s">
        <v>27</v>
      </c>
      <c r="F85" s="4">
        <v>2275690000</v>
      </c>
      <c r="G85" s="4">
        <v>115762000</v>
      </c>
      <c r="H85" s="4"/>
      <c r="I85" s="4"/>
      <c r="J85" s="4"/>
      <c r="K85" s="4"/>
      <c r="L85" s="4"/>
    </row>
    <row r="86" spans="1:13" x14ac:dyDescent="0.25">
      <c r="A86" s="1" t="s">
        <v>92</v>
      </c>
      <c r="B86" s="2" t="s">
        <v>93</v>
      </c>
      <c r="D86" s="2" t="s">
        <v>21</v>
      </c>
      <c r="E86" s="2" t="s">
        <v>30</v>
      </c>
      <c r="F86" s="4">
        <v>5989808.6500000004</v>
      </c>
      <c r="G86" s="4">
        <v>-460681.72</v>
      </c>
      <c r="H86" s="4"/>
      <c r="I86" s="4"/>
      <c r="J86" s="4"/>
      <c r="K86" s="4">
        <v>65741109.520000003</v>
      </c>
      <c r="L86" s="4"/>
      <c r="M86" s="31">
        <f t="shared" ref="M86:M87" si="8">I86-K86-L86</f>
        <v>-65741109.520000003</v>
      </c>
    </row>
    <row r="87" spans="1:13" x14ac:dyDescent="0.25">
      <c r="A87" s="1" t="s">
        <v>92</v>
      </c>
      <c r="B87" s="2" t="s">
        <v>94</v>
      </c>
      <c r="D87" s="2" t="s">
        <v>21</v>
      </c>
      <c r="E87" s="2" t="s">
        <v>98</v>
      </c>
      <c r="F87" s="4">
        <v>-72617052.640000001</v>
      </c>
      <c r="G87" s="4">
        <v>-4954769.6900000004</v>
      </c>
      <c r="H87" s="4"/>
      <c r="I87" s="4"/>
      <c r="J87" s="4"/>
      <c r="K87" s="4">
        <v>842558155.92999995</v>
      </c>
      <c r="L87" s="4"/>
      <c r="M87" s="31">
        <f t="shared" si="8"/>
        <v>-842558155.92999995</v>
      </c>
    </row>
    <row r="88" spans="1:13" x14ac:dyDescent="0.25">
      <c r="A88" s="1" t="s">
        <v>92</v>
      </c>
      <c r="B88" s="2" t="s">
        <v>95</v>
      </c>
      <c r="D88" s="2" t="s">
        <v>22</v>
      </c>
      <c r="E88" s="2" t="s">
        <v>27</v>
      </c>
      <c r="F88" s="4">
        <v>830609</v>
      </c>
      <c r="G88" s="4">
        <v>-170926</v>
      </c>
      <c r="H88" s="4"/>
      <c r="I88" s="4"/>
      <c r="J88" s="4"/>
      <c r="K88" s="4"/>
      <c r="L88" s="4">
        <v>350523</v>
      </c>
    </row>
    <row r="89" spans="1:13" x14ac:dyDescent="0.25">
      <c r="A89" s="1" t="s">
        <v>92</v>
      </c>
      <c r="B89" s="2" t="s">
        <v>96</v>
      </c>
      <c r="D89" s="2" t="s">
        <v>22</v>
      </c>
      <c r="E89" s="2" t="s">
        <v>29</v>
      </c>
      <c r="F89" s="4">
        <v>457045</v>
      </c>
      <c r="G89" s="4">
        <v>61788</v>
      </c>
      <c r="H89" s="4"/>
      <c r="I89" s="4"/>
      <c r="J89" s="4"/>
      <c r="K89" s="4"/>
      <c r="L89" s="4">
        <v>277125</v>
      </c>
    </row>
    <row r="90" spans="1:13" x14ac:dyDescent="0.25">
      <c r="A90" s="1" t="s">
        <v>92</v>
      </c>
      <c r="B90" s="2" t="s">
        <v>97</v>
      </c>
      <c r="D90" s="2" t="s">
        <v>22</v>
      </c>
      <c r="E90" s="2" t="s">
        <v>28</v>
      </c>
      <c r="F90" s="4">
        <v>13478448.609999999</v>
      </c>
      <c r="G90" s="4">
        <v>15897794.449999999</v>
      </c>
      <c r="H90" s="4"/>
      <c r="I90" s="4">
        <v>4053937.58</v>
      </c>
      <c r="J90" s="4"/>
      <c r="K90" s="4"/>
      <c r="L90" s="4"/>
    </row>
    <row r="91" spans="1:13" x14ac:dyDescent="0.25">
      <c r="A91" s="1" t="s">
        <v>99</v>
      </c>
      <c r="B91" s="2" t="s">
        <v>325</v>
      </c>
      <c r="D91" s="2" t="s">
        <v>21</v>
      </c>
      <c r="E91" s="2" t="s">
        <v>25</v>
      </c>
      <c r="F91" s="4">
        <v>55267390.979999997</v>
      </c>
      <c r="G91" s="4">
        <v>2883680.63</v>
      </c>
      <c r="H91" s="4"/>
      <c r="I91" s="4"/>
      <c r="J91" s="4"/>
      <c r="K91" s="4">
        <v>209555011.56</v>
      </c>
      <c r="L91" s="4"/>
      <c r="M91" s="31">
        <f t="shared" ref="M91:M93" si="9">I91-K91-L91</f>
        <v>-209555011.56</v>
      </c>
    </row>
    <row r="92" spans="1:13" x14ac:dyDescent="0.25">
      <c r="A92" s="1" t="s">
        <v>99</v>
      </c>
      <c r="B92" s="2" t="s">
        <v>326</v>
      </c>
      <c r="D92" s="2" t="s">
        <v>21</v>
      </c>
      <c r="E92" s="2" t="s">
        <v>138</v>
      </c>
      <c r="F92" s="4">
        <v>2366795.14</v>
      </c>
      <c r="G92" s="4">
        <v>-436438.24</v>
      </c>
      <c r="H92" s="4"/>
      <c r="I92" s="4"/>
      <c r="J92" s="4"/>
      <c r="K92" s="4">
        <v>95032773.310000002</v>
      </c>
      <c r="L92" s="4"/>
      <c r="M92" s="31">
        <f t="shared" si="9"/>
        <v>-95032773.310000002</v>
      </c>
    </row>
    <row r="93" spans="1:13" x14ac:dyDescent="0.25">
      <c r="A93" s="1" t="s">
        <v>99</v>
      </c>
      <c r="B93" s="2" t="s">
        <v>327</v>
      </c>
      <c r="D93" s="2" t="s">
        <v>21</v>
      </c>
      <c r="E93" s="2" t="s">
        <v>31</v>
      </c>
      <c r="F93" s="4">
        <v>36038453.079999998</v>
      </c>
      <c r="G93" s="4">
        <v>-1328367.0900000001</v>
      </c>
      <c r="H93" s="4"/>
      <c r="I93" s="4"/>
      <c r="J93" s="4"/>
      <c r="K93" s="4">
        <v>8927028.3699999992</v>
      </c>
      <c r="L93" s="4"/>
      <c r="M93" s="31">
        <f t="shared" si="9"/>
        <v>-8927028.3699999992</v>
      </c>
    </row>
    <row r="94" spans="1:13" x14ac:dyDescent="0.25">
      <c r="A94" s="1" t="s">
        <v>99</v>
      </c>
      <c r="B94" s="2" t="s">
        <v>328</v>
      </c>
      <c r="D94" s="2" t="s">
        <v>22</v>
      </c>
      <c r="E94" s="2" t="s">
        <v>26</v>
      </c>
      <c r="F94" s="4">
        <v>1729340000</v>
      </c>
      <c r="G94" s="4">
        <v>125973000</v>
      </c>
      <c r="H94" s="4"/>
      <c r="I94" s="4">
        <v>0</v>
      </c>
      <c r="J94" s="4"/>
      <c r="K94" s="4"/>
      <c r="L94" s="4">
        <v>25097423.039999999</v>
      </c>
    </row>
    <row r="95" spans="1:13" x14ac:dyDescent="0.25">
      <c r="A95" s="1" t="s">
        <v>99</v>
      </c>
      <c r="B95" s="2" t="s">
        <v>329</v>
      </c>
      <c r="D95" s="2" t="s">
        <v>22</v>
      </c>
      <c r="E95" s="2" t="s">
        <v>23</v>
      </c>
      <c r="F95" s="4">
        <v>1824086000</v>
      </c>
      <c r="G95" s="4">
        <v>602855000</v>
      </c>
      <c r="H95" s="4"/>
      <c r="I95" s="4">
        <v>0</v>
      </c>
      <c r="J95" s="4"/>
      <c r="K95" s="4"/>
      <c r="L95" s="4">
        <v>0</v>
      </c>
    </row>
    <row r="96" spans="1:13" x14ac:dyDescent="0.25">
      <c r="A96" s="1" t="s">
        <v>99</v>
      </c>
      <c r="B96" s="2" t="s">
        <v>330</v>
      </c>
      <c r="D96" s="2" t="s">
        <v>22</v>
      </c>
      <c r="E96" s="2" t="s">
        <v>23</v>
      </c>
      <c r="F96" s="4">
        <v>281804689.95999998</v>
      </c>
      <c r="G96" s="4">
        <v>-8160118.6699999999</v>
      </c>
      <c r="H96" s="4"/>
      <c r="I96" s="4">
        <v>0</v>
      </c>
      <c r="J96" s="4"/>
      <c r="K96" s="4"/>
      <c r="L96" s="4">
        <v>0</v>
      </c>
    </row>
    <row r="97" spans="1:13" x14ac:dyDescent="0.25">
      <c r="A97" s="1" t="s">
        <v>99</v>
      </c>
      <c r="B97" s="2" t="s">
        <v>331</v>
      </c>
      <c r="D97" s="2" t="s">
        <v>22</v>
      </c>
      <c r="E97" s="2" t="s">
        <v>23</v>
      </c>
      <c r="F97" s="4">
        <v>694460000</v>
      </c>
      <c r="G97" s="4">
        <v>911123000</v>
      </c>
      <c r="H97" s="4"/>
      <c r="I97" s="4">
        <v>402054296.93000001</v>
      </c>
      <c r="J97" s="4"/>
      <c r="K97" s="4"/>
      <c r="L97" s="4">
        <v>367709020.64999998</v>
      </c>
    </row>
    <row r="98" spans="1:13" x14ac:dyDescent="0.25">
      <c r="A98" s="1" t="s">
        <v>99</v>
      </c>
      <c r="B98" s="2" t="s">
        <v>332</v>
      </c>
      <c r="D98" s="2" t="s">
        <v>22</v>
      </c>
      <c r="E98" s="2" t="s">
        <v>29</v>
      </c>
      <c r="F98" s="4">
        <v>-47831000</v>
      </c>
      <c r="G98" s="4">
        <v>-27151000</v>
      </c>
      <c r="H98" s="4"/>
      <c r="I98" s="4">
        <v>0</v>
      </c>
      <c r="J98" s="4"/>
      <c r="K98" s="4"/>
      <c r="L98" s="4">
        <v>3833474.74</v>
      </c>
    </row>
    <row r="99" spans="1:13" x14ac:dyDescent="0.25">
      <c r="A99" s="1" t="s">
        <v>99</v>
      </c>
      <c r="B99" s="2" t="s">
        <v>333</v>
      </c>
      <c r="D99" s="2" t="s">
        <v>22</v>
      </c>
      <c r="E99" s="2" t="s">
        <v>27</v>
      </c>
      <c r="F99" s="4">
        <v>6226633000</v>
      </c>
      <c r="G99" s="4">
        <v>578700000</v>
      </c>
      <c r="H99" s="4"/>
      <c r="I99" s="4">
        <v>259439303.78</v>
      </c>
      <c r="J99" s="4"/>
      <c r="K99" s="4"/>
      <c r="L99" s="4">
        <v>0</v>
      </c>
    </row>
    <row r="100" spans="1:13" x14ac:dyDescent="0.25">
      <c r="A100" s="1" t="s">
        <v>99</v>
      </c>
      <c r="B100" s="2" t="s">
        <v>334</v>
      </c>
      <c r="D100" s="2" t="s">
        <v>22</v>
      </c>
      <c r="E100" s="2" t="s">
        <v>27</v>
      </c>
      <c r="F100" s="4">
        <v>104597000</v>
      </c>
      <c r="G100" s="4">
        <v>-12998000</v>
      </c>
      <c r="H100" s="4"/>
      <c r="I100" s="4">
        <v>0</v>
      </c>
      <c r="J100" s="4"/>
      <c r="K100" s="4"/>
      <c r="L100" s="4">
        <v>0</v>
      </c>
    </row>
    <row r="101" spans="1:13" x14ac:dyDescent="0.25">
      <c r="A101" s="1" t="s">
        <v>99</v>
      </c>
      <c r="B101" s="2" t="s">
        <v>335</v>
      </c>
      <c r="D101" s="2" t="s">
        <v>22</v>
      </c>
      <c r="E101" s="2" t="s">
        <v>49</v>
      </c>
      <c r="F101" s="4">
        <v>99235044</v>
      </c>
      <c r="G101" s="4">
        <v>-2090520</v>
      </c>
      <c r="H101" s="4"/>
      <c r="I101" s="4">
        <v>0</v>
      </c>
      <c r="J101" s="4"/>
      <c r="K101" s="4"/>
      <c r="L101" s="4">
        <v>20312409.829999998</v>
      </c>
    </row>
    <row r="102" spans="1:13" x14ac:dyDescent="0.25">
      <c r="A102" s="1" t="s">
        <v>99</v>
      </c>
      <c r="B102" s="2" t="s">
        <v>336</v>
      </c>
      <c r="D102" s="2" t="s">
        <v>22</v>
      </c>
      <c r="E102" s="2" t="s">
        <v>66</v>
      </c>
      <c r="F102" s="4">
        <v>15939327000</v>
      </c>
      <c r="G102" s="4">
        <v>1378291000</v>
      </c>
      <c r="H102" s="4"/>
      <c r="I102" s="4">
        <v>7596759.1500000004</v>
      </c>
      <c r="J102" s="4"/>
      <c r="K102" s="4"/>
      <c r="L102" s="4">
        <v>0</v>
      </c>
    </row>
    <row r="103" spans="1:13" x14ac:dyDescent="0.25">
      <c r="A103" s="1" t="s">
        <v>99</v>
      </c>
      <c r="B103" s="2" t="s">
        <v>337</v>
      </c>
      <c r="D103" s="2" t="s">
        <v>22</v>
      </c>
      <c r="E103" s="2" t="s">
        <v>66</v>
      </c>
      <c r="F103" s="4">
        <v>4642358000</v>
      </c>
      <c r="G103" s="4">
        <v>534870000</v>
      </c>
      <c r="H103" s="4"/>
      <c r="I103" s="4">
        <v>0</v>
      </c>
      <c r="J103" s="4"/>
      <c r="K103" s="4"/>
      <c r="L103" s="4">
        <v>0</v>
      </c>
    </row>
    <row r="104" spans="1:13" x14ac:dyDescent="0.25">
      <c r="A104" s="1" t="s">
        <v>99</v>
      </c>
      <c r="B104" s="2" t="s">
        <v>338</v>
      </c>
      <c r="D104" s="2" t="s">
        <v>22</v>
      </c>
      <c r="E104" s="2" t="s">
        <v>66</v>
      </c>
      <c r="F104" s="4">
        <v>4980136000</v>
      </c>
      <c r="G104" s="4">
        <v>590783000</v>
      </c>
      <c r="H104" s="4"/>
      <c r="I104" s="4">
        <v>0</v>
      </c>
      <c r="J104" s="4"/>
      <c r="K104" s="4"/>
      <c r="L104" s="4">
        <v>0</v>
      </c>
    </row>
    <row r="105" spans="1:13" x14ac:dyDescent="0.25">
      <c r="A105" s="1" t="s">
        <v>99</v>
      </c>
      <c r="B105" s="2" t="s">
        <v>339</v>
      </c>
      <c r="D105" s="2" t="s">
        <v>22</v>
      </c>
      <c r="E105" s="2" t="s">
        <v>28</v>
      </c>
      <c r="F105" s="4">
        <v>1000791000</v>
      </c>
      <c r="G105" s="4">
        <v>177561000</v>
      </c>
      <c r="H105" s="4"/>
      <c r="I105" s="4">
        <v>0</v>
      </c>
      <c r="J105" s="4"/>
      <c r="K105" s="4"/>
      <c r="L105" s="4">
        <v>0</v>
      </c>
    </row>
    <row r="106" spans="1:13" x14ac:dyDescent="0.25">
      <c r="A106" s="1" t="s">
        <v>99</v>
      </c>
      <c r="B106" s="2" t="s">
        <v>340</v>
      </c>
      <c r="D106" s="2" t="s">
        <v>22</v>
      </c>
      <c r="E106" s="2" t="s">
        <v>30</v>
      </c>
      <c r="F106" s="4">
        <v>387425000</v>
      </c>
      <c r="G106" s="4">
        <v>226858000</v>
      </c>
      <c r="H106" s="4"/>
      <c r="I106" s="4">
        <v>0</v>
      </c>
      <c r="J106" s="4"/>
      <c r="K106" s="4"/>
      <c r="L106" s="4">
        <v>60960783.700000003</v>
      </c>
    </row>
    <row r="107" spans="1:13" x14ac:dyDescent="0.25">
      <c r="A107" s="1" t="s">
        <v>99</v>
      </c>
      <c r="B107" s="2" t="s">
        <v>341</v>
      </c>
      <c r="D107" s="2" t="s">
        <v>22</v>
      </c>
      <c r="E107" s="2" t="s">
        <v>23</v>
      </c>
      <c r="F107" s="4">
        <v>3838000</v>
      </c>
      <c r="G107" s="4">
        <v>-2117000</v>
      </c>
      <c r="H107" s="4"/>
      <c r="I107" s="4">
        <v>0</v>
      </c>
      <c r="J107" s="4"/>
      <c r="K107" s="4"/>
      <c r="L107" s="4">
        <v>0</v>
      </c>
    </row>
    <row r="108" spans="1:13" x14ac:dyDescent="0.25">
      <c r="A108" s="1" t="s">
        <v>99</v>
      </c>
      <c r="B108" s="2" t="s">
        <v>342</v>
      </c>
      <c r="D108" s="2" t="s">
        <v>22</v>
      </c>
      <c r="E108" s="2" t="s">
        <v>29</v>
      </c>
      <c r="F108" s="4">
        <v>42736398</v>
      </c>
      <c r="G108" s="4">
        <v>12464587</v>
      </c>
      <c r="H108" s="4"/>
      <c r="I108" s="4">
        <v>950645.98</v>
      </c>
      <c r="J108" s="4"/>
      <c r="K108" s="4"/>
      <c r="L108" s="4">
        <v>0</v>
      </c>
    </row>
    <row r="109" spans="1:13" x14ac:dyDescent="0.25">
      <c r="A109" s="1" t="s">
        <v>99</v>
      </c>
      <c r="B109" s="2" t="s">
        <v>343</v>
      </c>
      <c r="D109" s="2" t="s">
        <v>22</v>
      </c>
      <c r="E109" s="2" t="s">
        <v>65</v>
      </c>
      <c r="F109" s="4">
        <v>309189</v>
      </c>
      <c r="G109" s="4">
        <v>-229994</v>
      </c>
      <c r="H109" s="6">
        <f>G109/F109</f>
        <v>-0.74386216844713104</v>
      </c>
      <c r="I109" s="4">
        <v>0</v>
      </c>
      <c r="J109" s="4"/>
      <c r="K109" s="4"/>
      <c r="L109" s="4">
        <v>177692</v>
      </c>
    </row>
    <row r="110" spans="1:13" x14ac:dyDescent="0.25">
      <c r="A110" s="1" t="s">
        <v>100</v>
      </c>
      <c r="B110" s="2" t="s">
        <v>101</v>
      </c>
      <c r="D110" s="2" t="s">
        <v>21</v>
      </c>
      <c r="E110" s="2" t="s">
        <v>47</v>
      </c>
      <c r="F110" s="4">
        <v>-759827289.84000003</v>
      </c>
      <c r="G110" s="4">
        <v>0</v>
      </c>
      <c r="H110" s="4"/>
      <c r="I110" s="4"/>
      <c r="J110" s="4"/>
      <c r="K110" s="4"/>
      <c r="L110" s="4"/>
      <c r="M110" s="31">
        <f t="shared" ref="M110:M111" si="10">I110-K110-L110</f>
        <v>0</v>
      </c>
    </row>
    <row r="111" spans="1:13" x14ac:dyDescent="0.25">
      <c r="A111" s="1" t="s">
        <v>100</v>
      </c>
      <c r="B111" s="2" t="s">
        <v>102</v>
      </c>
      <c r="D111" s="2" t="s">
        <v>21</v>
      </c>
      <c r="E111" s="2" t="s">
        <v>29</v>
      </c>
      <c r="F111" s="4">
        <v>236207.51</v>
      </c>
      <c r="G111" s="4">
        <v>-2500</v>
      </c>
      <c r="H111" s="4"/>
      <c r="I111" s="4"/>
      <c r="J111" s="4"/>
      <c r="K111" s="4">
        <v>19796.93</v>
      </c>
      <c r="L111" s="4"/>
      <c r="M111" s="31">
        <f t="shared" si="10"/>
        <v>-19796.93</v>
      </c>
    </row>
    <row r="112" spans="1:13" x14ac:dyDescent="0.25">
      <c r="A112" s="1" t="s">
        <v>100</v>
      </c>
      <c r="B112" s="2" t="s">
        <v>103</v>
      </c>
      <c r="D112" s="2" t="s">
        <v>22</v>
      </c>
      <c r="E112" s="2" t="s">
        <v>27</v>
      </c>
      <c r="F112" s="4">
        <v>761057474.25999999</v>
      </c>
      <c r="G112" s="4">
        <v>95490543.569999993</v>
      </c>
      <c r="H112" s="4"/>
      <c r="I112" s="4">
        <v>33254.46</v>
      </c>
      <c r="J112" s="4"/>
      <c r="K112" s="4"/>
      <c r="L112" s="4"/>
    </row>
    <row r="113" spans="1:13" x14ac:dyDescent="0.25">
      <c r="A113" s="1" t="s">
        <v>100</v>
      </c>
      <c r="B113" s="2" t="s">
        <v>104</v>
      </c>
      <c r="D113" s="2" t="s">
        <v>22</v>
      </c>
      <c r="E113" s="2" t="s">
        <v>28</v>
      </c>
      <c r="F113" s="4">
        <v>24457603.91</v>
      </c>
      <c r="G113" s="4">
        <v>12736020.060000001</v>
      </c>
      <c r="H113" s="4"/>
      <c r="I113" s="4">
        <v>7897611.5300000003</v>
      </c>
      <c r="J113" s="4"/>
      <c r="K113" s="4"/>
      <c r="L113" s="4"/>
    </row>
    <row r="114" spans="1:13" x14ac:dyDescent="0.25">
      <c r="A114" s="1" t="s">
        <v>100</v>
      </c>
      <c r="B114" s="2" t="s">
        <v>105</v>
      </c>
      <c r="D114" s="2" t="s">
        <v>22</v>
      </c>
      <c r="E114" s="2" t="s">
        <v>47</v>
      </c>
      <c r="F114" s="4">
        <v>-532686.15</v>
      </c>
      <c r="G114" s="4">
        <v>389670.45</v>
      </c>
      <c r="H114" s="4"/>
      <c r="I114" s="4"/>
      <c r="J114" s="4"/>
      <c r="K114" s="4"/>
      <c r="L114" s="4"/>
    </row>
    <row r="115" spans="1:13" x14ac:dyDescent="0.25">
      <c r="A115" s="9" t="s">
        <v>106</v>
      </c>
      <c r="B115" s="2" t="s">
        <v>195</v>
      </c>
      <c r="D115" s="2" t="s">
        <v>21</v>
      </c>
      <c r="E115" s="2" t="s">
        <v>401</v>
      </c>
      <c r="F115" s="4">
        <v>6117127600</v>
      </c>
      <c r="G115" s="4">
        <v>-1255376</v>
      </c>
      <c r="H115" s="4"/>
      <c r="I115" s="4"/>
      <c r="J115" s="4"/>
      <c r="K115" s="4"/>
      <c r="L115" s="4"/>
      <c r="M115" s="31">
        <f t="shared" ref="M115:M120" si="11">I115-K115-L115</f>
        <v>0</v>
      </c>
    </row>
    <row r="116" spans="1:13" x14ac:dyDescent="0.25">
      <c r="A116" s="9" t="s">
        <v>106</v>
      </c>
      <c r="B116" s="2" t="s">
        <v>196</v>
      </c>
      <c r="D116" s="2" t="s">
        <v>21</v>
      </c>
      <c r="E116" s="2" t="s">
        <v>25</v>
      </c>
      <c r="F116" s="4">
        <v>-88265732.400000006</v>
      </c>
      <c r="G116" s="4">
        <v>-2724744.58</v>
      </c>
      <c r="H116" s="4"/>
      <c r="I116" s="4"/>
      <c r="J116" s="4"/>
      <c r="K116" s="4"/>
      <c r="L116" s="4"/>
      <c r="M116" s="31">
        <f t="shared" si="11"/>
        <v>0</v>
      </c>
    </row>
    <row r="117" spans="1:13" x14ac:dyDescent="0.25">
      <c r="A117" s="9" t="s">
        <v>106</v>
      </c>
      <c r="B117" s="2" t="s">
        <v>197</v>
      </c>
      <c r="D117" s="2" t="s">
        <v>21</v>
      </c>
      <c r="E117" s="2" t="s">
        <v>28</v>
      </c>
      <c r="F117" s="4">
        <v>-1325151</v>
      </c>
      <c r="G117" s="4">
        <v>2927968</v>
      </c>
      <c r="H117" s="4"/>
      <c r="I117" s="4"/>
      <c r="J117" s="4"/>
      <c r="K117" s="4">
        <v>4145623.09</v>
      </c>
      <c r="L117" s="4"/>
      <c r="M117" s="31">
        <f t="shared" si="11"/>
        <v>-4145623.09</v>
      </c>
    </row>
    <row r="118" spans="1:13" x14ac:dyDescent="0.25">
      <c r="A118" s="9" t="s">
        <v>106</v>
      </c>
      <c r="B118" s="2" t="s">
        <v>198</v>
      </c>
      <c r="D118" s="2" t="s">
        <v>21</v>
      </c>
      <c r="E118" s="2" t="s">
        <v>29</v>
      </c>
      <c r="F118" s="4">
        <v>0</v>
      </c>
      <c r="G118" s="4">
        <v>0</v>
      </c>
      <c r="H118" s="4"/>
      <c r="I118" s="4"/>
      <c r="J118" s="4"/>
      <c r="K118" s="4">
        <v>0</v>
      </c>
      <c r="L118" s="4"/>
      <c r="M118" s="31">
        <f t="shared" si="11"/>
        <v>0</v>
      </c>
    </row>
    <row r="119" spans="1:13" x14ac:dyDescent="0.25">
      <c r="A119" s="9" t="s">
        <v>106</v>
      </c>
      <c r="B119" s="2" t="s">
        <v>199</v>
      </c>
      <c r="D119" s="2" t="s">
        <v>21</v>
      </c>
      <c r="E119" s="2" t="s">
        <v>49</v>
      </c>
      <c r="F119" s="4">
        <v>-6249285.3499999996</v>
      </c>
      <c r="G119" s="4">
        <v>-191794.2</v>
      </c>
      <c r="H119" s="4"/>
      <c r="I119" s="4"/>
      <c r="J119" s="4"/>
      <c r="K119" s="4">
        <v>14541744.480800018</v>
      </c>
      <c r="L119" s="4"/>
      <c r="M119" s="31">
        <f t="shared" si="11"/>
        <v>-14541744.480800018</v>
      </c>
    </row>
    <row r="120" spans="1:13" x14ac:dyDescent="0.25">
      <c r="A120" s="9" t="s">
        <v>106</v>
      </c>
      <c r="B120" s="2" t="s">
        <v>200</v>
      </c>
      <c r="D120" s="2" t="s">
        <v>21</v>
      </c>
      <c r="E120" s="2" t="s">
        <v>27</v>
      </c>
      <c r="F120" s="4">
        <v>-57300535</v>
      </c>
      <c r="G120" s="4">
        <v>-12856381</v>
      </c>
      <c r="H120" s="4"/>
      <c r="I120" s="4"/>
      <c r="J120" s="4">
        <v>259046939</v>
      </c>
      <c r="K120" s="4">
        <v>21532108</v>
      </c>
      <c r="L120" s="4"/>
      <c r="M120" s="31">
        <f t="shared" si="11"/>
        <v>-21532108</v>
      </c>
    </row>
    <row r="121" spans="1:13" x14ac:dyDescent="0.25">
      <c r="A121" s="9" t="s">
        <v>106</v>
      </c>
      <c r="B121" s="2" t="s">
        <v>201</v>
      </c>
      <c r="D121" s="2" t="s">
        <v>22</v>
      </c>
      <c r="E121" s="2" t="s">
        <v>26</v>
      </c>
      <c r="F121" s="4">
        <v>12980955.85</v>
      </c>
      <c r="G121" s="4">
        <v>-4164680.67</v>
      </c>
      <c r="H121" s="4"/>
      <c r="I121" s="4"/>
      <c r="J121" s="4"/>
      <c r="K121" s="4"/>
      <c r="L121" s="4">
        <v>954440</v>
      </c>
    </row>
    <row r="122" spans="1:13" x14ac:dyDescent="0.25">
      <c r="A122" s="9" t="s">
        <v>107</v>
      </c>
      <c r="B122" s="10" t="s">
        <v>209</v>
      </c>
      <c r="C122" s="10"/>
      <c r="D122" s="2" t="s">
        <v>21</v>
      </c>
      <c r="E122" s="2" t="s">
        <v>23</v>
      </c>
      <c r="F122" s="4">
        <v>23952749.640000001</v>
      </c>
      <c r="G122" s="4">
        <v>-282405.63</v>
      </c>
      <c r="H122" s="4"/>
      <c r="I122" s="4"/>
      <c r="J122" s="4"/>
      <c r="K122" s="4"/>
      <c r="L122" s="4"/>
      <c r="M122" s="31">
        <f>I122-K122-L122</f>
        <v>0</v>
      </c>
    </row>
    <row r="123" spans="1:13" x14ac:dyDescent="0.25">
      <c r="A123" s="9" t="s">
        <v>107</v>
      </c>
      <c r="B123" s="2" t="s">
        <v>210</v>
      </c>
      <c r="D123" s="2" t="s">
        <v>22</v>
      </c>
      <c r="E123" s="2" t="s">
        <v>29</v>
      </c>
      <c r="F123" s="4">
        <v>1217292101.8099999</v>
      </c>
      <c r="G123" s="4">
        <v>308324453.74000001</v>
      </c>
      <c r="H123" s="4"/>
      <c r="I123" s="4">
        <v>123301078.59999999</v>
      </c>
      <c r="J123" s="4"/>
      <c r="K123" s="4"/>
      <c r="L123" s="4"/>
    </row>
    <row r="124" spans="1:13" x14ac:dyDescent="0.25">
      <c r="A124" s="9" t="s">
        <v>107</v>
      </c>
      <c r="B124" s="2" t="s">
        <v>211</v>
      </c>
      <c r="D124" s="2" t="s">
        <v>21</v>
      </c>
      <c r="E124" s="2" t="s">
        <v>65</v>
      </c>
      <c r="F124" s="4">
        <v>43182470.280000001</v>
      </c>
      <c r="G124" s="4">
        <v>31946080.07</v>
      </c>
      <c r="H124" s="6">
        <f>G124/F124</f>
        <v>0.73979278774136858</v>
      </c>
      <c r="I124" s="4"/>
      <c r="J124" s="4">
        <v>4955.22</v>
      </c>
      <c r="K124" s="4">
        <v>9326086.9299999997</v>
      </c>
      <c r="L124" s="4"/>
      <c r="M124" s="31">
        <f t="shared" ref="M124:M127" si="12">I124-K124-L124</f>
        <v>-9326086.9299999997</v>
      </c>
    </row>
    <row r="125" spans="1:13" x14ac:dyDescent="0.25">
      <c r="A125" s="9" t="s">
        <v>107</v>
      </c>
      <c r="B125" s="2" t="s">
        <v>212</v>
      </c>
      <c r="D125" s="2" t="s">
        <v>21</v>
      </c>
      <c r="E125" s="2" t="s">
        <v>47</v>
      </c>
      <c r="F125" s="4">
        <v>3797349.93</v>
      </c>
      <c r="G125" s="4">
        <v>1984250.19</v>
      </c>
      <c r="H125" s="4"/>
      <c r="I125" s="4"/>
      <c r="J125" s="4">
        <v>522707.51</v>
      </c>
      <c r="K125" s="4">
        <v>12611295.779999999</v>
      </c>
      <c r="L125" s="4"/>
      <c r="M125" s="31">
        <f t="shared" si="12"/>
        <v>-12611295.779999999</v>
      </c>
    </row>
    <row r="126" spans="1:13" x14ac:dyDescent="0.25">
      <c r="A126" s="9" t="s">
        <v>107</v>
      </c>
      <c r="B126" s="2" t="s">
        <v>213</v>
      </c>
      <c r="D126" s="2" t="s">
        <v>21</v>
      </c>
      <c r="E126" s="2" t="s">
        <v>23</v>
      </c>
      <c r="F126" s="4">
        <v>56584255.280000001</v>
      </c>
      <c r="G126" s="4">
        <v>5324735.5599999996</v>
      </c>
      <c r="H126" s="4"/>
      <c r="I126" s="4"/>
      <c r="J126" s="4">
        <v>118756.21</v>
      </c>
      <c r="K126" s="4">
        <v>4237079.03</v>
      </c>
      <c r="L126" s="4"/>
      <c r="M126" s="31">
        <f t="shared" si="12"/>
        <v>-4237079.03</v>
      </c>
    </row>
    <row r="127" spans="1:13" x14ac:dyDescent="0.25">
      <c r="A127" s="9" t="s">
        <v>107</v>
      </c>
      <c r="B127" s="2" t="s">
        <v>214</v>
      </c>
      <c r="D127" s="2" t="s">
        <v>21</v>
      </c>
      <c r="E127" s="2" t="s">
        <v>24</v>
      </c>
      <c r="F127" s="4">
        <v>116044140.92</v>
      </c>
      <c r="G127" s="4">
        <v>13534134.359999999</v>
      </c>
      <c r="H127" s="4"/>
      <c r="I127" s="4"/>
      <c r="J127" s="4">
        <v>621890.07999999996</v>
      </c>
      <c r="K127" s="4">
        <v>72347464.170000002</v>
      </c>
      <c r="L127" s="4"/>
      <c r="M127" s="31">
        <f t="shared" si="12"/>
        <v>-72347464.170000002</v>
      </c>
    </row>
    <row r="128" spans="1:13" x14ac:dyDescent="0.25">
      <c r="A128" s="9" t="s">
        <v>107</v>
      </c>
      <c r="B128" s="2" t="s">
        <v>215</v>
      </c>
      <c r="D128" s="2" t="s">
        <v>22</v>
      </c>
      <c r="E128" s="2" t="s">
        <v>27</v>
      </c>
      <c r="F128" s="4">
        <v>379488240.06999999</v>
      </c>
      <c r="G128" s="4">
        <v>-244414753.21000001</v>
      </c>
      <c r="H128" s="4"/>
      <c r="I128" s="4"/>
      <c r="J128" s="4">
        <v>3331544.89</v>
      </c>
      <c r="K128" s="4"/>
      <c r="L128" s="4">
        <v>150117300.06</v>
      </c>
    </row>
    <row r="129" spans="1:13" x14ac:dyDescent="0.25">
      <c r="A129" s="9" t="s">
        <v>107</v>
      </c>
      <c r="B129" s="2" t="s">
        <v>216</v>
      </c>
      <c r="D129" s="2" t="s">
        <v>21</v>
      </c>
      <c r="E129" s="2" t="s">
        <v>25</v>
      </c>
      <c r="F129" s="4">
        <v>23735738.079999998</v>
      </c>
      <c r="G129" s="4">
        <v>6686976.0499999998</v>
      </c>
      <c r="H129" s="4"/>
      <c r="I129" s="4"/>
      <c r="J129" s="4">
        <v>711616.71</v>
      </c>
      <c r="K129" s="4">
        <v>120279589.23999999</v>
      </c>
      <c r="L129" s="4"/>
      <c r="M129" s="31">
        <f t="shared" ref="M129:M136" si="13">I129-K129-L129</f>
        <v>-120279589.23999999</v>
      </c>
    </row>
    <row r="130" spans="1:13" s="10" customFormat="1" x14ac:dyDescent="0.25">
      <c r="A130" s="11" t="s">
        <v>107</v>
      </c>
      <c r="B130" s="10" t="s">
        <v>217</v>
      </c>
      <c r="D130" s="10" t="s">
        <v>21</v>
      </c>
      <c r="E130" s="10" t="s">
        <v>28</v>
      </c>
      <c r="F130" s="4">
        <v>656000</v>
      </c>
      <c r="G130" s="4">
        <v>1080000</v>
      </c>
      <c r="H130" s="4"/>
      <c r="I130" s="4"/>
      <c r="J130" s="4"/>
      <c r="K130" s="4"/>
      <c r="L130" s="4"/>
      <c r="M130" s="31">
        <f t="shared" si="13"/>
        <v>0</v>
      </c>
    </row>
    <row r="131" spans="1:13" s="10" customFormat="1" x14ac:dyDescent="0.25">
      <c r="A131" s="11" t="s">
        <v>107</v>
      </c>
      <c r="B131" s="10" t="s">
        <v>218</v>
      </c>
      <c r="D131" s="2" t="s">
        <v>21</v>
      </c>
      <c r="E131" s="10" t="s">
        <v>49</v>
      </c>
      <c r="F131" s="4">
        <v>29776242.68</v>
      </c>
      <c r="G131" s="4">
        <v>-1871041.47</v>
      </c>
      <c r="H131" s="4"/>
      <c r="I131" s="4"/>
      <c r="J131" s="4"/>
      <c r="K131" s="4">
        <v>53863663.200000003</v>
      </c>
      <c r="L131" s="4"/>
      <c r="M131" s="31">
        <f t="shared" si="13"/>
        <v>-53863663.200000003</v>
      </c>
    </row>
    <row r="132" spans="1:13" x14ac:dyDescent="0.25">
      <c r="A132" s="13" t="s">
        <v>108</v>
      </c>
      <c r="B132" s="2" t="s">
        <v>280</v>
      </c>
      <c r="C132" s="2" t="s">
        <v>308</v>
      </c>
      <c r="D132" s="2" t="s">
        <v>21</v>
      </c>
      <c r="E132" s="2" t="s">
        <v>29</v>
      </c>
      <c r="F132" s="4">
        <v>8369564.8099999996</v>
      </c>
      <c r="G132" s="4">
        <v>-34661556.659999996</v>
      </c>
      <c r="H132" s="4"/>
      <c r="I132" s="4"/>
      <c r="J132" s="4"/>
      <c r="K132" s="4"/>
      <c r="L132" s="4"/>
      <c r="M132" s="31">
        <f t="shared" si="13"/>
        <v>0</v>
      </c>
    </row>
    <row r="133" spans="1:13" x14ac:dyDescent="0.25">
      <c r="A133" s="13" t="s">
        <v>108</v>
      </c>
      <c r="B133" s="2" t="s">
        <v>281</v>
      </c>
      <c r="C133" s="2" t="s">
        <v>310</v>
      </c>
      <c r="D133" s="2" t="s">
        <v>21</v>
      </c>
      <c r="E133" s="2" t="s">
        <v>23</v>
      </c>
      <c r="F133" s="4">
        <v>12968677.51</v>
      </c>
      <c r="G133" s="4">
        <v>-256978.77</v>
      </c>
      <c r="H133" s="4"/>
      <c r="I133" s="4"/>
      <c r="J133" s="4"/>
      <c r="K133" s="4"/>
      <c r="L133" s="4"/>
      <c r="M133" s="31">
        <f t="shared" si="13"/>
        <v>0</v>
      </c>
    </row>
    <row r="134" spans="1:13" x14ac:dyDescent="0.25">
      <c r="A134" s="13" t="s">
        <v>108</v>
      </c>
      <c r="B134" s="2" t="s">
        <v>282</v>
      </c>
      <c r="C134" s="2" t="s">
        <v>313</v>
      </c>
      <c r="D134" s="10" t="s">
        <v>21</v>
      </c>
      <c r="E134" s="2" t="s">
        <v>29</v>
      </c>
      <c r="I134" s="4"/>
      <c r="J134" s="4"/>
      <c r="K134" s="4"/>
      <c r="L134" s="4"/>
      <c r="M134" s="31">
        <f t="shared" si="13"/>
        <v>0</v>
      </c>
    </row>
    <row r="135" spans="1:13" x14ac:dyDescent="0.25">
      <c r="A135" s="13" t="s">
        <v>108</v>
      </c>
      <c r="B135" s="2" t="s">
        <v>283</v>
      </c>
      <c r="C135" s="2" t="s">
        <v>311</v>
      </c>
      <c r="D135" s="10" t="s">
        <v>21</v>
      </c>
      <c r="E135" s="2" t="s">
        <v>29</v>
      </c>
      <c r="F135" s="4">
        <v>48597738.68</v>
      </c>
      <c r="G135" s="4">
        <v>2883680.63</v>
      </c>
      <c r="H135" s="4"/>
      <c r="I135" s="4"/>
      <c r="J135" s="4"/>
      <c r="K135" s="4"/>
      <c r="L135" s="4"/>
      <c r="M135" s="31">
        <f t="shared" si="13"/>
        <v>0</v>
      </c>
    </row>
    <row r="136" spans="1:13" x14ac:dyDescent="0.25">
      <c r="A136" s="13" t="s">
        <v>108</v>
      </c>
      <c r="B136" s="2" t="s">
        <v>317</v>
      </c>
      <c r="C136" s="2" t="s">
        <v>315</v>
      </c>
      <c r="D136" s="10" t="s">
        <v>21</v>
      </c>
      <c r="E136" s="2" t="s">
        <v>47</v>
      </c>
      <c r="F136" s="4">
        <v>-11858124.710000001</v>
      </c>
      <c r="G136" s="4">
        <v>-2256835.25</v>
      </c>
      <c r="H136" s="4"/>
      <c r="I136" s="4"/>
      <c r="J136" s="4"/>
      <c r="K136" s="4"/>
      <c r="L136" s="4"/>
      <c r="M136" s="31">
        <f t="shared" si="13"/>
        <v>0</v>
      </c>
    </row>
    <row r="137" spans="1:13" x14ac:dyDescent="0.25">
      <c r="A137" s="13" t="s">
        <v>108</v>
      </c>
      <c r="B137" s="2" t="s">
        <v>284</v>
      </c>
      <c r="C137" s="2" t="s">
        <v>314</v>
      </c>
      <c r="D137" s="10" t="s">
        <v>22</v>
      </c>
      <c r="E137" s="2" t="s">
        <v>49</v>
      </c>
      <c r="F137" s="4">
        <v>7508717.0499999998</v>
      </c>
      <c r="G137" s="12">
        <v>2564198.79</v>
      </c>
      <c r="H137" s="12"/>
      <c r="I137" s="4"/>
      <c r="J137" s="4"/>
      <c r="K137" s="4"/>
      <c r="L137" s="4"/>
    </row>
    <row r="138" spans="1:13" x14ac:dyDescent="0.25">
      <c r="A138" s="13" t="s">
        <v>108</v>
      </c>
      <c r="B138" s="35" t="s">
        <v>285</v>
      </c>
      <c r="C138" s="2" t="s">
        <v>316</v>
      </c>
      <c r="D138" s="10" t="s">
        <v>21</v>
      </c>
      <c r="E138" s="2" t="s">
        <v>28</v>
      </c>
      <c r="F138" s="4">
        <v>68954000</v>
      </c>
      <c r="G138" s="12">
        <v>11236000</v>
      </c>
      <c r="H138" s="12"/>
      <c r="I138" s="4"/>
      <c r="J138" s="4"/>
      <c r="K138" s="4"/>
      <c r="L138" s="4"/>
      <c r="M138" s="31">
        <f>I138-K138-L138</f>
        <v>0</v>
      </c>
    </row>
    <row r="139" spans="1:13" x14ac:dyDescent="0.25">
      <c r="A139" s="13" t="s">
        <v>108</v>
      </c>
      <c r="B139" s="2" t="s">
        <v>286</v>
      </c>
      <c r="C139" s="2" t="s">
        <v>309</v>
      </c>
      <c r="D139" s="10" t="s">
        <v>22</v>
      </c>
      <c r="E139" s="2" t="s">
        <v>29</v>
      </c>
      <c r="F139" s="4">
        <v>21309325.030000001</v>
      </c>
      <c r="G139" s="4">
        <v>425374.14</v>
      </c>
      <c r="H139" s="4"/>
      <c r="I139" s="4"/>
      <c r="J139" s="4"/>
      <c r="K139" s="4"/>
      <c r="L139" s="4"/>
    </row>
    <row r="140" spans="1:13" x14ac:dyDescent="0.25">
      <c r="A140" s="13" t="s">
        <v>108</v>
      </c>
      <c r="B140" s="2" t="s">
        <v>287</v>
      </c>
      <c r="C140" s="2" t="s">
        <v>312</v>
      </c>
      <c r="D140" s="10" t="s">
        <v>22</v>
      </c>
      <c r="E140" s="2" t="s">
        <v>27</v>
      </c>
      <c r="F140" s="4">
        <v>896626000</v>
      </c>
      <c r="G140" s="4">
        <v>109838000</v>
      </c>
      <c r="H140" s="4"/>
      <c r="I140" s="4"/>
      <c r="J140" s="4"/>
      <c r="K140" s="4"/>
      <c r="L140" s="4"/>
    </row>
    <row r="141" spans="1:13" x14ac:dyDescent="0.25">
      <c r="A141" s="1" t="s">
        <v>109</v>
      </c>
      <c r="B141" s="2" t="s">
        <v>110</v>
      </c>
      <c r="D141" s="2" t="s">
        <v>21</v>
      </c>
      <c r="E141" s="2" t="s">
        <v>29</v>
      </c>
      <c r="F141" s="4">
        <v>53467395</v>
      </c>
      <c r="G141" s="4">
        <v>-3145904</v>
      </c>
      <c r="H141" s="4"/>
      <c r="I141" s="4"/>
      <c r="J141" s="4">
        <v>1675033.97</v>
      </c>
      <c r="K141" s="4">
        <v>54479571.460000001</v>
      </c>
      <c r="L141" s="4"/>
      <c r="M141" s="31">
        <f t="shared" ref="M141:M147" si="14">I141-K141-L141</f>
        <v>-54479571.460000001</v>
      </c>
    </row>
    <row r="142" spans="1:13" x14ac:dyDescent="0.25">
      <c r="A142" s="1" t="s">
        <v>109</v>
      </c>
      <c r="B142" s="2" t="s">
        <v>111</v>
      </c>
      <c r="D142" s="2" t="s">
        <v>21</v>
      </c>
      <c r="E142" s="2" t="s">
        <v>65</v>
      </c>
      <c r="F142" s="4">
        <v>-142418829</v>
      </c>
      <c r="G142" s="4">
        <v>-31152109</v>
      </c>
      <c r="H142" s="6">
        <f>G142/F142</f>
        <v>0.21873588779472411</v>
      </c>
      <c r="I142" s="4"/>
      <c r="J142" s="4">
        <v>202799734</v>
      </c>
      <c r="K142" s="4">
        <v>166248003</v>
      </c>
      <c r="L142" s="4"/>
      <c r="M142" s="31">
        <f t="shared" si="14"/>
        <v>-166248003</v>
      </c>
    </row>
    <row r="143" spans="1:13" x14ac:dyDescent="0.25">
      <c r="A143" s="1" t="s">
        <v>109</v>
      </c>
      <c r="B143" s="2" t="s">
        <v>112</v>
      </c>
      <c r="D143" s="2" t="s">
        <v>21</v>
      </c>
      <c r="E143" s="2" t="s">
        <v>31</v>
      </c>
      <c r="F143" s="4">
        <v>5498589</v>
      </c>
      <c r="G143" s="4">
        <v>1655960</v>
      </c>
      <c r="H143" s="4"/>
      <c r="I143" s="4"/>
      <c r="J143" s="4">
        <v>240313</v>
      </c>
      <c r="K143" s="4">
        <v>4600054</v>
      </c>
      <c r="L143" s="4"/>
      <c r="M143" s="31">
        <f t="shared" si="14"/>
        <v>-4600054</v>
      </c>
    </row>
    <row r="144" spans="1:13" x14ac:dyDescent="0.25">
      <c r="A144" s="1" t="s">
        <v>109</v>
      </c>
      <c r="B144" s="2" t="s">
        <v>113</v>
      </c>
      <c r="D144" s="2" t="s">
        <v>21</v>
      </c>
      <c r="E144" s="2" t="s">
        <v>24</v>
      </c>
      <c r="F144" s="4">
        <v>40683186</v>
      </c>
      <c r="G144" s="4">
        <v>-7747883</v>
      </c>
      <c r="H144" s="4"/>
      <c r="I144" s="4"/>
      <c r="J144" s="4">
        <v>37504179</v>
      </c>
      <c r="K144" s="4">
        <v>96473246</v>
      </c>
      <c r="L144" s="4"/>
      <c r="M144" s="31">
        <f t="shared" si="14"/>
        <v>-96473246</v>
      </c>
    </row>
    <row r="145" spans="1:13" x14ac:dyDescent="0.25">
      <c r="A145" s="1" t="s">
        <v>109</v>
      </c>
      <c r="B145" s="2" t="s">
        <v>114</v>
      </c>
      <c r="D145" s="2" t="s">
        <v>21</v>
      </c>
      <c r="E145" s="2" t="s">
        <v>29</v>
      </c>
      <c r="F145" s="4">
        <v>170941929</v>
      </c>
      <c r="G145" s="4">
        <v>4718163</v>
      </c>
      <c r="H145" s="4"/>
      <c r="I145" s="4"/>
      <c r="J145" s="4" t="s">
        <v>125</v>
      </c>
      <c r="K145" s="4">
        <v>73291133</v>
      </c>
      <c r="L145" s="4"/>
      <c r="M145" s="31">
        <f t="shared" si="14"/>
        <v>-73291133</v>
      </c>
    </row>
    <row r="146" spans="1:13" x14ac:dyDescent="0.25">
      <c r="A146" s="1" t="s">
        <v>109</v>
      </c>
      <c r="B146" s="2" t="s">
        <v>115</v>
      </c>
      <c r="D146" s="2" t="s">
        <v>21</v>
      </c>
      <c r="E146" s="2" t="s">
        <v>65</v>
      </c>
      <c r="F146" s="4">
        <v>1387538</v>
      </c>
      <c r="G146" s="4">
        <v>858513</v>
      </c>
      <c r="H146" s="6">
        <f>G146/F146</f>
        <v>0.61873116267806716</v>
      </c>
      <c r="I146" s="4"/>
      <c r="J146" s="4" t="s">
        <v>125</v>
      </c>
      <c r="K146" s="4">
        <v>2386838</v>
      </c>
      <c r="L146" s="4"/>
      <c r="M146" s="31">
        <f t="shared" si="14"/>
        <v>-2386838</v>
      </c>
    </row>
    <row r="147" spans="1:13" x14ac:dyDescent="0.25">
      <c r="A147" s="1" t="s">
        <v>109</v>
      </c>
      <c r="B147" s="2" t="s">
        <v>116</v>
      </c>
      <c r="D147" s="2" t="s">
        <v>21</v>
      </c>
      <c r="E147" s="2" t="s">
        <v>29</v>
      </c>
      <c r="F147" s="4">
        <v>-354813900</v>
      </c>
      <c r="G147" s="4">
        <v>-214520810</v>
      </c>
      <c r="H147" s="4"/>
      <c r="I147" s="4"/>
      <c r="J147" s="4">
        <v>88938382</v>
      </c>
      <c r="K147" s="4">
        <v>88806024</v>
      </c>
      <c r="L147" s="4">
        <v>20453416</v>
      </c>
      <c r="M147" s="31">
        <f t="shared" si="14"/>
        <v>-109259440</v>
      </c>
    </row>
    <row r="148" spans="1:13" x14ac:dyDescent="0.25">
      <c r="A148" s="1" t="s">
        <v>109</v>
      </c>
      <c r="B148" s="2" t="s">
        <v>117</v>
      </c>
      <c r="D148" s="2" t="s">
        <v>22</v>
      </c>
      <c r="E148" s="2" t="s">
        <v>26</v>
      </c>
      <c r="F148" s="4">
        <v>48345000</v>
      </c>
      <c r="G148" s="4">
        <v>-384000</v>
      </c>
      <c r="H148" s="4"/>
      <c r="I148" s="4"/>
      <c r="J148" s="4"/>
      <c r="K148" s="4"/>
      <c r="L148" s="4" t="s">
        <v>125</v>
      </c>
    </row>
    <row r="149" spans="1:13" x14ac:dyDescent="0.25">
      <c r="A149" s="1" t="s">
        <v>109</v>
      </c>
      <c r="B149" s="2" t="s">
        <v>118</v>
      </c>
      <c r="D149" s="2" t="s">
        <v>22</v>
      </c>
      <c r="E149" s="2" t="s">
        <v>29</v>
      </c>
      <c r="F149" s="4">
        <v>65229547</v>
      </c>
      <c r="G149" s="4">
        <v>-6082458</v>
      </c>
      <c r="H149" s="4"/>
      <c r="I149" s="4"/>
      <c r="J149" s="4"/>
      <c r="K149" s="4"/>
      <c r="L149" s="4" t="s">
        <v>125</v>
      </c>
    </row>
    <row r="150" spans="1:13" x14ac:dyDescent="0.25">
      <c r="A150" s="1" t="s">
        <v>109</v>
      </c>
      <c r="B150" s="2" t="s">
        <v>119</v>
      </c>
      <c r="D150" s="2" t="s">
        <v>22</v>
      </c>
      <c r="E150" s="2" t="s">
        <v>27</v>
      </c>
      <c r="F150" s="4">
        <v>5658384825.4899998</v>
      </c>
      <c r="G150" s="4">
        <v>194227636.91999999</v>
      </c>
      <c r="H150" s="4"/>
      <c r="I150" s="4"/>
      <c r="J150" s="4"/>
      <c r="K150" s="4"/>
      <c r="L150" s="4">
        <v>513906733.42000002</v>
      </c>
    </row>
    <row r="151" spans="1:13" x14ac:dyDescent="0.25">
      <c r="A151" s="1" t="s">
        <v>109</v>
      </c>
      <c r="B151" s="2" t="s">
        <v>120</v>
      </c>
      <c r="D151" s="2" t="s">
        <v>22</v>
      </c>
      <c r="E151" s="2" t="s">
        <v>29</v>
      </c>
      <c r="F151" s="4">
        <v>110350557</v>
      </c>
      <c r="G151" s="4">
        <v>7646492.1200000001</v>
      </c>
      <c r="H151" s="4"/>
      <c r="I151" s="4"/>
      <c r="J151" s="4"/>
      <c r="K151" s="4"/>
      <c r="L151" s="4" t="s">
        <v>125</v>
      </c>
    </row>
    <row r="152" spans="1:13" x14ac:dyDescent="0.25">
      <c r="A152" s="1" t="s">
        <v>109</v>
      </c>
      <c r="B152" s="2" t="s">
        <v>121</v>
      </c>
      <c r="D152" s="2" t="s">
        <v>22</v>
      </c>
      <c r="E152" s="2" t="s">
        <v>29</v>
      </c>
      <c r="F152" s="4">
        <v>3100209000</v>
      </c>
      <c r="G152" s="4">
        <v>36718000</v>
      </c>
      <c r="H152" s="4"/>
      <c r="I152" s="4"/>
      <c r="J152" s="4"/>
      <c r="K152" s="4"/>
      <c r="L152" s="4">
        <v>3170000</v>
      </c>
    </row>
    <row r="153" spans="1:13" x14ac:dyDescent="0.25">
      <c r="A153" s="1" t="s">
        <v>109</v>
      </c>
      <c r="B153" s="2" t="s">
        <v>122</v>
      </c>
      <c r="D153" s="2" t="s">
        <v>22</v>
      </c>
      <c r="E153" s="2" t="s">
        <v>23</v>
      </c>
      <c r="F153" s="4">
        <v>180811373</v>
      </c>
      <c r="G153" s="4">
        <v>2621588</v>
      </c>
      <c r="H153" s="4"/>
      <c r="I153" s="4"/>
      <c r="J153" s="4"/>
      <c r="K153" s="4"/>
      <c r="L153" s="4" t="s">
        <v>125</v>
      </c>
    </row>
    <row r="154" spans="1:13" x14ac:dyDescent="0.25">
      <c r="A154" s="1" t="s">
        <v>109</v>
      </c>
      <c r="B154" s="2" t="s">
        <v>123</v>
      </c>
      <c r="D154" s="2" t="s">
        <v>22</v>
      </c>
      <c r="E154" s="2" t="s">
        <v>66</v>
      </c>
      <c r="F154" s="4">
        <v>282092540</v>
      </c>
      <c r="G154" s="4">
        <v>81625590</v>
      </c>
      <c r="H154" s="4"/>
      <c r="I154" s="4">
        <v>9484633.5299999993</v>
      </c>
      <c r="J154" s="4"/>
      <c r="K154" s="4"/>
      <c r="L154" s="4">
        <v>2362872.48</v>
      </c>
    </row>
    <row r="155" spans="1:13" x14ac:dyDescent="0.25">
      <c r="A155" s="1" t="s">
        <v>109</v>
      </c>
      <c r="B155" s="2" t="s">
        <v>124</v>
      </c>
      <c r="D155" s="2" t="s">
        <v>22</v>
      </c>
      <c r="E155" s="2" t="s">
        <v>29</v>
      </c>
      <c r="F155" s="4">
        <v>43354306</v>
      </c>
      <c r="G155" s="4">
        <v>-24589173</v>
      </c>
      <c r="H155" s="4"/>
      <c r="I155" s="4"/>
      <c r="J155" s="4"/>
      <c r="K155" s="4"/>
      <c r="L155" s="4">
        <v>2450000</v>
      </c>
    </row>
    <row r="156" spans="1:13" x14ac:dyDescent="0.25">
      <c r="A156" s="13" t="s">
        <v>126</v>
      </c>
      <c r="B156" s="35" t="s">
        <v>288</v>
      </c>
      <c r="C156" s="2" t="s">
        <v>307</v>
      </c>
      <c r="D156" s="2" t="s">
        <v>349</v>
      </c>
      <c r="E156" s="2" t="s">
        <v>28</v>
      </c>
      <c r="I156" s="4"/>
      <c r="J156" s="4"/>
      <c r="K156" s="4"/>
      <c r="L156" s="4"/>
    </row>
    <row r="157" spans="1:13" x14ac:dyDescent="0.25">
      <c r="A157" s="13" t="s">
        <v>126</v>
      </c>
      <c r="B157" s="18" t="s">
        <v>306</v>
      </c>
      <c r="C157" s="2" t="s">
        <v>299</v>
      </c>
      <c r="D157" s="2" t="s">
        <v>349</v>
      </c>
      <c r="E157" s="2" t="s">
        <v>66</v>
      </c>
      <c r="F157" s="4">
        <v>-852906000</v>
      </c>
      <c r="G157" s="4">
        <v>-70626000</v>
      </c>
      <c r="H157" s="4"/>
      <c r="I157" s="4"/>
      <c r="J157" s="4"/>
      <c r="K157" s="4"/>
      <c r="L157" s="4"/>
    </row>
    <row r="158" spans="1:13" x14ac:dyDescent="0.25">
      <c r="A158" s="13" t="s">
        <v>126</v>
      </c>
      <c r="B158" s="14" t="s">
        <v>290</v>
      </c>
      <c r="C158" s="2" t="s">
        <v>300</v>
      </c>
      <c r="D158" s="2" t="s">
        <v>349</v>
      </c>
      <c r="E158" s="2" t="s">
        <v>27</v>
      </c>
      <c r="I158" s="4"/>
      <c r="J158" s="4"/>
      <c r="K158" s="4"/>
      <c r="L158" s="4"/>
    </row>
    <row r="159" spans="1:13" x14ac:dyDescent="0.25">
      <c r="A159" s="13" t="s">
        <v>126</v>
      </c>
      <c r="B159" s="14" t="s">
        <v>289</v>
      </c>
      <c r="C159" s="2" t="s">
        <v>301</v>
      </c>
      <c r="D159" s="2" t="s">
        <v>349</v>
      </c>
      <c r="E159" s="2" t="s">
        <v>23</v>
      </c>
      <c r="F159" s="4">
        <v>15002400</v>
      </c>
      <c r="G159" s="4">
        <v>-1680</v>
      </c>
      <c r="H159" s="4"/>
      <c r="I159" s="4"/>
      <c r="J159" s="4"/>
      <c r="K159" s="4"/>
      <c r="L159" s="4"/>
    </row>
    <row r="160" spans="1:13" x14ac:dyDescent="0.25">
      <c r="A160" s="13" t="s">
        <v>126</v>
      </c>
      <c r="B160" s="2" t="s">
        <v>291</v>
      </c>
      <c r="C160" s="2" t="s">
        <v>345</v>
      </c>
      <c r="D160" s="2" t="s">
        <v>349</v>
      </c>
      <c r="E160" s="2" t="s">
        <v>29</v>
      </c>
      <c r="I160" s="4"/>
      <c r="J160" s="4"/>
      <c r="K160" s="4"/>
      <c r="L160" s="4"/>
    </row>
    <row r="161" spans="1:13" x14ac:dyDescent="0.25">
      <c r="A161" s="13" t="s">
        <v>126</v>
      </c>
      <c r="B161" s="2" t="s">
        <v>302</v>
      </c>
      <c r="C161" s="2" t="s">
        <v>303</v>
      </c>
      <c r="D161" s="2" t="s">
        <v>349</v>
      </c>
      <c r="E161" s="2" t="s">
        <v>29</v>
      </c>
      <c r="I161" s="4"/>
      <c r="J161" s="4"/>
      <c r="K161" s="4"/>
      <c r="L161" s="4"/>
    </row>
    <row r="162" spans="1:13" x14ac:dyDescent="0.25">
      <c r="A162" s="13" t="s">
        <v>126</v>
      </c>
      <c r="B162" s="14" t="s">
        <v>304</v>
      </c>
      <c r="C162" s="2" t="s">
        <v>305</v>
      </c>
      <c r="D162" s="2" t="s">
        <v>349</v>
      </c>
      <c r="E162" s="2" t="s">
        <v>65</v>
      </c>
      <c r="H162" s="6" t="e">
        <f>G162/F162</f>
        <v>#DIV/0!</v>
      </c>
      <c r="I162" s="4"/>
      <c r="J162" s="4"/>
      <c r="K162" s="4"/>
      <c r="L162" s="4"/>
    </row>
    <row r="163" spans="1:13" x14ac:dyDescent="0.25">
      <c r="A163" s="13" t="s">
        <v>126</v>
      </c>
      <c r="B163" s="14" t="s">
        <v>344</v>
      </c>
      <c r="C163" s="2" t="s">
        <v>346</v>
      </c>
      <c r="D163" s="2" t="s">
        <v>349</v>
      </c>
      <c r="E163" s="2" t="s">
        <v>402</v>
      </c>
      <c r="I163" s="4"/>
      <c r="J163" s="4"/>
      <c r="K163" s="4"/>
      <c r="L163" s="4"/>
    </row>
    <row r="164" spans="1:13" x14ac:dyDescent="0.25">
      <c r="A164" s="13" t="s">
        <v>126</v>
      </c>
      <c r="B164" s="14" t="s">
        <v>347</v>
      </c>
      <c r="C164" s="2" t="s">
        <v>348</v>
      </c>
      <c r="D164" s="2" t="s">
        <v>349</v>
      </c>
      <c r="E164" s="2" t="s">
        <v>24</v>
      </c>
      <c r="I164" s="4"/>
      <c r="J164" s="4"/>
      <c r="K164" s="4"/>
      <c r="L164" s="4"/>
    </row>
    <row r="165" spans="1:13" x14ac:dyDescent="0.25">
      <c r="A165" s="1" t="s">
        <v>127</v>
      </c>
      <c r="B165" s="2" t="s">
        <v>128</v>
      </c>
      <c r="D165" s="2" t="s">
        <v>22</v>
      </c>
      <c r="E165" s="2" t="s">
        <v>47</v>
      </c>
      <c r="F165" s="4">
        <v>-56064346</v>
      </c>
      <c r="G165" s="4">
        <v>-14400312</v>
      </c>
      <c r="H165" s="4"/>
      <c r="I165" s="4">
        <v>0</v>
      </c>
      <c r="J165" s="4"/>
      <c r="K165" s="4">
        <v>0</v>
      </c>
      <c r="L165" s="4">
        <v>0</v>
      </c>
    </row>
    <row r="166" spans="1:13" x14ac:dyDescent="0.25">
      <c r="A166" s="1" t="s">
        <v>127</v>
      </c>
      <c r="B166" s="2" t="s">
        <v>129</v>
      </c>
      <c r="D166" s="2" t="s">
        <v>22</v>
      </c>
      <c r="E166" s="2" t="s">
        <v>27</v>
      </c>
      <c r="F166" s="4">
        <v>5717188</v>
      </c>
      <c r="G166" s="4">
        <v>892487</v>
      </c>
      <c r="H166" s="4"/>
      <c r="I166" s="4">
        <v>79597</v>
      </c>
      <c r="J166" s="4"/>
      <c r="K166" s="4"/>
      <c r="L166" s="4"/>
    </row>
    <row r="167" spans="1:13" x14ac:dyDescent="0.25">
      <c r="A167" s="1" t="s">
        <v>127</v>
      </c>
      <c r="B167" s="2" t="s">
        <v>130</v>
      </c>
      <c r="D167" s="2" t="s">
        <v>22</v>
      </c>
      <c r="E167" s="2" t="s">
        <v>24</v>
      </c>
      <c r="F167" s="4">
        <v>474606420</v>
      </c>
      <c r="G167" s="4">
        <v>81959668</v>
      </c>
      <c r="H167" s="4"/>
      <c r="I167" s="4">
        <v>0</v>
      </c>
      <c r="J167" s="4"/>
      <c r="K167" s="4">
        <v>0</v>
      </c>
      <c r="L167" s="4">
        <v>0</v>
      </c>
    </row>
    <row r="168" spans="1:13" x14ac:dyDescent="0.25">
      <c r="A168" s="1" t="s">
        <v>127</v>
      </c>
      <c r="B168" s="2" t="s">
        <v>131</v>
      </c>
      <c r="D168" s="2" t="s">
        <v>22</v>
      </c>
      <c r="E168" s="2" t="s">
        <v>49</v>
      </c>
      <c r="F168" s="4">
        <v>128296329</v>
      </c>
      <c r="G168" s="4">
        <v>12446</v>
      </c>
      <c r="H168" s="4"/>
      <c r="I168" s="4">
        <v>2078756.2000000002</v>
      </c>
      <c r="J168" s="4"/>
      <c r="K168" s="4">
        <v>0</v>
      </c>
      <c r="L168" s="4">
        <v>0</v>
      </c>
    </row>
    <row r="169" spans="1:13" x14ac:dyDescent="0.25">
      <c r="A169" s="1" t="s">
        <v>127</v>
      </c>
      <c r="B169" s="2" t="s">
        <v>132</v>
      </c>
      <c r="D169" s="2" t="s">
        <v>22</v>
      </c>
      <c r="E169" s="2" t="s">
        <v>65</v>
      </c>
      <c r="F169" s="4">
        <v>275598642</v>
      </c>
      <c r="G169" s="4">
        <v>-13692424</v>
      </c>
      <c r="H169" s="6">
        <f>G169/F169</f>
        <v>-4.9682479930361921E-2</v>
      </c>
      <c r="I169" s="4"/>
      <c r="J169" s="4"/>
      <c r="K169" s="4"/>
      <c r="L169" s="4">
        <v>8000000</v>
      </c>
    </row>
    <row r="170" spans="1:13" x14ac:dyDescent="0.25">
      <c r="A170" s="1" t="s">
        <v>127</v>
      </c>
      <c r="B170" s="2" t="s">
        <v>133</v>
      </c>
      <c r="D170" s="2" t="s">
        <v>22</v>
      </c>
      <c r="E170" s="2" t="s">
        <v>66</v>
      </c>
      <c r="F170" s="4">
        <v>16032925</v>
      </c>
      <c r="G170" s="4">
        <v>1444004</v>
      </c>
      <c r="H170" s="4"/>
      <c r="I170" s="4">
        <v>112195550.97</v>
      </c>
      <c r="J170" s="4"/>
      <c r="K170" s="4"/>
      <c r="L170" s="4"/>
    </row>
    <row r="171" spans="1:13" x14ac:dyDescent="0.25">
      <c r="A171" s="1" t="s">
        <v>127</v>
      </c>
      <c r="B171" s="2" t="s">
        <v>134</v>
      </c>
      <c r="D171" s="2" t="s">
        <v>22</v>
      </c>
      <c r="E171" s="2" t="s">
        <v>47</v>
      </c>
      <c r="F171" s="4">
        <v>125872096</v>
      </c>
      <c r="G171" s="4">
        <v>3428478</v>
      </c>
      <c r="H171" s="4"/>
      <c r="I171" s="4"/>
      <c r="J171" s="4"/>
      <c r="K171" s="4"/>
      <c r="L171" s="4"/>
    </row>
    <row r="172" spans="1:13" x14ac:dyDescent="0.25">
      <c r="A172" s="1" t="s">
        <v>127</v>
      </c>
      <c r="B172" s="2" t="s">
        <v>135</v>
      </c>
      <c r="D172" s="2" t="s">
        <v>22</v>
      </c>
      <c r="E172" s="2" t="s">
        <v>138</v>
      </c>
      <c r="F172" s="4">
        <v>-43968015</v>
      </c>
      <c r="G172" s="4">
        <v>-164684068</v>
      </c>
      <c r="H172" s="4"/>
      <c r="I172" s="4"/>
      <c r="J172" s="4"/>
      <c r="K172" s="4">
        <v>0</v>
      </c>
      <c r="L172" s="4"/>
    </row>
    <row r="173" spans="1:13" x14ac:dyDescent="0.25">
      <c r="A173" s="1" t="s">
        <v>127</v>
      </c>
      <c r="B173" s="2" t="s">
        <v>136</v>
      </c>
      <c r="D173" s="2" t="s">
        <v>22</v>
      </c>
      <c r="E173" s="2" t="s">
        <v>29</v>
      </c>
      <c r="F173" s="4">
        <v>1205662930</v>
      </c>
      <c r="G173" s="4">
        <v>-4307548</v>
      </c>
      <c r="H173" s="4"/>
      <c r="I173" s="4"/>
      <c r="J173" s="4"/>
      <c r="K173" s="4">
        <v>88852712</v>
      </c>
      <c r="L173" s="4">
        <v>122887545</v>
      </c>
    </row>
    <row r="174" spans="1:13" x14ac:dyDescent="0.25">
      <c r="A174" s="1" t="s">
        <v>127</v>
      </c>
      <c r="B174" s="2" t="s">
        <v>137</v>
      </c>
      <c r="D174" s="2" t="s">
        <v>22</v>
      </c>
      <c r="E174" s="2" t="s">
        <v>26</v>
      </c>
      <c r="F174" s="4">
        <v>1646518701</v>
      </c>
      <c r="G174" s="4">
        <v>77942235</v>
      </c>
      <c r="H174" s="4"/>
      <c r="I174" s="4"/>
      <c r="J174" s="4"/>
      <c r="K174" s="4"/>
      <c r="L174" s="4">
        <v>78409000</v>
      </c>
    </row>
    <row r="175" spans="1:13" x14ac:dyDescent="0.25">
      <c r="A175" s="1" t="s">
        <v>149</v>
      </c>
      <c r="B175" s="2" t="s">
        <v>139</v>
      </c>
      <c r="D175" s="2" t="s">
        <v>21</v>
      </c>
      <c r="E175" s="2" t="s">
        <v>65</v>
      </c>
      <c r="F175" s="4">
        <v>807298752.57000005</v>
      </c>
      <c r="G175" s="4">
        <v>-79700862.549999997</v>
      </c>
      <c r="H175" s="6">
        <f>G175/F175</f>
        <v>-9.8725363189619469E-2</v>
      </c>
      <c r="I175" s="4"/>
      <c r="J175" s="4">
        <v>1520639140.95</v>
      </c>
      <c r="K175" s="4">
        <v>118471548</v>
      </c>
      <c r="L175" s="4">
        <v>0</v>
      </c>
      <c r="M175" s="31">
        <f t="shared" ref="M175:M190" si="15">I175-K175-L175</f>
        <v>-118471548</v>
      </c>
    </row>
    <row r="176" spans="1:13" x14ac:dyDescent="0.25">
      <c r="A176" s="1" t="s">
        <v>149</v>
      </c>
      <c r="B176" s="2" t="s">
        <v>140</v>
      </c>
      <c r="D176" s="2" t="s">
        <v>21</v>
      </c>
      <c r="E176" s="2" t="s">
        <v>29</v>
      </c>
      <c r="F176" s="4">
        <v>-301434356</v>
      </c>
      <c r="G176" s="4">
        <v>-235573</v>
      </c>
      <c r="H176" s="4"/>
      <c r="I176" s="4"/>
      <c r="J176" s="4"/>
      <c r="K176" s="4">
        <v>12098120</v>
      </c>
      <c r="L176" s="4"/>
      <c r="M176" s="31">
        <f t="shared" si="15"/>
        <v>-12098120</v>
      </c>
    </row>
    <row r="177" spans="1:13" x14ac:dyDescent="0.25">
      <c r="A177" s="1" t="s">
        <v>149</v>
      </c>
      <c r="B177" s="2" t="s">
        <v>141</v>
      </c>
      <c r="D177" s="2" t="s">
        <v>21</v>
      </c>
      <c r="E177" s="2" t="s">
        <v>138</v>
      </c>
      <c r="F177" s="4">
        <v>-8511309.0299999993</v>
      </c>
      <c r="G177" s="4">
        <v>-9253300.8599999994</v>
      </c>
      <c r="H177" s="4"/>
      <c r="I177" s="4"/>
      <c r="J177" s="4">
        <v>29959277.760000002</v>
      </c>
      <c r="K177" s="4">
        <v>37636867.840000004</v>
      </c>
      <c r="L177" s="4"/>
      <c r="M177" s="31">
        <f t="shared" si="15"/>
        <v>-37636867.840000004</v>
      </c>
    </row>
    <row r="178" spans="1:13" x14ac:dyDescent="0.25">
      <c r="A178" s="1" t="s">
        <v>149</v>
      </c>
      <c r="B178" s="2" t="s">
        <v>142</v>
      </c>
      <c r="D178" s="2" t="s">
        <v>21</v>
      </c>
      <c r="E178" s="2" t="s">
        <v>25</v>
      </c>
      <c r="F178" s="4">
        <v>607497.26</v>
      </c>
      <c r="G178" s="4">
        <v>-166386.44</v>
      </c>
      <c r="H178" s="4"/>
      <c r="I178" s="4"/>
      <c r="J178" s="4">
        <v>55539425.899999999</v>
      </c>
      <c r="K178" s="4">
        <v>88363972.459999993</v>
      </c>
      <c r="L178" s="4">
        <v>0</v>
      </c>
      <c r="M178" s="31">
        <f t="shared" si="15"/>
        <v>-88363972.459999993</v>
      </c>
    </row>
    <row r="179" spans="1:13" x14ac:dyDescent="0.25">
      <c r="A179" s="1" t="s">
        <v>149</v>
      </c>
      <c r="B179" s="2" t="s">
        <v>143</v>
      </c>
      <c r="D179" s="2" t="s">
        <v>21</v>
      </c>
      <c r="E179" s="2" t="s">
        <v>23</v>
      </c>
      <c r="F179" s="4">
        <v>44573553.439999998</v>
      </c>
      <c r="G179" s="4">
        <v>12640359.91</v>
      </c>
      <c r="H179" s="4"/>
      <c r="I179" s="4"/>
      <c r="J179" s="4">
        <v>20311372.079999998</v>
      </c>
      <c r="K179" s="4">
        <v>20461009.859999999</v>
      </c>
      <c r="L179" s="4">
        <v>12160.38</v>
      </c>
      <c r="M179" s="31">
        <f t="shared" si="15"/>
        <v>-20473170.239999998</v>
      </c>
    </row>
    <row r="180" spans="1:13" x14ac:dyDescent="0.25">
      <c r="A180" s="1" t="s">
        <v>149</v>
      </c>
      <c r="B180" s="2" t="s">
        <v>144</v>
      </c>
      <c r="D180" s="2" t="s">
        <v>21</v>
      </c>
      <c r="E180" s="2" t="s">
        <v>29</v>
      </c>
      <c r="F180" s="4">
        <v>-129375114.77</v>
      </c>
      <c r="G180" s="4">
        <v>-4981328.66</v>
      </c>
      <c r="H180" s="4"/>
      <c r="I180" s="4"/>
      <c r="J180" s="4">
        <v>60336368.759999998</v>
      </c>
      <c r="K180" s="4">
        <v>61586954.340000004</v>
      </c>
      <c r="L180" s="4"/>
      <c r="M180" s="31">
        <f t="shared" si="15"/>
        <v>-61586954.340000004</v>
      </c>
    </row>
    <row r="181" spans="1:13" x14ac:dyDescent="0.25">
      <c r="A181" s="1" t="s">
        <v>149</v>
      </c>
      <c r="B181" s="2" t="s">
        <v>145</v>
      </c>
      <c r="D181" s="2" t="s">
        <v>21</v>
      </c>
      <c r="E181" s="2" t="s">
        <v>29</v>
      </c>
      <c r="F181" s="4">
        <v>6315685.1799999997</v>
      </c>
      <c r="G181" s="4">
        <v>-22327773</v>
      </c>
      <c r="H181" s="4"/>
      <c r="I181" s="4"/>
      <c r="J181" s="4"/>
      <c r="K181" s="4"/>
      <c r="L181" s="4"/>
      <c r="M181" s="31">
        <f t="shared" si="15"/>
        <v>0</v>
      </c>
    </row>
    <row r="182" spans="1:13" x14ac:dyDescent="0.25">
      <c r="A182" s="1" t="s">
        <v>149</v>
      </c>
      <c r="B182" s="2" t="s">
        <v>146</v>
      </c>
      <c r="D182" s="2" t="s">
        <v>21</v>
      </c>
      <c r="E182" s="2" t="s">
        <v>47</v>
      </c>
      <c r="F182" s="4">
        <v>-401510.53</v>
      </c>
      <c r="G182" s="4">
        <v>-391536.74</v>
      </c>
      <c r="H182" s="4"/>
      <c r="I182" s="4"/>
      <c r="J182" s="4"/>
      <c r="K182" s="4">
        <v>4721472.8</v>
      </c>
      <c r="L182" s="4"/>
      <c r="M182" s="31">
        <f t="shared" si="15"/>
        <v>-4721472.8</v>
      </c>
    </row>
    <row r="183" spans="1:13" x14ac:dyDescent="0.25">
      <c r="A183" s="1" t="s">
        <v>149</v>
      </c>
      <c r="B183" s="2" t="s">
        <v>147</v>
      </c>
      <c r="D183" s="2" t="s">
        <v>21</v>
      </c>
      <c r="E183" s="2" t="s">
        <v>47</v>
      </c>
      <c r="F183" s="4">
        <v>37641834.579999998</v>
      </c>
      <c r="G183" s="4">
        <v>18737352.23</v>
      </c>
      <c r="H183" s="4"/>
      <c r="I183" s="4"/>
      <c r="J183" s="4">
        <v>4928398.7299999995</v>
      </c>
      <c r="K183" s="4">
        <v>14186004.449999999</v>
      </c>
      <c r="L183" s="4"/>
      <c r="M183" s="31">
        <f t="shared" si="15"/>
        <v>-14186004.449999999</v>
      </c>
    </row>
    <row r="184" spans="1:13" x14ac:dyDescent="0.25">
      <c r="A184" s="1" t="s">
        <v>149</v>
      </c>
      <c r="B184" s="2" t="s">
        <v>148</v>
      </c>
      <c r="D184" s="2" t="s">
        <v>21</v>
      </c>
      <c r="E184" s="2" t="s">
        <v>29</v>
      </c>
      <c r="F184" s="4">
        <v>-225005.41</v>
      </c>
      <c r="G184" s="4">
        <v>-554285.86</v>
      </c>
      <c r="H184" s="4"/>
      <c r="I184" s="4"/>
      <c r="J184" s="4">
        <v>536601.81000000006</v>
      </c>
      <c r="K184" s="4"/>
      <c r="L184" s="4"/>
      <c r="M184" s="31">
        <f t="shared" si="15"/>
        <v>0</v>
      </c>
    </row>
    <row r="185" spans="1:13" s="10" customFormat="1" x14ac:dyDescent="0.25">
      <c r="A185" s="11" t="s">
        <v>149</v>
      </c>
      <c r="B185" s="10" t="s">
        <v>410</v>
      </c>
      <c r="D185" s="10" t="s">
        <v>21</v>
      </c>
      <c r="E185" s="10" t="s">
        <v>27</v>
      </c>
      <c r="F185" s="4" t="s">
        <v>411</v>
      </c>
      <c r="G185" s="4" t="s">
        <v>412</v>
      </c>
      <c r="H185" s="4"/>
      <c r="I185" s="4"/>
      <c r="J185" s="4"/>
      <c r="K185" s="4"/>
      <c r="L185" s="4"/>
    </row>
    <row r="186" spans="1:13" x14ac:dyDescent="0.25">
      <c r="A186" s="1" t="s">
        <v>151</v>
      </c>
      <c r="B186" s="2" t="s">
        <v>152</v>
      </c>
      <c r="D186" s="2" t="s">
        <v>21</v>
      </c>
      <c r="E186" s="2" t="s">
        <v>48</v>
      </c>
      <c r="F186" s="4"/>
      <c r="G186" s="4">
        <v>14453926</v>
      </c>
      <c r="H186" s="4"/>
      <c r="I186" s="4"/>
      <c r="J186" s="4"/>
      <c r="K186" s="4"/>
      <c r="L186" s="4"/>
      <c r="M186" s="31">
        <f t="shared" si="15"/>
        <v>0</v>
      </c>
    </row>
    <row r="187" spans="1:13" x14ac:dyDescent="0.25">
      <c r="A187" s="1" t="s">
        <v>151</v>
      </c>
      <c r="B187" s="2" t="s">
        <v>153</v>
      </c>
      <c r="D187" s="2" t="s">
        <v>21</v>
      </c>
      <c r="E187" s="2" t="s">
        <v>138</v>
      </c>
      <c r="F187" s="4">
        <v>-4590895</v>
      </c>
      <c r="G187" s="4">
        <v>-1571170</v>
      </c>
      <c r="H187" s="4"/>
      <c r="I187" s="4"/>
      <c r="J187" s="4"/>
      <c r="K187" s="4">
        <v>14137577</v>
      </c>
      <c r="L187" s="4"/>
      <c r="M187" s="31">
        <f t="shared" si="15"/>
        <v>-14137577</v>
      </c>
    </row>
    <row r="188" spans="1:13" x14ac:dyDescent="0.25">
      <c r="A188" s="1" t="s">
        <v>151</v>
      </c>
      <c r="B188" s="2" t="s">
        <v>154</v>
      </c>
      <c r="D188" s="2" t="s">
        <v>21</v>
      </c>
      <c r="E188" s="2" t="s">
        <v>47</v>
      </c>
      <c r="F188" s="4">
        <v>362740.08</v>
      </c>
      <c r="G188" s="4">
        <v>-54627.41</v>
      </c>
      <c r="H188" s="4"/>
      <c r="I188" s="4"/>
      <c r="J188" s="4"/>
      <c r="K188" s="4">
        <v>8620345.8699999992</v>
      </c>
      <c r="L188" s="4"/>
      <c r="M188" s="31">
        <f t="shared" si="15"/>
        <v>-8620345.8699999992</v>
      </c>
    </row>
    <row r="189" spans="1:13" x14ac:dyDescent="0.25">
      <c r="A189" s="1" t="s">
        <v>151</v>
      </c>
      <c r="B189" s="2" t="s">
        <v>155</v>
      </c>
      <c r="D189" s="2" t="s">
        <v>21</v>
      </c>
      <c r="E189" s="2" t="s">
        <v>29</v>
      </c>
      <c r="F189" s="4">
        <v>606438.97</v>
      </c>
      <c r="G189" s="4">
        <v>-410965.79</v>
      </c>
      <c r="H189" s="4"/>
      <c r="I189" s="4"/>
      <c r="J189" s="4">
        <v>4372744.87</v>
      </c>
      <c r="K189" s="4">
        <v>4287481.88</v>
      </c>
      <c r="L189" s="4"/>
      <c r="M189" s="31">
        <f t="shared" si="15"/>
        <v>-4287481.88</v>
      </c>
    </row>
    <row r="190" spans="1:13" x14ac:dyDescent="0.25">
      <c r="A190" s="1" t="s">
        <v>151</v>
      </c>
      <c r="B190" s="2" t="s">
        <v>156</v>
      </c>
      <c r="D190" s="2" t="s">
        <v>21</v>
      </c>
      <c r="E190" s="2" t="s">
        <v>29</v>
      </c>
      <c r="F190" s="4">
        <v>-144817606</v>
      </c>
      <c r="G190" s="4">
        <v>8446069.75</v>
      </c>
      <c r="H190" s="4"/>
      <c r="I190" s="4"/>
      <c r="J190" s="4"/>
      <c r="K190" s="4">
        <v>20032620.949999999</v>
      </c>
      <c r="L190" s="4"/>
      <c r="M190" s="31">
        <f t="shared" si="15"/>
        <v>-20032620.949999999</v>
      </c>
    </row>
    <row r="191" spans="1:13" x14ac:dyDescent="0.25">
      <c r="A191" s="1" t="s">
        <v>151</v>
      </c>
      <c r="B191" s="2" t="s">
        <v>157</v>
      </c>
      <c r="D191" s="2" t="s">
        <v>22</v>
      </c>
      <c r="E191" s="2" t="s">
        <v>27</v>
      </c>
      <c r="F191" s="4">
        <v>693724435.88000023</v>
      </c>
      <c r="G191" s="4">
        <v>-10719563.659999678</v>
      </c>
      <c r="H191" s="4"/>
      <c r="I191" s="4"/>
      <c r="J191" s="4"/>
      <c r="K191" s="4"/>
      <c r="L191" s="4">
        <v>9975363.9799999986</v>
      </c>
    </row>
    <row r="192" spans="1:13" x14ac:dyDescent="0.25">
      <c r="A192" s="1" t="s">
        <v>151</v>
      </c>
      <c r="B192" s="2" t="s">
        <v>158</v>
      </c>
      <c r="D192" s="2" t="s">
        <v>22</v>
      </c>
      <c r="E192" s="2" t="s">
        <v>30</v>
      </c>
      <c r="F192" s="4">
        <v>79185.78</v>
      </c>
      <c r="G192" s="4" t="s">
        <v>67</v>
      </c>
      <c r="H192" s="4"/>
      <c r="I192" s="4"/>
      <c r="J192" s="4"/>
      <c r="K192" s="4"/>
      <c r="L192" s="4"/>
    </row>
    <row r="193" spans="1:13" x14ac:dyDescent="0.25">
      <c r="A193" s="1" t="s">
        <v>151</v>
      </c>
      <c r="B193" s="35" t="s">
        <v>159</v>
      </c>
      <c r="D193" s="2" t="s">
        <v>22</v>
      </c>
      <c r="E193" s="2" t="s">
        <v>28</v>
      </c>
      <c r="F193" s="4">
        <v>73251000</v>
      </c>
      <c r="G193" s="4">
        <v>22398662.479999993</v>
      </c>
      <c r="H193" s="4"/>
      <c r="I193" s="4">
        <v>2847416.05</v>
      </c>
      <c r="J193" s="4"/>
      <c r="K193" s="4"/>
      <c r="L193" s="4"/>
    </row>
    <row r="194" spans="1:13" x14ac:dyDescent="0.25">
      <c r="A194" s="1" t="s">
        <v>151</v>
      </c>
      <c r="B194" s="2" t="s">
        <v>160</v>
      </c>
      <c r="D194" s="2" t="s">
        <v>22</v>
      </c>
      <c r="E194" s="2" t="s">
        <v>26</v>
      </c>
      <c r="F194" s="4">
        <v>43427750</v>
      </c>
      <c r="G194" s="4">
        <v>2016817</v>
      </c>
      <c r="H194" s="4"/>
      <c r="I194" s="4"/>
      <c r="J194" s="4"/>
      <c r="K194" s="4"/>
      <c r="L194" s="4"/>
    </row>
    <row r="195" spans="1:13" x14ac:dyDescent="0.25">
      <c r="A195" s="9" t="s">
        <v>161</v>
      </c>
      <c r="B195" s="2" t="s">
        <v>219</v>
      </c>
      <c r="D195" s="2" t="s">
        <v>21</v>
      </c>
      <c r="E195" s="2" t="s">
        <v>28</v>
      </c>
      <c r="F195" s="4">
        <v>1734074.23</v>
      </c>
      <c r="G195" s="4">
        <v>540866.05000000005</v>
      </c>
      <c r="H195" s="4"/>
      <c r="I195" s="4"/>
      <c r="J195" s="4"/>
      <c r="K195" s="4"/>
      <c r="L195" s="4">
        <v>170000</v>
      </c>
      <c r="M195" s="31">
        <f>I195-K195-L195</f>
        <v>-170000</v>
      </c>
    </row>
    <row r="196" spans="1:13" x14ac:dyDescent="0.25">
      <c r="A196" s="9" t="s">
        <v>161</v>
      </c>
      <c r="B196" s="2" t="s">
        <v>220</v>
      </c>
      <c r="D196" s="2" t="s">
        <v>22</v>
      </c>
      <c r="E196" s="2" t="s">
        <v>27</v>
      </c>
      <c r="F196" s="4">
        <v>162631832.69</v>
      </c>
      <c r="G196" s="4"/>
      <c r="H196" s="4"/>
      <c r="I196" s="4"/>
      <c r="J196" s="4"/>
      <c r="K196" s="4"/>
      <c r="L196" s="4"/>
    </row>
    <row r="197" spans="1:13" x14ac:dyDescent="0.25">
      <c r="A197" s="9" t="s">
        <v>161</v>
      </c>
      <c r="B197" s="2" t="s">
        <v>221</v>
      </c>
      <c r="D197" s="2" t="s">
        <v>22</v>
      </c>
      <c r="E197" s="2" t="s">
        <v>223</v>
      </c>
      <c r="F197" s="4">
        <v>6987776.21</v>
      </c>
      <c r="G197" s="4">
        <v>4249228.1900000004</v>
      </c>
      <c r="H197" s="4"/>
      <c r="I197" s="4"/>
      <c r="J197" s="4"/>
      <c r="K197" s="4">
        <v>1928781.64</v>
      </c>
      <c r="L197" s="4"/>
    </row>
    <row r="198" spans="1:13" x14ac:dyDescent="0.25">
      <c r="A198" s="9" t="s">
        <v>161</v>
      </c>
      <c r="B198" s="2" t="s">
        <v>222</v>
      </c>
      <c r="D198" s="2" t="s">
        <v>22</v>
      </c>
      <c r="E198" s="2" t="s">
        <v>29</v>
      </c>
      <c r="F198" s="4">
        <v>1843606621.1900001</v>
      </c>
      <c r="G198" s="4">
        <v>3178354.17</v>
      </c>
      <c r="H198" s="4"/>
      <c r="I198" s="4"/>
      <c r="J198" s="4"/>
      <c r="K198" s="4"/>
      <c r="L198" s="4">
        <v>1000000</v>
      </c>
    </row>
    <row r="199" spans="1:13" x14ac:dyDescent="0.25">
      <c r="A199" s="1" t="s">
        <v>150</v>
      </c>
      <c r="B199" s="2" t="s">
        <v>292</v>
      </c>
      <c r="D199" s="2" t="s">
        <v>349</v>
      </c>
      <c r="E199" s="2" t="s">
        <v>23</v>
      </c>
      <c r="F199" s="12">
        <v>228626667.16999999</v>
      </c>
      <c r="G199" s="4">
        <v>2657222.3199999998</v>
      </c>
      <c r="H199" s="4"/>
      <c r="I199" s="4"/>
      <c r="J199" s="4"/>
      <c r="K199" s="4"/>
      <c r="L199" s="4"/>
    </row>
    <row r="200" spans="1:13" x14ac:dyDescent="0.25">
      <c r="A200" s="1" t="s">
        <v>150</v>
      </c>
      <c r="B200" s="2" t="s">
        <v>293</v>
      </c>
      <c r="D200" s="2" t="s">
        <v>349</v>
      </c>
      <c r="E200" s="2" t="s">
        <v>27</v>
      </c>
      <c r="F200" s="4">
        <v>-322334000</v>
      </c>
      <c r="G200" s="4">
        <v>-77594000</v>
      </c>
      <c r="H200" s="4"/>
      <c r="I200" s="4"/>
      <c r="J200" s="4"/>
      <c r="K200" s="4"/>
      <c r="L200" s="4"/>
    </row>
    <row r="201" spans="1:13" x14ac:dyDescent="0.25">
      <c r="A201" s="1" t="s">
        <v>150</v>
      </c>
      <c r="B201" s="2" t="s">
        <v>294</v>
      </c>
      <c r="D201" s="2" t="s">
        <v>349</v>
      </c>
      <c r="E201" s="2" t="s">
        <v>23</v>
      </c>
      <c r="I201" s="4"/>
      <c r="J201" s="4"/>
      <c r="K201" s="4"/>
      <c r="L201" s="4"/>
    </row>
    <row r="202" spans="1:13" s="10" customFormat="1" x14ac:dyDescent="0.25">
      <c r="A202" s="11" t="s">
        <v>162</v>
      </c>
      <c r="B202" s="10" t="s">
        <v>224</v>
      </c>
      <c r="D202" s="10" t="s">
        <v>22</v>
      </c>
      <c r="E202" s="10" t="s">
        <v>235</v>
      </c>
      <c r="F202" s="4">
        <v>16509428.99</v>
      </c>
      <c r="G202" s="4">
        <v>-5200554.18</v>
      </c>
      <c r="H202" s="4"/>
      <c r="I202" s="4">
        <v>0</v>
      </c>
      <c r="J202" s="4"/>
      <c r="K202" s="4"/>
      <c r="L202" s="4"/>
    </row>
    <row r="203" spans="1:13" s="10" customFormat="1" x14ac:dyDescent="0.25">
      <c r="A203" s="11" t="s">
        <v>162</v>
      </c>
      <c r="B203" s="10" t="s">
        <v>225</v>
      </c>
      <c r="D203" s="10" t="s">
        <v>22</v>
      </c>
      <c r="E203" s="10" t="s">
        <v>28</v>
      </c>
      <c r="F203" s="4">
        <v>376249463.50999999</v>
      </c>
      <c r="G203" s="4">
        <v>73353063.430000007</v>
      </c>
      <c r="H203" s="4"/>
      <c r="I203" s="4">
        <v>37410062.350000001</v>
      </c>
      <c r="J203" s="4"/>
      <c r="K203" s="4"/>
      <c r="L203" s="4"/>
    </row>
    <row r="204" spans="1:13" s="10" customFormat="1" x14ac:dyDescent="0.25">
      <c r="A204" s="11" t="s">
        <v>162</v>
      </c>
      <c r="B204" s="10" t="s">
        <v>226</v>
      </c>
      <c r="D204" s="10" t="s">
        <v>22</v>
      </c>
      <c r="E204" s="10" t="s">
        <v>26</v>
      </c>
      <c r="F204" s="4">
        <v>221582000</v>
      </c>
      <c r="G204" s="4">
        <v>-184000</v>
      </c>
      <c r="H204" s="4"/>
      <c r="I204" s="4">
        <v>0</v>
      </c>
      <c r="J204" s="4"/>
      <c r="K204" s="4"/>
      <c r="L204" s="4"/>
    </row>
    <row r="205" spans="1:13" s="10" customFormat="1" x14ac:dyDescent="0.25">
      <c r="A205" s="11" t="s">
        <v>162</v>
      </c>
      <c r="B205" s="10" t="s">
        <v>227</v>
      </c>
      <c r="D205" s="10" t="s">
        <v>22</v>
      </c>
      <c r="E205" s="10" t="s">
        <v>66</v>
      </c>
      <c r="F205" s="4">
        <v>319235000</v>
      </c>
      <c r="G205" s="4">
        <v>-25871000</v>
      </c>
      <c r="H205" s="4"/>
      <c r="I205" s="4">
        <v>0</v>
      </c>
      <c r="J205" s="4"/>
      <c r="K205" s="4"/>
      <c r="L205" s="4"/>
    </row>
    <row r="206" spans="1:13" s="10" customFormat="1" x14ac:dyDescent="0.25">
      <c r="A206" s="11" t="s">
        <v>162</v>
      </c>
      <c r="B206" s="10" t="s">
        <v>228</v>
      </c>
      <c r="D206" s="10" t="s">
        <v>22</v>
      </c>
      <c r="E206" s="10" t="s">
        <v>47</v>
      </c>
      <c r="F206" s="4">
        <v>0</v>
      </c>
      <c r="G206" s="4">
        <v>0</v>
      </c>
      <c r="H206" s="4"/>
      <c r="I206" s="4">
        <v>0</v>
      </c>
      <c r="J206" s="4"/>
      <c r="K206" s="4"/>
      <c r="L206" s="4"/>
    </row>
    <row r="207" spans="1:13" s="10" customFormat="1" x14ac:dyDescent="0.25">
      <c r="A207" s="11" t="s">
        <v>162</v>
      </c>
      <c r="B207" s="10" t="s">
        <v>229</v>
      </c>
      <c r="D207" s="10" t="s">
        <v>22</v>
      </c>
      <c r="E207" s="10" t="s">
        <v>27</v>
      </c>
      <c r="F207" s="4">
        <v>2095294000</v>
      </c>
      <c r="G207" s="4">
        <v>292087000</v>
      </c>
      <c r="H207" s="4"/>
      <c r="I207" s="4">
        <v>152375000</v>
      </c>
      <c r="J207" s="4"/>
      <c r="K207" s="4"/>
      <c r="L207" s="4"/>
    </row>
    <row r="208" spans="1:13" s="10" customFormat="1" x14ac:dyDescent="0.25">
      <c r="A208" s="11" t="s">
        <v>162</v>
      </c>
      <c r="B208" s="10" t="s">
        <v>230</v>
      </c>
      <c r="D208" s="10" t="s">
        <v>22</v>
      </c>
      <c r="E208" s="10" t="s">
        <v>66</v>
      </c>
      <c r="F208" s="4">
        <v>2388818000</v>
      </c>
      <c r="G208" s="4">
        <v>173439000</v>
      </c>
      <c r="H208" s="4"/>
      <c r="I208" s="4">
        <v>0</v>
      </c>
      <c r="J208" s="4"/>
      <c r="K208" s="4"/>
      <c r="L208" s="4"/>
    </row>
    <row r="209" spans="1:13" s="10" customFormat="1" x14ac:dyDescent="0.25">
      <c r="A209" s="11" t="s">
        <v>162</v>
      </c>
      <c r="B209" s="10" t="s">
        <v>231</v>
      </c>
      <c r="D209" s="10" t="s">
        <v>22</v>
      </c>
      <c r="E209" s="10" t="s">
        <v>66</v>
      </c>
      <c r="F209" s="4">
        <v>-2352441000</v>
      </c>
      <c r="G209" s="4">
        <v>-989345000</v>
      </c>
      <c r="H209" s="4"/>
      <c r="I209" s="4">
        <v>0</v>
      </c>
      <c r="J209" s="4"/>
      <c r="K209" s="4"/>
      <c r="L209" s="4"/>
    </row>
    <row r="210" spans="1:13" s="10" customFormat="1" x14ac:dyDescent="0.25">
      <c r="A210" s="11" t="s">
        <v>162</v>
      </c>
      <c r="B210" s="10" t="s">
        <v>232</v>
      </c>
      <c r="D210" s="10" t="s">
        <v>22</v>
      </c>
      <c r="E210" s="10" t="s">
        <v>65</v>
      </c>
      <c r="F210" s="4"/>
      <c r="G210" s="4"/>
      <c r="H210" s="6" t="e">
        <f>G210/F210</f>
        <v>#DIV/0!</v>
      </c>
      <c r="I210" s="4"/>
      <c r="J210" s="4"/>
      <c r="K210" s="4"/>
      <c r="L210" s="4"/>
    </row>
    <row r="211" spans="1:13" s="10" customFormat="1" x14ac:dyDescent="0.25">
      <c r="A211" s="11" t="s">
        <v>162</v>
      </c>
      <c r="B211" s="10" t="s">
        <v>233</v>
      </c>
      <c r="D211" s="10" t="s">
        <v>22</v>
      </c>
      <c r="E211" s="10" t="s">
        <v>26</v>
      </c>
      <c r="F211" s="4">
        <v>7366063000</v>
      </c>
      <c r="G211" s="4">
        <v>908597000</v>
      </c>
      <c r="H211" s="4"/>
      <c r="I211" s="4">
        <v>267009000</v>
      </c>
      <c r="J211" s="4"/>
      <c r="K211" s="4"/>
      <c r="L211" s="4"/>
    </row>
    <row r="212" spans="1:13" s="10" customFormat="1" x14ac:dyDescent="0.25">
      <c r="A212" s="11" t="s">
        <v>162</v>
      </c>
      <c r="B212" s="10" t="s">
        <v>234</v>
      </c>
      <c r="D212" s="10" t="s">
        <v>22</v>
      </c>
      <c r="E212" s="10" t="s">
        <v>26</v>
      </c>
      <c r="F212" s="4">
        <v>708845000</v>
      </c>
      <c r="G212" s="4">
        <v>17522000</v>
      </c>
      <c r="H212" s="4"/>
      <c r="I212" s="4">
        <v>0</v>
      </c>
      <c r="J212" s="4"/>
      <c r="K212" s="4"/>
      <c r="L212" s="4"/>
    </row>
    <row r="213" spans="1:13" x14ac:dyDescent="0.25">
      <c r="A213" s="1" t="s">
        <v>163</v>
      </c>
      <c r="B213" s="2" t="s">
        <v>164</v>
      </c>
      <c r="D213" s="2" t="s">
        <v>21</v>
      </c>
      <c r="E213" s="2" t="s">
        <v>23</v>
      </c>
      <c r="F213" s="4">
        <v>-8235236.1600000001</v>
      </c>
      <c r="G213" s="4">
        <v>-2350856</v>
      </c>
      <c r="H213" s="4"/>
      <c r="I213" s="4"/>
      <c r="J213" s="4"/>
      <c r="K213" s="4">
        <v>8447006.4199999999</v>
      </c>
      <c r="L213" s="4"/>
      <c r="M213" s="31">
        <f t="shared" ref="M213:M216" si="16">I213-K213-L213</f>
        <v>-8447006.4199999999</v>
      </c>
    </row>
    <row r="214" spans="1:13" x14ac:dyDescent="0.25">
      <c r="A214" s="1" t="s">
        <v>163</v>
      </c>
      <c r="B214" s="2" t="s">
        <v>165</v>
      </c>
      <c r="D214" s="2" t="s">
        <v>21</v>
      </c>
      <c r="E214" s="2" t="s">
        <v>24</v>
      </c>
      <c r="F214" s="4">
        <v>15454268.359999999</v>
      </c>
      <c r="G214" s="4">
        <v>-2279008.2000000002</v>
      </c>
      <c r="H214" s="4"/>
      <c r="I214" s="4"/>
      <c r="J214" s="4"/>
      <c r="K214" s="4"/>
      <c r="L214" s="4"/>
      <c r="M214" s="31">
        <f t="shared" si="16"/>
        <v>0</v>
      </c>
    </row>
    <row r="215" spans="1:13" x14ac:dyDescent="0.25">
      <c r="A215" s="1" t="s">
        <v>163</v>
      </c>
      <c r="B215" s="2" t="s">
        <v>166</v>
      </c>
      <c r="D215" s="2" t="s">
        <v>21</v>
      </c>
      <c r="E215" s="2" t="s">
        <v>23</v>
      </c>
      <c r="F215" s="4">
        <v>612454.28</v>
      </c>
      <c r="G215" s="4">
        <v>-22047.57</v>
      </c>
      <c r="H215" s="4"/>
      <c r="I215" s="4"/>
      <c r="J215" s="4"/>
      <c r="K215" s="4">
        <v>13376238.9</v>
      </c>
      <c r="L215" s="4"/>
      <c r="M215" s="31">
        <f t="shared" si="16"/>
        <v>-13376238.9</v>
      </c>
    </row>
    <row r="216" spans="1:13" x14ac:dyDescent="0.25">
      <c r="A216" s="1" t="s">
        <v>163</v>
      </c>
      <c r="B216" s="2" t="s">
        <v>167</v>
      </c>
      <c r="D216" s="2" t="s">
        <v>21</v>
      </c>
      <c r="E216" s="2" t="s">
        <v>138</v>
      </c>
      <c r="F216" s="4">
        <v>-22552236</v>
      </c>
      <c r="G216" s="4">
        <v>-8815244</v>
      </c>
      <c r="H216" s="4"/>
      <c r="I216" s="4"/>
      <c r="J216" s="4"/>
      <c r="K216" s="4">
        <v>333578562.31</v>
      </c>
      <c r="L216" s="4">
        <v>4854000</v>
      </c>
      <c r="M216" s="31">
        <f t="shared" si="16"/>
        <v>-338432562.31</v>
      </c>
    </row>
    <row r="217" spans="1:13" x14ac:dyDescent="0.25">
      <c r="A217" s="1" t="s">
        <v>163</v>
      </c>
      <c r="B217" s="2" t="s">
        <v>168</v>
      </c>
      <c r="D217" s="2" t="s">
        <v>22</v>
      </c>
      <c r="E217" s="2" t="s">
        <v>23</v>
      </c>
      <c r="F217" s="4">
        <v>0</v>
      </c>
      <c r="G217" s="4">
        <v>1383229.41</v>
      </c>
      <c r="H217" s="4"/>
      <c r="I217" s="4">
        <v>0</v>
      </c>
      <c r="J217" s="4"/>
      <c r="K217" s="4"/>
      <c r="L217" s="4">
        <v>7293811.54</v>
      </c>
    </row>
    <row r="218" spans="1:13" x14ac:dyDescent="0.25">
      <c r="A218" s="1" t="s">
        <v>163</v>
      </c>
      <c r="B218" s="2" t="s">
        <v>169</v>
      </c>
      <c r="D218" s="2" t="s">
        <v>22</v>
      </c>
      <c r="E218" s="2" t="s">
        <v>26</v>
      </c>
      <c r="F218" s="4">
        <v>554061839.69000006</v>
      </c>
      <c r="G218" s="4">
        <v>14735843.970000001</v>
      </c>
      <c r="H218" s="4"/>
      <c r="I218" s="4">
        <v>2274039.61</v>
      </c>
      <c r="J218" s="4"/>
      <c r="K218" s="4"/>
      <c r="L218" s="4"/>
    </row>
    <row r="219" spans="1:13" x14ac:dyDescent="0.25">
      <c r="A219" s="1" t="s">
        <v>163</v>
      </c>
      <c r="B219" s="2" t="s">
        <v>170</v>
      </c>
      <c r="D219" s="2" t="s">
        <v>22</v>
      </c>
      <c r="E219" s="2" t="s">
        <v>66</v>
      </c>
      <c r="F219" s="4">
        <v>1800856205.0999999</v>
      </c>
      <c r="G219" s="4">
        <v>165032458.84999999</v>
      </c>
      <c r="H219" s="4"/>
      <c r="I219" s="4">
        <v>3611629.72</v>
      </c>
      <c r="J219" s="4"/>
      <c r="K219" s="4"/>
      <c r="L219" s="4"/>
    </row>
    <row r="220" spans="1:13" x14ac:dyDescent="0.25">
      <c r="A220" s="1" t="s">
        <v>163</v>
      </c>
      <c r="B220" s="2" t="s">
        <v>171</v>
      </c>
      <c r="D220" s="2" t="s">
        <v>22</v>
      </c>
      <c r="E220" s="2" t="s">
        <v>26</v>
      </c>
      <c r="F220" s="4">
        <v>82447015.319999993</v>
      </c>
      <c r="G220" s="4">
        <v>-163349199.52000001</v>
      </c>
      <c r="H220" s="4"/>
      <c r="I220" s="4"/>
      <c r="J220" s="4"/>
      <c r="K220" s="4"/>
      <c r="L220" s="4"/>
    </row>
    <row r="221" spans="1:13" x14ac:dyDescent="0.25">
      <c r="A221" s="1" t="s">
        <v>163</v>
      </c>
      <c r="B221" s="2" t="s">
        <v>172</v>
      </c>
      <c r="D221" s="2" t="s">
        <v>22</v>
      </c>
      <c r="E221" s="2" t="s">
        <v>47</v>
      </c>
      <c r="F221" s="4">
        <v>7619398.1299999999</v>
      </c>
      <c r="G221" s="4">
        <v>1006616.18</v>
      </c>
      <c r="H221" s="4"/>
      <c r="I221" s="4">
        <v>0</v>
      </c>
      <c r="J221" s="4"/>
      <c r="K221" s="4"/>
      <c r="L221" s="4"/>
    </row>
    <row r="222" spans="1:13" x14ac:dyDescent="0.25">
      <c r="A222" s="1" t="s">
        <v>163</v>
      </c>
      <c r="B222" s="2" t="s">
        <v>173</v>
      </c>
      <c r="D222" s="2" t="s">
        <v>22</v>
      </c>
      <c r="E222" s="2" t="s">
        <v>49</v>
      </c>
      <c r="F222" s="4">
        <v>45305015.969999999</v>
      </c>
      <c r="G222" s="4">
        <v>17695308.420000002</v>
      </c>
      <c r="H222" s="4"/>
      <c r="I222" s="4">
        <v>0</v>
      </c>
      <c r="J222" s="4"/>
      <c r="K222" s="4"/>
      <c r="L222" s="4">
        <v>866345.6</v>
      </c>
    </row>
    <row r="223" spans="1:13" x14ac:dyDescent="0.25">
      <c r="A223" s="1" t="s">
        <v>163</v>
      </c>
      <c r="B223" s="2" t="s">
        <v>174</v>
      </c>
      <c r="D223" s="2" t="s">
        <v>22</v>
      </c>
      <c r="E223" s="2" t="s">
        <v>27</v>
      </c>
      <c r="F223" s="4">
        <v>1365307297.77</v>
      </c>
      <c r="G223" s="4">
        <v>-119225401.54000001</v>
      </c>
      <c r="H223" s="4"/>
      <c r="I223" s="4">
        <v>0</v>
      </c>
      <c r="J223" s="4"/>
      <c r="K223" s="4"/>
      <c r="L223" s="4"/>
    </row>
    <row r="224" spans="1:13" x14ac:dyDescent="0.25">
      <c r="A224" s="1" t="s">
        <v>163</v>
      </c>
      <c r="B224" s="2" t="s">
        <v>175</v>
      </c>
      <c r="D224" s="2" t="s">
        <v>22</v>
      </c>
      <c r="E224" s="2" t="s">
        <v>23</v>
      </c>
      <c r="F224" s="4">
        <v>393427.23</v>
      </c>
      <c r="G224" s="4">
        <v>-234560.88</v>
      </c>
      <c r="H224" s="4"/>
      <c r="I224" s="4"/>
      <c r="J224" s="4"/>
      <c r="K224" s="4"/>
      <c r="L224" s="4"/>
    </row>
    <row r="225" spans="1:13" x14ac:dyDescent="0.25">
      <c r="A225" s="1" t="s">
        <v>163</v>
      </c>
      <c r="B225" s="2" t="s">
        <v>176</v>
      </c>
      <c r="D225" s="2" t="s">
        <v>22</v>
      </c>
      <c r="E225" s="2" t="s">
        <v>23</v>
      </c>
      <c r="F225" s="4">
        <v>415053894.30000001</v>
      </c>
      <c r="G225" s="4">
        <v>-22930382.550000001</v>
      </c>
      <c r="H225" s="4"/>
      <c r="I225" s="4"/>
      <c r="J225" s="4"/>
      <c r="K225" s="4"/>
      <c r="L225" s="4"/>
    </row>
    <row r="226" spans="1:13" x14ac:dyDescent="0.25">
      <c r="A226" s="1" t="s">
        <v>184</v>
      </c>
      <c r="B226" s="2" t="s">
        <v>177</v>
      </c>
      <c r="D226" s="2" t="s">
        <v>21</v>
      </c>
      <c r="E226" s="2" t="s">
        <v>25</v>
      </c>
      <c r="F226" s="4">
        <v>-21328713.460000001</v>
      </c>
      <c r="G226" s="4">
        <v>-10469402.210000001</v>
      </c>
      <c r="H226" s="4"/>
      <c r="I226" s="4"/>
      <c r="J226" s="4"/>
      <c r="K226" s="4"/>
      <c r="L226" s="4"/>
      <c r="M226" s="31">
        <f t="shared" ref="M226:M232" si="17">I226-K226-L226</f>
        <v>0</v>
      </c>
    </row>
    <row r="227" spans="1:13" x14ac:dyDescent="0.25">
      <c r="A227" s="1" t="s">
        <v>184</v>
      </c>
      <c r="B227" s="2" t="s">
        <v>178</v>
      </c>
      <c r="D227" s="2" t="s">
        <v>21</v>
      </c>
      <c r="E227" s="2" t="s">
        <v>29</v>
      </c>
      <c r="F227" s="4">
        <v>97033909</v>
      </c>
      <c r="G227" s="4">
        <v>-58086815.270000003</v>
      </c>
      <c r="H227" s="4"/>
      <c r="I227" s="4"/>
      <c r="J227" s="4"/>
      <c r="K227" s="4"/>
      <c r="L227" s="4"/>
      <c r="M227" s="31">
        <f t="shared" si="17"/>
        <v>0</v>
      </c>
    </row>
    <row r="228" spans="1:13" x14ac:dyDescent="0.25">
      <c r="A228" s="1" t="s">
        <v>184</v>
      </c>
      <c r="B228" s="2" t="s">
        <v>179</v>
      </c>
      <c r="D228" s="2" t="s">
        <v>21</v>
      </c>
      <c r="E228" s="2" t="s">
        <v>29</v>
      </c>
      <c r="F228" s="4">
        <v>-6949520.3099999996</v>
      </c>
      <c r="G228" s="4">
        <v>-718740</v>
      </c>
      <c r="H228" s="4"/>
      <c r="I228" s="4"/>
      <c r="J228" s="4"/>
      <c r="K228" s="4"/>
      <c r="L228" s="4"/>
      <c r="M228" s="31">
        <f t="shared" si="17"/>
        <v>0</v>
      </c>
    </row>
    <row r="229" spans="1:13" x14ac:dyDescent="0.25">
      <c r="A229" s="1" t="s">
        <v>184</v>
      </c>
      <c r="B229" s="2" t="s">
        <v>180</v>
      </c>
      <c r="D229" s="2" t="s">
        <v>21</v>
      </c>
      <c r="E229" s="2" t="s">
        <v>23</v>
      </c>
      <c r="F229" s="4">
        <v>203544627</v>
      </c>
      <c r="G229" s="4">
        <v>-8653695</v>
      </c>
      <c r="H229" s="4"/>
      <c r="I229" s="4"/>
      <c r="J229" s="4"/>
      <c r="K229" s="4"/>
      <c r="L229" s="4"/>
      <c r="M229" s="31">
        <f t="shared" si="17"/>
        <v>0</v>
      </c>
    </row>
    <row r="230" spans="1:13" x14ac:dyDescent="0.25">
      <c r="A230" s="1" t="s">
        <v>184</v>
      </c>
      <c r="B230" s="2" t="s">
        <v>181</v>
      </c>
      <c r="D230" s="2" t="s">
        <v>21</v>
      </c>
      <c r="E230" s="2" t="s">
        <v>23</v>
      </c>
      <c r="F230" s="4">
        <v>12571521.460000001</v>
      </c>
      <c r="G230" s="4">
        <v>-554574.31999999995</v>
      </c>
      <c r="H230" s="4"/>
      <c r="I230" s="4"/>
      <c r="J230" s="4"/>
      <c r="K230" s="4"/>
      <c r="L230" s="4"/>
      <c r="M230" s="31">
        <f t="shared" si="17"/>
        <v>0</v>
      </c>
    </row>
    <row r="231" spans="1:13" x14ac:dyDescent="0.25">
      <c r="A231" s="1" t="s">
        <v>184</v>
      </c>
      <c r="B231" s="2" t="s">
        <v>182</v>
      </c>
      <c r="D231" s="2" t="s">
        <v>21</v>
      </c>
      <c r="E231" s="2" t="s">
        <v>29</v>
      </c>
      <c r="F231" s="4">
        <v>-2129913.09</v>
      </c>
      <c r="G231" s="4">
        <v>-16085495.65</v>
      </c>
      <c r="H231" s="4"/>
      <c r="I231" s="4"/>
      <c r="J231" s="4"/>
      <c r="K231" s="4"/>
      <c r="L231" s="4"/>
      <c r="M231" s="31">
        <f t="shared" si="17"/>
        <v>0</v>
      </c>
    </row>
    <row r="232" spans="1:13" x14ac:dyDescent="0.25">
      <c r="A232" s="1" t="s">
        <v>184</v>
      </c>
      <c r="B232" s="2" t="s">
        <v>183</v>
      </c>
      <c r="D232" s="2" t="s">
        <v>21</v>
      </c>
      <c r="E232" s="2" t="s">
        <v>23</v>
      </c>
      <c r="F232" s="4">
        <v>-641580.82999999996</v>
      </c>
      <c r="G232" s="4">
        <v>-98119.26</v>
      </c>
      <c r="H232" s="4"/>
      <c r="I232" s="4"/>
      <c r="J232" s="4"/>
      <c r="K232" s="4"/>
      <c r="L232" s="4"/>
      <c r="M232" s="31">
        <f t="shared" si="17"/>
        <v>0</v>
      </c>
    </row>
    <row r="233" spans="1:13" x14ac:dyDescent="0.25">
      <c r="A233" s="1" t="s">
        <v>184</v>
      </c>
      <c r="B233" s="2" t="s">
        <v>185</v>
      </c>
      <c r="D233" s="2" t="s">
        <v>22</v>
      </c>
      <c r="E233" s="2" t="s">
        <v>28</v>
      </c>
      <c r="F233" s="4">
        <v>53433663.579999998</v>
      </c>
      <c r="G233" s="4">
        <v>3186813.080000008</v>
      </c>
      <c r="H233" s="4"/>
      <c r="I233" s="4">
        <v>254390.34</v>
      </c>
      <c r="J233" s="4"/>
      <c r="K233" s="4"/>
      <c r="L233" s="4"/>
    </row>
    <row r="234" spans="1:13" x14ac:dyDescent="0.25">
      <c r="A234" s="1" t="s">
        <v>184</v>
      </c>
      <c r="B234" s="2" t="s">
        <v>186</v>
      </c>
      <c r="D234" s="2" t="s">
        <v>22</v>
      </c>
      <c r="E234" s="2" t="s">
        <v>27</v>
      </c>
      <c r="F234" s="4">
        <v>1381542610</v>
      </c>
      <c r="G234" s="4">
        <v>4049520</v>
      </c>
      <c r="H234" s="4"/>
      <c r="I234" s="4"/>
      <c r="J234" s="4"/>
      <c r="K234" s="4"/>
      <c r="L234" s="4">
        <v>11447648</v>
      </c>
    </row>
    <row r="235" spans="1:13" x14ac:dyDescent="0.25">
      <c r="A235" s="1" t="s">
        <v>184</v>
      </c>
      <c r="B235" s="2" t="s">
        <v>187</v>
      </c>
      <c r="D235" s="2" t="s">
        <v>22</v>
      </c>
      <c r="E235" s="2" t="s">
        <v>31</v>
      </c>
      <c r="F235" s="4">
        <v>6088642.54</v>
      </c>
      <c r="G235" s="4">
        <v>-918653.23</v>
      </c>
      <c r="H235" s="4"/>
      <c r="I235" s="4"/>
      <c r="J235" s="4"/>
      <c r="K235" s="4"/>
      <c r="L235" s="4"/>
    </row>
    <row r="236" spans="1:13" x14ac:dyDescent="0.25">
      <c r="A236" s="1" t="s">
        <v>184</v>
      </c>
      <c r="B236" s="2" t="s">
        <v>188</v>
      </c>
      <c r="D236" s="2" t="s">
        <v>22</v>
      </c>
      <c r="E236" s="2" t="s">
        <v>26</v>
      </c>
      <c r="F236" s="4">
        <v>405939983</v>
      </c>
      <c r="G236" s="4">
        <v>62539382.810000002</v>
      </c>
      <c r="H236" s="4"/>
      <c r="I236" s="4">
        <v>22623868.799999997</v>
      </c>
      <c r="J236" s="4"/>
      <c r="K236" s="4"/>
      <c r="L236" s="4"/>
    </row>
    <row r="237" spans="1:13" x14ac:dyDescent="0.25">
      <c r="A237" s="9" t="s">
        <v>189</v>
      </c>
      <c r="B237" s="2" t="s">
        <v>236</v>
      </c>
      <c r="D237" s="2" t="s">
        <v>21</v>
      </c>
      <c r="E237" s="2" t="s">
        <v>29</v>
      </c>
      <c r="F237" s="4">
        <v>219531000</v>
      </c>
      <c r="G237" s="4">
        <v>-170050000</v>
      </c>
      <c r="H237" s="4"/>
      <c r="I237" s="4">
        <v>0</v>
      </c>
      <c r="J237" s="4">
        <v>0</v>
      </c>
      <c r="K237" s="4">
        <v>166623000</v>
      </c>
      <c r="L237" s="4">
        <v>407000</v>
      </c>
      <c r="M237" s="31">
        <f t="shared" ref="M237:M242" si="18">I237-K237-L237</f>
        <v>-167030000</v>
      </c>
    </row>
    <row r="238" spans="1:13" x14ac:dyDescent="0.25">
      <c r="A238" s="9" t="s">
        <v>189</v>
      </c>
      <c r="B238" s="2" t="s">
        <v>237</v>
      </c>
      <c r="D238" s="2" t="s">
        <v>21</v>
      </c>
      <c r="E238" s="2" t="s">
        <v>29</v>
      </c>
      <c r="F238" s="4">
        <v>232781000</v>
      </c>
      <c r="G238" s="4">
        <v>-25960000</v>
      </c>
      <c r="H238" s="4"/>
      <c r="I238" s="4">
        <v>0</v>
      </c>
      <c r="J238" s="4">
        <v>0</v>
      </c>
      <c r="K238" s="4">
        <v>16758000</v>
      </c>
      <c r="L238" s="4">
        <v>0</v>
      </c>
      <c r="M238" s="31">
        <f t="shared" si="18"/>
        <v>-16758000</v>
      </c>
    </row>
    <row r="239" spans="1:13" x14ac:dyDescent="0.25">
      <c r="A239" s="9" t="s">
        <v>189</v>
      </c>
      <c r="B239" s="2" t="s">
        <v>238</v>
      </c>
      <c r="D239" s="2" t="s">
        <v>21</v>
      </c>
      <c r="E239" s="2" t="s">
        <v>29</v>
      </c>
      <c r="F239" s="4">
        <v>6732000</v>
      </c>
      <c r="G239" s="4">
        <v>1839000</v>
      </c>
      <c r="H239" s="4"/>
      <c r="I239" s="4">
        <v>0</v>
      </c>
      <c r="J239" s="4">
        <v>0</v>
      </c>
      <c r="K239" s="4">
        <v>28582000</v>
      </c>
      <c r="L239" s="4">
        <v>0</v>
      </c>
      <c r="M239" s="31">
        <f t="shared" si="18"/>
        <v>-28582000</v>
      </c>
    </row>
    <row r="240" spans="1:13" x14ac:dyDescent="0.25">
      <c r="A240" s="9" t="s">
        <v>189</v>
      </c>
      <c r="B240" s="2" t="s">
        <v>239</v>
      </c>
      <c r="D240" s="2" t="s">
        <v>21</v>
      </c>
      <c r="E240" s="2" t="s">
        <v>29</v>
      </c>
      <c r="F240" s="4">
        <v>33758000</v>
      </c>
      <c r="G240" s="4">
        <v>654000</v>
      </c>
      <c r="H240" s="4"/>
      <c r="I240" s="4">
        <v>0</v>
      </c>
      <c r="J240" s="4">
        <v>0</v>
      </c>
      <c r="K240" s="4">
        <v>40347000</v>
      </c>
      <c r="L240" s="4">
        <v>0</v>
      </c>
      <c r="M240" s="31">
        <f t="shared" si="18"/>
        <v>-40347000</v>
      </c>
    </row>
    <row r="241" spans="1:13" x14ac:dyDescent="0.25">
      <c r="A241" s="9" t="s">
        <v>189</v>
      </c>
      <c r="B241" s="2" t="s">
        <v>240</v>
      </c>
      <c r="D241" s="2" t="s">
        <v>21</v>
      </c>
      <c r="E241" s="2" t="s">
        <v>138</v>
      </c>
      <c r="F241" s="4">
        <v>113562000</v>
      </c>
      <c r="G241" s="4">
        <v>-7244000</v>
      </c>
      <c r="H241" s="4"/>
      <c r="I241" s="4">
        <v>0</v>
      </c>
      <c r="J241" s="4">
        <v>0</v>
      </c>
      <c r="K241" s="4">
        <v>89764000</v>
      </c>
      <c r="L241" s="4">
        <v>51000</v>
      </c>
      <c r="M241" s="31">
        <f t="shared" si="18"/>
        <v>-89815000</v>
      </c>
    </row>
    <row r="242" spans="1:13" x14ac:dyDescent="0.25">
      <c r="A242" s="9" t="s">
        <v>189</v>
      </c>
      <c r="B242" s="2" t="s">
        <v>241</v>
      </c>
      <c r="D242" s="2" t="s">
        <v>21</v>
      </c>
      <c r="E242" s="2" t="s">
        <v>65</v>
      </c>
      <c r="F242" s="4">
        <v>9826139000</v>
      </c>
      <c r="G242" s="4">
        <v>-547729000</v>
      </c>
      <c r="H242" s="6">
        <f>G242/F242</f>
        <v>-5.5742036622929925E-2</v>
      </c>
      <c r="I242" s="4">
        <v>0</v>
      </c>
      <c r="J242" s="4">
        <v>0</v>
      </c>
      <c r="K242" s="4">
        <v>958888000</v>
      </c>
      <c r="L242" s="4">
        <v>865656000</v>
      </c>
      <c r="M242" s="31">
        <f t="shared" si="18"/>
        <v>-1824544000</v>
      </c>
    </row>
    <row r="243" spans="1:13" x14ac:dyDescent="0.25">
      <c r="A243" s="9" t="s">
        <v>189</v>
      </c>
      <c r="B243" s="2" t="s">
        <v>242</v>
      </c>
      <c r="D243" s="2" t="s">
        <v>22</v>
      </c>
      <c r="E243" s="2" t="s">
        <v>27</v>
      </c>
      <c r="F243" s="4">
        <v>19551688000</v>
      </c>
      <c r="G243" s="4">
        <v>2835068000</v>
      </c>
      <c r="H243" s="4"/>
      <c r="I243" s="4">
        <v>353761000</v>
      </c>
      <c r="J243" s="4">
        <v>0</v>
      </c>
      <c r="K243" s="4">
        <v>0</v>
      </c>
      <c r="L243" s="4">
        <v>5000000000</v>
      </c>
    </row>
    <row r="244" spans="1:13" x14ac:dyDescent="0.25">
      <c r="A244" s="9" t="s">
        <v>189</v>
      </c>
      <c r="B244" s="2" t="s">
        <v>243</v>
      </c>
      <c r="D244" s="2" t="s">
        <v>22</v>
      </c>
      <c r="E244" s="2" t="s">
        <v>49</v>
      </c>
      <c r="F244" s="4">
        <v>564053000</v>
      </c>
      <c r="G244" s="4">
        <v>59707000</v>
      </c>
      <c r="H244" s="4"/>
      <c r="I244" s="4">
        <v>15439000</v>
      </c>
      <c r="J244" s="4">
        <v>0</v>
      </c>
      <c r="K244" s="4">
        <v>0</v>
      </c>
      <c r="L244" s="4">
        <v>10424000</v>
      </c>
    </row>
    <row r="245" spans="1:13" x14ac:dyDescent="0.25">
      <c r="A245" s="9" t="s">
        <v>189</v>
      </c>
      <c r="B245" s="2" t="s">
        <v>244</v>
      </c>
      <c r="D245" s="2" t="s">
        <v>22</v>
      </c>
      <c r="E245" s="2" t="s">
        <v>29</v>
      </c>
      <c r="F245" s="4">
        <v>162454000</v>
      </c>
      <c r="G245" s="4">
        <v>6341000</v>
      </c>
      <c r="H245" s="4"/>
      <c r="I245" s="4">
        <v>1428000</v>
      </c>
      <c r="J245" s="4">
        <v>0</v>
      </c>
      <c r="K245" s="4">
        <v>0</v>
      </c>
      <c r="L245" s="4">
        <v>0</v>
      </c>
    </row>
    <row r="246" spans="1:13" x14ac:dyDescent="0.25">
      <c r="A246" s="9" t="s">
        <v>189</v>
      </c>
      <c r="B246" s="2" t="s">
        <v>245</v>
      </c>
      <c r="D246" s="2" t="s">
        <v>22</v>
      </c>
      <c r="E246" s="2" t="s">
        <v>65</v>
      </c>
      <c r="F246" s="4">
        <v>32291500000</v>
      </c>
      <c r="G246" s="4">
        <v>-519184000</v>
      </c>
      <c r="H246" s="6">
        <f>G246/F246</f>
        <v>-1.6078039112459936E-2</v>
      </c>
      <c r="I246" s="4">
        <v>0</v>
      </c>
      <c r="J246" s="4">
        <v>0</v>
      </c>
      <c r="K246" s="4">
        <v>0</v>
      </c>
      <c r="L246" s="4">
        <v>2055429000</v>
      </c>
    </row>
    <row r="247" spans="1:13" x14ac:dyDescent="0.25">
      <c r="A247" s="9" t="s">
        <v>189</v>
      </c>
      <c r="B247" s="2" t="s">
        <v>246</v>
      </c>
      <c r="D247" s="2" t="s">
        <v>22</v>
      </c>
      <c r="E247" s="2" t="s">
        <v>26</v>
      </c>
      <c r="F247" s="4">
        <v>1060213000</v>
      </c>
      <c r="G247" s="4">
        <v>14736000</v>
      </c>
      <c r="H247" s="4"/>
      <c r="I247" s="4">
        <v>5748000</v>
      </c>
      <c r="J247" s="4">
        <v>0</v>
      </c>
      <c r="K247" s="4">
        <v>0</v>
      </c>
      <c r="L247" s="4">
        <v>0</v>
      </c>
    </row>
    <row r="248" spans="1:13" x14ac:dyDescent="0.25">
      <c r="A248" s="9" t="s">
        <v>189</v>
      </c>
      <c r="B248" s="2" t="s">
        <v>247</v>
      </c>
      <c r="D248" s="2" t="s">
        <v>22</v>
      </c>
      <c r="E248" s="2" t="s">
        <v>65</v>
      </c>
      <c r="F248" s="4">
        <v>2155763000</v>
      </c>
      <c r="G248" s="4">
        <v>-23642000</v>
      </c>
      <c r="H248" s="6">
        <f>G248/F248</f>
        <v>-1.0966882723193598E-2</v>
      </c>
      <c r="I248" s="4">
        <v>0</v>
      </c>
      <c r="J248" s="4">
        <v>0</v>
      </c>
      <c r="K248" s="4">
        <v>0</v>
      </c>
      <c r="L248" s="4">
        <v>347000000</v>
      </c>
    </row>
    <row r="249" spans="1:13" x14ac:dyDescent="0.25">
      <c r="A249" s="9" t="s">
        <v>189</v>
      </c>
      <c r="B249" s="2" t="s">
        <v>247</v>
      </c>
      <c r="D249" s="2" t="s">
        <v>22</v>
      </c>
      <c r="E249" s="2" t="s">
        <v>65</v>
      </c>
      <c r="F249" s="4">
        <v>0</v>
      </c>
      <c r="G249" s="4">
        <v>0</v>
      </c>
      <c r="H249" s="4"/>
      <c r="I249" s="4">
        <v>0</v>
      </c>
      <c r="J249" s="4">
        <v>0</v>
      </c>
      <c r="K249" s="4">
        <v>0</v>
      </c>
      <c r="L249" s="4">
        <v>186488000</v>
      </c>
    </row>
    <row r="250" spans="1:13" x14ac:dyDescent="0.25">
      <c r="A250" s="9" t="s">
        <v>189</v>
      </c>
      <c r="B250" s="2" t="s">
        <v>248</v>
      </c>
      <c r="D250" s="2" t="s">
        <v>22</v>
      </c>
      <c r="E250" s="2" t="s">
        <v>66</v>
      </c>
      <c r="F250" s="4">
        <v>868855000</v>
      </c>
      <c r="G250" s="4">
        <v>101517000</v>
      </c>
      <c r="H250" s="4"/>
      <c r="I250" s="4">
        <v>0</v>
      </c>
      <c r="J250" s="4">
        <v>0</v>
      </c>
      <c r="K250" s="4">
        <v>0</v>
      </c>
      <c r="L250" s="4">
        <v>0</v>
      </c>
    </row>
    <row r="251" spans="1:13" x14ac:dyDescent="0.25">
      <c r="A251" s="9" t="s">
        <v>189</v>
      </c>
      <c r="B251" s="2" t="s">
        <v>249</v>
      </c>
      <c r="D251" s="2" t="s">
        <v>22</v>
      </c>
      <c r="E251" s="2" t="s">
        <v>48</v>
      </c>
      <c r="F251" s="4">
        <v>9628440000</v>
      </c>
      <c r="G251" s="4">
        <v>311720000</v>
      </c>
      <c r="H251" s="4"/>
      <c r="I251" s="4">
        <v>0</v>
      </c>
      <c r="J251" s="4">
        <v>0</v>
      </c>
      <c r="K251" s="4">
        <v>0</v>
      </c>
      <c r="L251" s="4">
        <v>611250000</v>
      </c>
    </row>
    <row r="252" spans="1:13" x14ac:dyDescent="0.25">
      <c r="A252" s="9" t="s">
        <v>189</v>
      </c>
      <c r="B252" s="2" t="s">
        <v>250</v>
      </c>
      <c r="D252" s="2" t="s">
        <v>22</v>
      </c>
      <c r="E252" s="2" t="s">
        <v>29</v>
      </c>
      <c r="F252" s="4">
        <v>67021000</v>
      </c>
      <c r="G252" s="4">
        <v>-13154000</v>
      </c>
      <c r="H252" s="4"/>
      <c r="I252" s="4">
        <v>0</v>
      </c>
      <c r="J252" s="4">
        <v>0</v>
      </c>
      <c r="K252" s="4">
        <v>0</v>
      </c>
      <c r="L252" s="4">
        <v>0</v>
      </c>
    </row>
    <row r="253" spans="1:13" x14ac:dyDescent="0.25">
      <c r="A253" s="9" t="s">
        <v>189</v>
      </c>
      <c r="B253" s="2" t="s">
        <v>251</v>
      </c>
      <c r="D253" s="2" t="s">
        <v>22</v>
      </c>
      <c r="E253" s="2" t="s">
        <v>29</v>
      </c>
      <c r="F253" s="4">
        <v>383299000</v>
      </c>
      <c r="G253" s="4">
        <v>59811000</v>
      </c>
      <c r="H253" s="4"/>
      <c r="I253" s="4">
        <v>10656000</v>
      </c>
      <c r="J253" s="4">
        <v>0</v>
      </c>
      <c r="K253" s="4">
        <v>0</v>
      </c>
      <c r="L253" s="4">
        <v>8137000</v>
      </c>
    </row>
    <row r="254" spans="1:13" x14ac:dyDescent="0.25">
      <c r="A254" s="9" t="s">
        <v>189</v>
      </c>
      <c r="B254" s="2" t="s">
        <v>252</v>
      </c>
      <c r="D254" s="2" t="s">
        <v>22</v>
      </c>
      <c r="E254" s="2" t="s">
        <v>29</v>
      </c>
      <c r="F254" s="4">
        <v>1753058000</v>
      </c>
      <c r="G254" s="4">
        <v>112269000</v>
      </c>
      <c r="H254" s="4"/>
      <c r="I254" s="4">
        <v>31464000</v>
      </c>
      <c r="J254" s="4">
        <v>0</v>
      </c>
      <c r="K254" s="4">
        <v>0</v>
      </c>
      <c r="L254" s="4">
        <v>65128000</v>
      </c>
    </row>
    <row r="255" spans="1:13" x14ac:dyDescent="0.25">
      <c r="A255" s="9" t="s">
        <v>189</v>
      </c>
      <c r="B255" s="2" t="s">
        <v>253</v>
      </c>
      <c r="D255" s="2" t="s">
        <v>22</v>
      </c>
      <c r="E255" s="2" t="s">
        <v>31</v>
      </c>
      <c r="F255" s="4">
        <v>296449000</v>
      </c>
      <c r="G255" s="4">
        <v>61247000</v>
      </c>
      <c r="H255" s="4"/>
      <c r="I255" s="4">
        <v>69429000</v>
      </c>
      <c r="J255" s="4">
        <v>0</v>
      </c>
      <c r="K255" s="4">
        <v>0</v>
      </c>
      <c r="L255" s="4">
        <v>0</v>
      </c>
    </row>
    <row r="256" spans="1:13" x14ac:dyDescent="0.25">
      <c r="A256" s="9" t="s">
        <v>189</v>
      </c>
      <c r="B256" s="2" t="s">
        <v>254</v>
      </c>
      <c r="D256" s="2" t="s">
        <v>22</v>
      </c>
      <c r="E256" s="2" t="s">
        <v>29</v>
      </c>
      <c r="F256" s="4">
        <v>1463345000</v>
      </c>
      <c r="G256" s="4">
        <v>29331000</v>
      </c>
      <c r="H256" s="4"/>
      <c r="I256" s="4">
        <v>0</v>
      </c>
      <c r="J256" s="4">
        <v>0</v>
      </c>
      <c r="K256" s="4">
        <v>0</v>
      </c>
      <c r="L256" s="4">
        <v>65822000</v>
      </c>
    </row>
    <row r="257" spans="1:13" x14ac:dyDescent="0.25">
      <c r="A257" s="1" t="s">
        <v>193</v>
      </c>
      <c r="B257" s="2" t="s">
        <v>190</v>
      </c>
      <c r="D257" s="2" t="s">
        <v>22</v>
      </c>
      <c r="E257" s="2" t="s">
        <v>29</v>
      </c>
      <c r="F257" s="4">
        <v>17000210.629999999</v>
      </c>
      <c r="G257" s="4">
        <v>-2971679.58</v>
      </c>
      <c r="H257" s="4"/>
      <c r="I257" s="4"/>
      <c r="J257" s="4"/>
      <c r="K257" s="4"/>
      <c r="L257" s="4"/>
    </row>
    <row r="258" spans="1:13" x14ac:dyDescent="0.25">
      <c r="A258" s="1" t="s">
        <v>193</v>
      </c>
      <c r="B258" s="2" t="s">
        <v>191</v>
      </c>
      <c r="D258" s="2" t="s">
        <v>22</v>
      </c>
      <c r="E258" s="2" t="s">
        <v>29</v>
      </c>
      <c r="F258" s="4">
        <v>42141024.75</v>
      </c>
      <c r="G258" s="4">
        <v>490802.29</v>
      </c>
      <c r="H258" s="4"/>
      <c r="I258" s="4"/>
      <c r="J258" s="4"/>
      <c r="K258" s="4"/>
      <c r="L258" s="4"/>
    </row>
    <row r="259" spans="1:13" x14ac:dyDescent="0.25">
      <c r="A259" s="1" t="s">
        <v>193</v>
      </c>
      <c r="B259" s="2" t="s">
        <v>192</v>
      </c>
      <c r="D259" s="2" t="s">
        <v>22</v>
      </c>
      <c r="E259" s="2" t="s">
        <v>29</v>
      </c>
      <c r="F259" s="4">
        <v>1191066.3999999999</v>
      </c>
      <c r="G259" s="4">
        <v>-93687.43</v>
      </c>
      <c r="H259" s="4"/>
      <c r="I259" s="4"/>
      <c r="J259" s="4"/>
      <c r="K259" s="4"/>
      <c r="L259" s="4">
        <v>185000</v>
      </c>
    </row>
    <row r="260" spans="1:13" x14ac:dyDescent="0.25">
      <c r="F260" s="4"/>
      <c r="G260" s="4"/>
      <c r="H260" s="4"/>
      <c r="I260" s="31"/>
      <c r="J260" s="31"/>
      <c r="K260" s="31"/>
      <c r="L260" s="31"/>
      <c r="M260" s="31"/>
    </row>
    <row r="261" spans="1:13" x14ac:dyDescent="0.25">
      <c r="I261" s="3" t="s">
        <v>11</v>
      </c>
      <c r="J261" s="3" t="s">
        <v>5</v>
      </c>
      <c r="K261" s="3" t="s">
        <v>6</v>
      </c>
      <c r="L261" s="3" t="s">
        <v>7</v>
      </c>
    </row>
  </sheetData>
  <conditionalFormatting sqref="B1:C1048576">
    <cfRule type="containsText" dxfId="4" priority="5" operator="containsText" text="Não tem Quadro">
      <formula>NOT(ISERROR(SEARCH("Não tem Quadro",B1)))</formula>
    </cfRule>
  </conditionalFormatting>
  <conditionalFormatting sqref="B185:C185">
    <cfRule type="containsText" dxfId="3" priority="4" operator="containsText" text="Não tem Quadro">
      <formula>NOT(ISERROR(SEARCH("Não tem Quadro",B185)))</formula>
    </cfRule>
  </conditionalFormatting>
  <conditionalFormatting sqref="B7:B223">
    <cfRule type="containsText" dxfId="1" priority="3" operator="containsText" text="água">
      <formula>NOT(ISERROR(SEARCH("água",B7)))</formula>
    </cfRule>
    <cfRule type="containsText" dxfId="2" priority="2" operator="containsText" text="Esgoto">
      <formula>NOT(ISERROR(SEARCH("Esgoto",B7)))</formula>
    </cfRule>
    <cfRule type="containsText" dxfId="0" priority="1" operator="containsText" text="SANEAMENTO">
      <formula>NOT(ISERROR(SEARCH("SANEAMENTO",B7)))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7" t="s">
        <v>364</v>
      </c>
    </row>
    <row r="2" spans="1:7" ht="15.75" thickBot="1" x14ac:dyDescent="0.3">
      <c r="B2" s="22" t="s">
        <v>350</v>
      </c>
      <c r="C2" s="24" t="s">
        <v>351</v>
      </c>
      <c r="D2" s="19" t="s">
        <v>28</v>
      </c>
      <c r="E2" s="19">
        <f>1000*9800029</f>
        <v>9800029000</v>
      </c>
      <c r="F2" s="19">
        <f>1000*72851</f>
        <v>72851000</v>
      </c>
      <c r="G2" s="28">
        <f>F2/E2</f>
        <v>7.4337535123620551E-3</v>
      </c>
    </row>
    <row r="3" spans="1:7" ht="15.75" thickBot="1" x14ac:dyDescent="0.3">
      <c r="B3" s="25" t="s">
        <v>352</v>
      </c>
      <c r="C3" s="24" t="s">
        <v>353</v>
      </c>
      <c r="D3" s="19" t="s">
        <v>28</v>
      </c>
      <c r="E3" s="19">
        <f>1000*283543000</f>
        <v>283543000000</v>
      </c>
      <c r="F3" s="19">
        <f>1000*7125000</f>
        <v>7125000000</v>
      </c>
      <c r="G3" s="28">
        <f t="shared" ref="G3:G21" si="0">F3/E3</f>
        <v>2.5128463760346754E-2</v>
      </c>
    </row>
    <row r="4" spans="1:7" ht="30.75" thickBot="1" x14ac:dyDescent="0.3">
      <c r="B4" s="25" t="s">
        <v>356</v>
      </c>
      <c r="C4" s="24" t="s">
        <v>357</v>
      </c>
      <c r="D4" s="19" t="s">
        <v>28</v>
      </c>
      <c r="E4" s="19">
        <f>1000*9686000</f>
        <v>9686000000</v>
      </c>
      <c r="F4" s="19">
        <f>247000*1000</f>
        <v>247000000</v>
      </c>
      <c r="G4" s="28">
        <f t="shared" si="0"/>
        <v>2.5500722692545944E-2</v>
      </c>
    </row>
    <row r="5" spans="1:7" x14ac:dyDescent="0.25">
      <c r="B5" s="22" t="s">
        <v>358</v>
      </c>
      <c r="C5" s="24" t="s">
        <v>359</v>
      </c>
      <c r="D5" s="19" t="s">
        <v>28</v>
      </c>
      <c r="E5" s="19">
        <f>10923133*1000</f>
        <v>10923133000</v>
      </c>
      <c r="F5" s="19">
        <f>1000*377714</f>
        <v>377714000</v>
      </c>
      <c r="G5" s="28">
        <f t="shared" si="0"/>
        <v>3.4579273181055289E-2</v>
      </c>
    </row>
    <row r="6" spans="1:7" ht="15.75" thickBot="1" x14ac:dyDescent="0.3">
      <c r="B6" s="22" t="s">
        <v>360</v>
      </c>
      <c r="C6" s="24" t="s">
        <v>361</v>
      </c>
      <c r="D6" s="19" t="s">
        <v>28</v>
      </c>
      <c r="E6" s="19">
        <f>1000*-376350</f>
        <v>-376350000</v>
      </c>
      <c r="F6" s="19">
        <f>1000*64069</f>
        <v>64069000</v>
      </c>
      <c r="G6" s="28">
        <f t="shared" si="0"/>
        <v>-0.17023781054869139</v>
      </c>
    </row>
    <row r="7" spans="1:7" ht="30.75" thickBot="1" x14ac:dyDescent="0.3">
      <c r="B7" s="25" t="s">
        <v>362</v>
      </c>
      <c r="C7" s="24" t="s">
        <v>363</v>
      </c>
      <c r="D7" s="19" t="s">
        <v>28</v>
      </c>
      <c r="E7" s="19">
        <f>1000*3199587</f>
        <v>3199587000</v>
      </c>
      <c r="F7" s="19">
        <f>1000*159084</f>
        <v>159084000</v>
      </c>
      <c r="G7" s="28">
        <f t="shared" si="0"/>
        <v>4.9720167009054607E-2</v>
      </c>
    </row>
    <row r="8" spans="1:7" x14ac:dyDescent="0.25">
      <c r="B8" s="22" t="s">
        <v>365</v>
      </c>
      <c r="C8" s="24" t="s">
        <v>366</v>
      </c>
      <c r="D8" s="19" t="s">
        <v>28</v>
      </c>
      <c r="E8" s="19">
        <f>1000*1006596</f>
        <v>1006596000</v>
      </c>
      <c r="F8" s="19">
        <f>1000*2694</f>
        <v>2694000</v>
      </c>
      <c r="G8" s="28">
        <f t="shared" si="0"/>
        <v>2.6763468163990322E-3</v>
      </c>
    </row>
    <row r="9" spans="1:7" x14ac:dyDescent="0.25">
      <c r="B9" s="22" t="s">
        <v>367</v>
      </c>
      <c r="C9" s="24" t="s">
        <v>368</v>
      </c>
      <c r="D9" s="19" t="s">
        <v>28</v>
      </c>
      <c r="E9" s="19">
        <f>1293337*1000</f>
        <v>1293337000</v>
      </c>
      <c r="F9" s="19">
        <f>1000*50415</f>
        <v>50415000</v>
      </c>
      <c r="G9" s="28">
        <f t="shared" si="0"/>
        <v>3.8980559591197034E-2</v>
      </c>
    </row>
    <row r="10" spans="1:7" x14ac:dyDescent="0.25">
      <c r="B10" s="22" t="s">
        <v>369</v>
      </c>
      <c r="C10" s="24" t="s">
        <v>370</v>
      </c>
      <c r="D10" s="19" t="s">
        <v>28</v>
      </c>
      <c r="E10" s="19">
        <f>2721324*1000</f>
        <v>2721324000</v>
      </c>
      <c r="F10" s="19">
        <f>179093*1000</f>
        <v>179093000</v>
      </c>
      <c r="G10" s="28">
        <f t="shared" si="0"/>
        <v>6.5810980243440328E-2</v>
      </c>
    </row>
    <row r="11" spans="1:7" x14ac:dyDescent="0.25">
      <c r="B11" s="22" t="s">
        <v>371</v>
      </c>
      <c r="C11" s="24" t="s">
        <v>372</v>
      </c>
      <c r="D11" s="19" t="s">
        <v>27</v>
      </c>
      <c r="E11" s="19">
        <f>1246082*1000</f>
        <v>1246082000</v>
      </c>
      <c r="F11" s="19">
        <f>1000*-29533</f>
        <v>-29533000</v>
      </c>
      <c r="G11" s="28">
        <f t="shared" si="0"/>
        <v>-2.3700687434695309E-2</v>
      </c>
    </row>
    <row r="12" spans="1:7" x14ac:dyDescent="0.25">
      <c r="B12" s="22" t="s">
        <v>373</v>
      </c>
      <c r="C12" s="24" t="s">
        <v>374</v>
      </c>
      <c r="D12" s="19" t="s">
        <v>27</v>
      </c>
      <c r="E12" s="19">
        <f>19551688*1000</f>
        <v>19551688000</v>
      </c>
      <c r="F12" s="19">
        <f>1000*580431</f>
        <v>580431000</v>
      </c>
      <c r="G12" s="28">
        <f t="shared" si="0"/>
        <v>2.968700196116059E-2</v>
      </c>
    </row>
    <row r="13" spans="1:7" x14ac:dyDescent="0.25">
      <c r="B13" s="22" t="s">
        <v>375</v>
      </c>
      <c r="C13" s="24" t="s">
        <v>376</v>
      </c>
      <c r="D13" s="19" t="s">
        <v>27</v>
      </c>
      <c r="E13" s="19">
        <f>1000*6226633</f>
        <v>6226633000</v>
      </c>
      <c r="F13" s="19">
        <f>1000*164233</f>
        <v>164233000</v>
      </c>
      <c r="G13" s="28">
        <f t="shared" si="0"/>
        <v>2.6375892075219464E-2</v>
      </c>
    </row>
    <row r="14" spans="1:7" x14ac:dyDescent="0.25">
      <c r="B14" s="22" t="s">
        <v>377</v>
      </c>
      <c r="C14" s="26" t="s">
        <v>378</v>
      </c>
      <c r="D14" s="19" t="s">
        <v>27</v>
      </c>
      <c r="E14" s="19">
        <f>5717188*1000</f>
        <v>5717188000</v>
      </c>
      <c r="F14" s="19">
        <f>186911*1000</f>
        <v>186911000</v>
      </c>
      <c r="G14" s="28">
        <f t="shared" si="0"/>
        <v>3.2692820316561219E-2</v>
      </c>
    </row>
    <row r="15" spans="1:7" x14ac:dyDescent="0.25">
      <c r="B15" s="22" t="s">
        <v>379</v>
      </c>
      <c r="C15" s="24" t="s">
        <v>380</v>
      </c>
      <c r="D15" s="19" t="s">
        <v>27</v>
      </c>
      <c r="E15" s="19">
        <f>646262*1000</f>
        <v>646262000</v>
      </c>
      <c r="F15" s="19">
        <f>8335*1000</f>
        <v>8335000</v>
      </c>
      <c r="G15" s="28">
        <f t="shared" si="0"/>
        <v>1.2897246008584754E-2</v>
      </c>
    </row>
    <row r="16" spans="1:7" x14ac:dyDescent="0.25">
      <c r="B16" s="22" t="s">
        <v>381</v>
      </c>
      <c r="C16" s="23" t="s">
        <v>382</v>
      </c>
      <c r="D16" s="19" t="s">
        <v>383</v>
      </c>
      <c r="E16" s="19">
        <f>1523474*1000</f>
        <v>1523474000</v>
      </c>
      <c r="F16" s="19">
        <f>54758*1000</f>
        <v>54758000</v>
      </c>
      <c r="G16" s="28">
        <f t="shared" si="0"/>
        <v>3.594285166665135E-2</v>
      </c>
    </row>
    <row r="17" spans="2:7" x14ac:dyDescent="0.25">
      <c r="B17" s="22" t="s">
        <v>384</v>
      </c>
      <c r="C17" s="23" t="s">
        <v>385</v>
      </c>
      <c r="D17" s="19" t="s">
        <v>383</v>
      </c>
      <c r="E17" s="19">
        <f>6261709*1000</f>
        <v>6261709000</v>
      </c>
      <c r="F17" s="19">
        <f>129429*1000</f>
        <v>129429000</v>
      </c>
      <c r="G17" s="28">
        <f t="shared" si="0"/>
        <v>2.0669916152283665E-2</v>
      </c>
    </row>
    <row r="18" spans="2:7" ht="15.75" thickBot="1" x14ac:dyDescent="0.3">
      <c r="B18" s="22" t="s">
        <v>386</v>
      </c>
      <c r="C18" s="24" t="s">
        <v>387</v>
      </c>
      <c r="D18" s="19" t="s">
        <v>390</v>
      </c>
      <c r="E18" s="19">
        <f>1248499*1000</f>
        <v>1248499000</v>
      </c>
      <c r="F18" s="19">
        <f>25091*1000</f>
        <v>25091000</v>
      </c>
      <c r="G18" s="28">
        <f t="shared" si="0"/>
        <v>2.0096932396421623E-2</v>
      </c>
    </row>
    <row r="19" spans="2:7" ht="15.75" thickBot="1" x14ac:dyDescent="0.3">
      <c r="B19" s="25" t="s">
        <v>389</v>
      </c>
      <c r="C19" s="24" t="s">
        <v>388</v>
      </c>
      <c r="D19" s="19" t="s">
        <v>390</v>
      </c>
      <c r="E19" s="19">
        <f>48437*1000</f>
        <v>48437000</v>
      </c>
      <c r="F19" s="19">
        <f>13996*1000</f>
        <v>13996000</v>
      </c>
      <c r="G19" s="28">
        <f t="shared" si="0"/>
        <v>0.28895266015649196</v>
      </c>
    </row>
    <row r="20" spans="2:7" ht="15.75" thickBot="1" x14ac:dyDescent="0.3">
      <c r="B20" s="22" t="s">
        <v>391</v>
      </c>
      <c r="C20" s="23" t="s">
        <v>392</v>
      </c>
      <c r="D20" s="19" t="s">
        <v>390</v>
      </c>
      <c r="E20" s="19">
        <f>105113*1000</f>
        <v>105113000</v>
      </c>
      <c r="F20" s="19">
        <f>-(600)*1000</f>
        <v>-600000</v>
      </c>
      <c r="G20" s="28">
        <f t="shared" si="0"/>
        <v>-5.7081426655123529E-3</v>
      </c>
    </row>
    <row r="21" spans="2:7" ht="15.75" thickBot="1" x14ac:dyDescent="0.3">
      <c r="B21" s="25" t="s">
        <v>394</v>
      </c>
      <c r="C21" s="24" t="s">
        <v>393</v>
      </c>
      <c r="D21" s="19" t="s">
        <v>390</v>
      </c>
      <c r="E21" s="19">
        <f>-354627*1000</f>
        <v>-354627000</v>
      </c>
      <c r="F21" s="19">
        <v>41772</v>
      </c>
      <c r="G21" s="28">
        <f t="shared" si="0"/>
        <v>-1.1779136952347115E-4</v>
      </c>
    </row>
  </sheetData>
  <conditionalFormatting sqref="B1:C1">
    <cfRule type="containsText" dxfId="1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5" t="s">
        <v>400</v>
      </c>
      <c r="B3" s="15" t="s">
        <v>413</v>
      </c>
    </row>
    <row r="4" spans="1:5" x14ac:dyDescent="0.25">
      <c r="A4" s="15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6" t="s">
        <v>29</v>
      </c>
      <c r="B5" s="17">
        <v>24</v>
      </c>
      <c r="C5" s="17">
        <v>22</v>
      </c>
      <c r="D5" s="17">
        <v>2</v>
      </c>
      <c r="E5" s="17">
        <v>48</v>
      </c>
    </row>
    <row r="6" spans="1:5" x14ac:dyDescent="0.25">
      <c r="A6" s="16" t="s">
        <v>23</v>
      </c>
      <c r="B6" s="17">
        <v>13</v>
      </c>
      <c r="C6" s="17">
        <v>14</v>
      </c>
      <c r="D6" s="17">
        <v>3</v>
      </c>
      <c r="E6" s="17">
        <v>30</v>
      </c>
    </row>
    <row r="7" spans="1:5" x14ac:dyDescent="0.25">
      <c r="A7" s="16" t="s">
        <v>27</v>
      </c>
      <c r="B7" s="17">
        <v>6</v>
      </c>
      <c r="C7" s="17">
        <v>19</v>
      </c>
      <c r="D7" s="17">
        <v>3</v>
      </c>
      <c r="E7" s="17">
        <v>28</v>
      </c>
    </row>
    <row r="8" spans="1:5" x14ac:dyDescent="0.25">
      <c r="A8" s="16" t="s">
        <v>26</v>
      </c>
      <c r="B8" s="17">
        <v>2</v>
      </c>
      <c r="C8" s="17">
        <v>18</v>
      </c>
      <c r="D8" s="17"/>
      <c r="E8" s="17">
        <v>20</v>
      </c>
    </row>
    <row r="9" spans="1:5" x14ac:dyDescent="0.25">
      <c r="A9" s="16" t="s">
        <v>47</v>
      </c>
      <c r="B9" s="17">
        <v>10</v>
      </c>
      <c r="C9" s="17">
        <v>8</v>
      </c>
      <c r="D9" s="17"/>
      <c r="E9" s="17">
        <v>18</v>
      </c>
    </row>
    <row r="10" spans="1:5" x14ac:dyDescent="0.25">
      <c r="A10" s="16" t="s">
        <v>65</v>
      </c>
      <c r="B10" s="17">
        <v>7</v>
      </c>
      <c r="C10" s="17">
        <v>9</v>
      </c>
      <c r="D10" s="17">
        <v>1</v>
      </c>
      <c r="E10" s="17">
        <v>17</v>
      </c>
    </row>
    <row r="11" spans="1:5" x14ac:dyDescent="0.25">
      <c r="A11" s="16" t="s">
        <v>28</v>
      </c>
      <c r="B11" s="17">
        <v>4</v>
      </c>
      <c r="C11" s="17">
        <v>11</v>
      </c>
      <c r="D11" s="17">
        <v>1</v>
      </c>
      <c r="E11" s="17">
        <v>16</v>
      </c>
    </row>
    <row r="12" spans="1:5" x14ac:dyDescent="0.25">
      <c r="A12" s="16" t="s">
        <v>66</v>
      </c>
      <c r="B12" s="17"/>
      <c r="C12" s="17">
        <v>12</v>
      </c>
      <c r="D12" s="17">
        <v>2</v>
      </c>
      <c r="E12" s="17">
        <v>14</v>
      </c>
    </row>
    <row r="13" spans="1:5" x14ac:dyDescent="0.25">
      <c r="A13" s="16" t="s">
        <v>49</v>
      </c>
      <c r="B13" s="17">
        <v>5</v>
      </c>
      <c r="C13" s="17">
        <v>8</v>
      </c>
      <c r="D13" s="17"/>
      <c r="E13" s="17">
        <v>13</v>
      </c>
    </row>
    <row r="14" spans="1:5" x14ac:dyDescent="0.25">
      <c r="A14" s="16" t="s">
        <v>24</v>
      </c>
      <c r="B14" s="17">
        <v>9</v>
      </c>
      <c r="C14" s="17">
        <v>2</v>
      </c>
      <c r="D14" s="17">
        <v>1</v>
      </c>
      <c r="E14" s="17">
        <v>12</v>
      </c>
    </row>
    <row r="15" spans="1:5" x14ac:dyDescent="0.25">
      <c r="A15" s="16" t="s">
        <v>25</v>
      </c>
      <c r="B15" s="17">
        <v>9</v>
      </c>
      <c r="C15" s="17"/>
      <c r="D15" s="17"/>
      <c r="E15" s="17">
        <v>9</v>
      </c>
    </row>
    <row r="16" spans="1:5" x14ac:dyDescent="0.25">
      <c r="A16" s="16" t="s">
        <v>48</v>
      </c>
      <c r="B16" s="17">
        <v>4</v>
      </c>
      <c r="C16" s="17">
        <v>4</v>
      </c>
      <c r="D16" s="17"/>
      <c r="E16" s="17">
        <v>8</v>
      </c>
    </row>
    <row r="17" spans="1:5" x14ac:dyDescent="0.25">
      <c r="A17" s="16" t="s">
        <v>30</v>
      </c>
      <c r="B17" s="17">
        <v>2</v>
      </c>
      <c r="C17" s="17">
        <v>6</v>
      </c>
      <c r="D17" s="17"/>
      <c r="E17" s="17">
        <v>8</v>
      </c>
    </row>
    <row r="18" spans="1:5" x14ac:dyDescent="0.25">
      <c r="A18" s="16" t="s">
        <v>138</v>
      </c>
      <c r="B18" s="17">
        <v>5</v>
      </c>
      <c r="C18" s="17">
        <v>1</v>
      </c>
      <c r="D18" s="17"/>
      <c r="E18" s="17">
        <v>6</v>
      </c>
    </row>
    <row r="19" spans="1:5" x14ac:dyDescent="0.25">
      <c r="A19" s="16" t="s">
        <v>31</v>
      </c>
      <c r="B19" s="17">
        <v>3</v>
      </c>
      <c r="C19" s="17">
        <v>3</v>
      </c>
      <c r="D19" s="17"/>
      <c r="E19" s="17">
        <v>6</v>
      </c>
    </row>
    <row r="20" spans="1:5" x14ac:dyDescent="0.25">
      <c r="A20" s="16" t="s">
        <v>275</v>
      </c>
      <c r="B20" s="17">
        <v>1</v>
      </c>
      <c r="C20" s="17"/>
      <c r="D20" s="17"/>
      <c r="E20" s="17">
        <v>1</v>
      </c>
    </row>
    <row r="21" spans="1:5" x14ac:dyDescent="0.25">
      <c r="A21" s="16" t="s">
        <v>98</v>
      </c>
      <c r="B21" s="17">
        <v>1</v>
      </c>
      <c r="C21" s="17"/>
      <c r="D21" s="17"/>
      <c r="E21" s="17">
        <v>1</v>
      </c>
    </row>
    <row r="22" spans="1:5" x14ac:dyDescent="0.25">
      <c r="A22" s="16" t="s">
        <v>401</v>
      </c>
      <c r="B22" s="17">
        <v>1</v>
      </c>
      <c r="C22" s="17"/>
      <c r="D22" s="17"/>
      <c r="E22" s="17">
        <v>1</v>
      </c>
    </row>
    <row r="23" spans="1:5" x14ac:dyDescent="0.25">
      <c r="A23" s="16" t="s">
        <v>223</v>
      </c>
      <c r="B23" s="17"/>
      <c r="C23" s="17">
        <v>1</v>
      </c>
      <c r="D23" s="17"/>
      <c r="E23" s="17">
        <v>1</v>
      </c>
    </row>
    <row r="24" spans="1:5" x14ac:dyDescent="0.25">
      <c r="A24" s="16" t="s">
        <v>402</v>
      </c>
      <c r="B24" s="17"/>
      <c r="C24" s="17"/>
      <c r="D24" s="17">
        <v>1</v>
      </c>
      <c r="E24" s="17">
        <v>1</v>
      </c>
    </row>
    <row r="25" spans="1:5" x14ac:dyDescent="0.25">
      <c r="A25" s="16" t="s">
        <v>297</v>
      </c>
      <c r="B25" s="17">
        <v>106</v>
      </c>
      <c r="C25" s="17">
        <v>138</v>
      </c>
      <c r="D25" s="17">
        <v>14</v>
      </c>
      <c r="E25" s="17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>
    <tabColor rgb="FF440154"/>
  </sheetPr>
  <dimension ref="A1:D56"/>
  <sheetViews>
    <sheetView showGridLines="0" tabSelected="1" workbookViewId="0">
      <selection activeCell="D25" sqref="D25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32"/>
      <c r="C2" s="32">
        <v>18573932.599999998</v>
      </c>
      <c r="D2" s="32"/>
      <c r="E2" s="32">
        <f>B2-C2-D2</f>
        <v>-18573932.599999998</v>
      </c>
    </row>
    <row r="3" spans="1:5" x14ac:dyDescent="0.25">
      <c r="A3" t="s">
        <v>13</v>
      </c>
      <c r="B3" s="32"/>
      <c r="C3" s="32"/>
      <c r="D3" s="32"/>
      <c r="E3" s="32">
        <f t="shared" ref="E3:E29" si="0">B3-C3-D3</f>
        <v>0</v>
      </c>
    </row>
    <row r="4" spans="1:5" x14ac:dyDescent="0.25">
      <c r="A4" t="s">
        <v>262</v>
      </c>
      <c r="B4" s="32">
        <v>12325387.83</v>
      </c>
      <c r="C4" s="32">
        <v>263990806.00999999</v>
      </c>
      <c r="D4" s="32">
        <v>600000</v>
      </c>
      <c r="E4" s="32">
        <f t="shared" si="0"/>
        <v>-252265418.17999998</v>
      </c>
    </row>
    <row r="5" spans="1:5" x14ac:dyDescent="0.25">
      <c r="A5" t="s">
        <v>33</v>
      </c>
      <c r="B5" s="32"/>
      <c r="C5" s="32"/>
      <c r="D5" s="32"/>
      <c r="E5" s="32">
        <f t="shared" si="0"/>
        <v>0</v>
      </c>
    </row>
    <row r="6" spans="1:5" x14ac:dyDescent="0.25">
      <c r="A6" t="s">
        <v>35</v>
      </c>
      <c r="B6" s="32">
        <v>16246971.57</v>
      </c>
      <c r="C6" s="32">
        <v>41616573.879999995</v>
      </c>
      <c r="D6" s="32">
        <v>142895601.53999999</v>
      </c>
      <c r="E6" s="32">
        <f t="shared" si="0"/>
        <v>-168265203.84999999</v>
      </c>
    </row>
    <row r="7" spans="1:5" x14ac:dyDescent="0.25">
      <c r="A7" t="s">
        <v>50</v>
      </c>
      <c r="B7" s="32">
        <v>90299237.480133697</v>
      </c>
      <c r="C7" s="32">
        <v>180623154.66</v>
      </c>
      <c r="D7" s="32">
        <v>271754141.08729428</v>
      </c>
      <c r="E7" s="32">
        <f t="shared" si="0"/>
        <v>-362078058.26716059</v>
      </c>
    </row>
    <row r="8" spans="1:5" x14ac:dyDescent="0.25">
      <c r="A8" t="s">
        <v>51</v>
      </c>
      <c r="B8" s="32">
        <v>106032412.71000001</v>
      </c>
      <c r="C8" s="32">
        <v>36254784.620000005</v>
      </c>
      <c r="D8" s="32">
        <v>166792506.95999998</v>
      </c>
      <c r="E8" s="32">
        <f t="shared" si="0"/>
        <v>-97014878.869999975</v>
      </c>
    </row>
    <row r="9" spans="1:5" x14ac:dyDescent="0.25">
      <c r="A9" t="s">
        <v>68</v>
      </c>
      <c r="B9" s="32">
        <v>73399560.829999998</v>
      </c>
      <c r="C9" s="32">
        <v>9124124.0300000012</v>
      </c>
      <c r="D9" s="32">
        <v>140420000</v>
      </c>
      <c r="E9" s="32">
        <f t="shared" si="0"/>
        <v>-76144563.200000003</v>
      </c>
    </row>
    <row r="10" spans="1:5" x14ac:dyDescent="0.25">
      <c r="A10" t="s">
        <v>75</v>
      </c>
      <c r="B10" s="32"/>
      <c r="C10" s="32"/>
      <c r="D10" s="32">
        <v>49568741</v>
      </c>
      <c r="E10" s="32">
        <f t="shared" si="0"/>
        <v>-49568741</v>
      </c>
    </row>
    <row r="11" spans="1:5" x14ac:dyDescent="0.25">
      <c r="A11" t="s">
        <v>92</v>
      </c>
      <c r="B11" s="32">
        <v>4053937.58</v>
      </c>
      <c r="C11" s="32">
        <v>908299265.44999993</v>
      </c>
      <c r="D11" s="32">
        <v>627648</v>
      </c>
      <c r="E11" s="32">
        <f t="shared" si="0"/>
        <v>-904872975.86999989</v>
      </c>
    </row>
    <row r="12" spans="1:5" x14ac:dyDescent="0.25">
      <c r="A12" t="s">
        <v>99</v>
      </c>
      <c r="B12" s="32"/>
      <c r="C12" s="32"/>
      <c r="D12" s="32"/>
      <c r="E12" s="32">
        <f t="shared" si="0"/>
        <v>0</v>
      </c>
    </row>
    <row r="13" spans="1:5" x14ac:dyDescent="0.25">
      <c r="A13" t="s">
        <v>100</v>
      </c>
      <c r="B13" s="32">
        <v>7930865.9900000002</v>
      </c>
      <c r="C13" s="32">
        <v>19796.93</v>
      </c>
      <c r="D13" s="32"/>
      <c r="E13" s="32">
        <f t="shared" si="0"/>
        <v>7911069.0600000005</v>
      </c>
    </row>
    <row r="14" spans="1:5" x14ac:dyDescent="0.25">
      <c r="A14" t="s">
        <v>106</v>
      </c>
      <c r="B14" s="32"/>
      <c r="C14" s="32">
        <v>40219475.570800021</v>
      </c>
      <c r="D14" s="32">
        <v>954440</v>
      </c>
      <c r="E14" s="32">
        <f t="shared" si="0"/>
        <v>-41173915.570800021</v>
      </c>
    </row>
    <row r="15" spans="1:5" x14ac:dyDescent="0.25">
      <c r="A15" t="s">
        <v>107</v>
      </c>
      <c r="B15" s="32">
        <v>123301078.59999999</v>
      </c>
      <c r="C15" s="32">
        <v>272665178.34999996</v>
      </c>
      <c r="D15" s="32">
        <v>150117300.06</v>
      </c>
      <c r="E15" s="32">
        <f t="shared" si="0"/>
        <v>-299481399.80999994</v>
      </c>
    </row>
    <row r="16" spans="1:5" x14ac:dyDescent="0.25">
      <c r="A16" t="s">
        <v>108</v>
      </c>
      <c r="B16" s="32"/>
      <c r="C16" s="32"/>
      <c r="D16" s="32"/>
      <c r="E16" s="32">
        <f t="shared" si="0"/>
        <v>0</v>
      </c>
    </row>
    <row r="17" spans="1:5" x14ac:dyDescent="0.25">
      <c r="A17" t="s">
        <v>109</v>
      </c>
      <c r="B17" s="32">
        <v>9484633.5299999993</v>
      </c>
      <c r="C17" s="32">
        <v>486284869.46000004</v>
      </c>
      <c r="D17" s="32">
        <v>542343021.9000001</v>
      </c>
      <c r="E17" s="32">
        <f t="shared" si="0"/>
        <v>-1019143257.8300002</v>
      </c>
    </row>
    <row r="18" spans="1:5" x14ac:dyDescent="0.25">
      <c r="A18" t="s">
        <v>126</v>
      </c>
      <c r="B18" s="32"/>
      <c r="C18" s="32"/>
      <c r="D18" s="32"/>
      <c r="E18" s="32">
        <f t="shared" si="0"/>
        <v>0</v>
      </c>
    </row>
    <row r="19" spans="1:5" x14ac:dyDescent="0.25">
      <c r="A19" t="s">
        <v>127</v>
      </c>
      <c r="B19" s="32">
        <v>114353904.17</v>
      </c>
      <c r="C19" s="32">
        <v>88852712</v>
      </c>
      <c r="D19" s="32">
        <v>209296545</v>
      </c>
      <c r="E19" s="32">
        <f t="shared" si="0"/>
        <v>-183795352.82999998</v>
      </c>
    </row>
    <row r="20" spans="1:5" x14ac:dyDescent="0.25">
      <c r="A20" t="s">
        <v>149</v>
      </c>
      <c r="B20" s="32"/>
      <c r="C20" s="32">
        <v>357525949.75</v>
      </c>
      <c r="D20" s="32">
        <v>12160.38</v>
      </c>
      <c r="E20" s="32">
        <f t="shared" si="0"/>
        <v>-357538110.13</v>
      </c>
    </row>
    <row r="21" spans="1:5" x14ac:dyDescent="0.25">
      <c r="A21" t="s">
        <v>151</v>
      </c>
      <c r="B21" s="32">
        <v>2847416.05</v>
      </c>
      <c r="C21" s="32">
        <v>47078025.699999996</v>
      </c>
      <c r="D21" s="32">
        <v>9975363.9799999986</v>
      </c>
      <c r="E21" s="32">
        <f t="shared" si="0"/>
        <v>-54205973.629999995</v>
      </c>
    </row>
    <row r="22" spans="1:5" x14ac:dyDescent="0.25">
      <c r="A22" t="s">
        <v>161</v>
      </c>
      <c r="B22" s="32"/>
      <c r="C22" s="32">
        <v>1928781.64</v>
      </c>
      <c r="D22" s="32">
        <v>1170000</v>
      </c>
      <c r="E22" s="32">
        <f t="shared" si="0"/>
        <v>-3098781.6399999997</v>
      </c>
    </row>
    <row r="23" spans="1:5" x14ac:dyDescent="0.25">
      <c r="A23" t="s">
        <v>150</v>
      </c>
      <c r="B23" s="32"/>
      <c r="C23" s="32"/>
      <c r="D23" s="32"/>
      <c r="E23" s="32">
        <f t="shared" si="0"/>
        <v>0</v>
      </c>
    </row>
    <row r="24" spans="1:5" x14ac:dyDescent="0.25">
      <c r="A24" t="s">
        <v>162</v>
      </c>
      <c r="B24" s="32">
        <v>456794062.35000002</v>
      </c>
      <c r="C24" s="32"/>
      <c r="D24" s="32"/>
      <c r="E24" s="32">
        <f t="shared" si="0"/>
        <v>456794062.35000002</v>
      </c>
    </row>
    <row r="25" spans="1:5" x14ac:dyDescent="0.25">
      <c r="A25" t="s">
        <v>163</v>
      </c>
      <c r="B25" s="32">
        <v>5885669.3300000001</v>
      </c>
      <c r="C25" s="32">
        <v>355401807.63</v>
      </c>
      <c r="D25" s="32">
        <v>13014157.139999999</v>
      </c>
      <c r="E25" s="32">
        <f t="shared" si="0"/>
        <v>-362530295.44</v>
      </c>
    </row>
    <row r="26" spans="1:5" x14ac:dyDescent="0.25">
      <c r="A26" t="s">
        <v>184</v>
      </c>
      <c r="B26" s="32">
        <v>22878259.139999997</v>
      </c>
      <c r="C26" s="32"/>
      <c r="D26" s="32">
        <v>11447648</v>
      </c>
      <c r="E26" s="32">
        <f t="shared" si="0"/>
        <v>11430611.139999997</v>
      </c>
    </row>
    <row r="27" spans="1:5" x14ac:dyDescent="0.25">
      <c r="A27" t="s">
        <v>189</v>
      </c>
      <c r="B27" s="32">
        <v>487925000</v>
      </c>
      <c r="C27" s="32">
        <v>1300962000</v>
      </c>
      <c r="D27" s="32">
        <v>9215792000</v>
      </c>
      <c r="E27" s="32">
        <f t="shared" si="0"/>
        <v>-10028829000</v>
      </c>
    </row>
    <row r="28" spans="1:5" x14ac:dyDescent="0.25">
      <c r="A28" t="s">
        <v>193</v>
      </c>
      <c r="B28" s="32"/>
      <c r="C28" s="32"/>
      <c r="D28" s="32">
        <v>185000</v>
      </c>
      <c r="E28" s="32">
        <f t="shared" si="0"/>
        <v>-185000</v>
      </c>
    </row>
    <row r="29" spans="1:5" x14ac:dyDescent="0.25">
      <c r="A29" t="s">
        <v>297</v>
      </c>
      <c r="B29" s="32">
        <f>SUM(B2:B28)</f>
        <v>1533758397.1601336</v>
      </c>
      <c r="C29" s="32">
        <v>4409421238.2807999</v>
      </c>
      <c r="D29" s="32">
        <v>10926966275.047295</v>
      </c>
      <c r="E29" s="32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5" t="s">
        <v>295</v>
      </c>
    </row>
    <row r="4" spans="1:1" x14ac:dyDescent="0.25">
      <c r="A4" s="16" t="s">
        <v>32</v>
      </c>
    </row>
    <row r="5" spans="1:1" x14ac:dyDescent="0.25">
      <c r="A5" s="29" t="s">
        <v>21</v>
      </c>
    </row>
    <row r="6" spans="1:1" x14ac:dyDescent="0.25">
      <c r="A6" s="16" t="s">
        <v>13</v>
      </c>
    </row>
    <row r="7" spans="1:1" x14ac:dyDescent="0.25">
      <c r="A7" s="29" t="s">
        <v>21</v>
      </c>
    </row>
    <row r="8" spans="1:1" x14ac:dyDescent="0.25">
      <c r="A8" s="29" t="s">
        <v>22</v>
      </c>
    </row>
    <row r="9" spans="1:1" x14ac:dyDescent="0.25">
      <c r="A9" s="16" t="s">
        <v>262</v>
      </c>
    </row>
    <row r="10" spans="1:1" x14ac:dyDescent="0.25">
      <c r="A10" s="29" t="s">
        <v>21</v>
      </c>
    </row>
    <row r="11" spans="1:1" x14ac:dyDescent="0.25">
      <c r="A11" s="29" t="s">
        <v>22</v>
      </c>
    </row>
    <row r="12" spans="1:1" x14ac:dyDescent="0.25">
      <c r="A12" s="16" t="s">
        <v>33</v>
      </c>
    </row>
    <row r="13" spans="1:1" x14ac:dyDescent="0.25">
      <c r="A13" s="29" t="s">
        <v>296</v>
      </c>
    </row>
    <row r="14" spans="1:1" x14ac:dyDescent="0.25">
      <c r="A14" s="16" t="s">
        <v>35</v>
      </c>
    </row>
    <row r="15" spans="1:1" x14ac:dyDescent="0.25">
      <c r="A15" s="29" t="s">
        <v>21</v>
      </c>
    </row>
    <row r="16" spans="1:1" x14ac:dyDescent="0.25">
      <c r="A16" s="29" t="s">
        <v>22</v>
      </c>
    </row>
    <row r="17" spans="1:2" x14ac:dyDescent="0.25">
      <c r="A17" s="16" t="s">
        <v>50</v>
      </c>
    </row>
    <row r="18" spans="1:2" x14ac:dyDescent="0.25">
      <c r="A18" s="29" t="s">
        <v>21</v>
      </c>
    </row>
    <row r="19" spans="1:2" x14ac:dyDescent="0.25">
      <c r="A19" s="29" t="s">
        <v>22</v>
      </c>
    </row>
    <row r="20" spans="1:2" x14ac:dyDescent="0.25">
      <c r="A20" s="16" t="s">
        <v>51</v>
      </c>
    </row>
    <row r="21" spans="1:2" x14ac:dyDescent="0.25">
      <c r="A21" s="29" t="s">
        <v>21</v>
      </c>
      <c r="B21">
        <f>105/248</f>
        <v>0.42338709677419356</v>
      </c>
    </row>
    <row r="22" spans="1:2" x14ac:dyDescent="0.25">
      <c r="A22" s="29" t="s">
        <v>22</v>
      </c>
    </row>
    <row r="23" spans="1:2" x14ac:dyDescent="0.25">
      <c r="A23" s="16" t="s">
        <v>68</v>
      </c>
    </row>
    <row r="24" spans="1:2" x14ac:dyDescent="0.25">
      <c r="A24" s="29" t="s">
        <v>21</v>
      </c>
    </row>
    <row r="25" spans="1:2" x14ac:dyDescent="0.25">
      <c r="A25" s="29" t="s">
        <v>22</v>
      </c>
    </row>
    <row r="26" spans="1:2" x14ac:dyDescent="0.25">
      <c r="A26" s="16" t="s">
        <v>75</v>
      </c>
    </row>
    <row r="27" spans="1:2" x14ac:dyDescent="0.25">
      <c r="A27" s="29" t="s">
        <v>21</v>
      </c>
    </row>
    <row r="28" spans="1:2" x14ac:dyDescent="0.25">
      <c r="A28" s="29" t="s">
        <v>22</v>
      </c>
    </row>
    <row r="29" spans="1:2" x14ac:dyDescent="0.25">
      <c r="A29" s="16" t="s">
        <v>92</v>
      </c>
    </row>
    <row r="30" spans="1:2" x14ac:dyDescent="0.25">
      <c r="A30" s="29" t="s">
        <v>21</v>
      </c>
    </row>
    <row r="31" spans="1:2" x14ac:dyDescent="0.25">
      <c r="A31" s="29" t="s">
        <v>22</v>
      </c>
    </row>
    <row r="32" spans="1:2" x14ac:dyDescent="0.25">
      <c r="A32" s="16" t="s">
        <v>99</v>
      </c>
    </row>
    <row r="33" spans="1:1" x14ac:dyDescent="0.25">
      <c r="A33" s="29" t="s">
        <v>296</v>
      </c>
    </row>
    <row r="34" spans="1:1" x14ac:dyDescent="0.25">
      <c r="A34" s="16" t="s">
        <v>100</v>
      </c>
    </row>
    <row r="35" spans="1:1" x14ac:dyDescent="0.25">
      <c r="A35" s="29" t="s">
        <v>21</v>
      </c>
    </row>
    <row r="36" spans="1:1" x14ac:dyDescent="0.25">
      <c r="A36" s="29" t="s">
        <v>22</v>
      </c>
    </row>
    <row r="37" spans="1:1" x14ac:dyDescent="0.25">
      <c r="A37" s="16" t="s">
        <v>106</v>
      </c>
    </row>
    <row r="38" spans="1:1" x14ac:dyDescent="0.25">
      <c r="A38" s="29" t="s">
        <v>21</v>
      </c>
    </row>
    <row r="39" spans="1:1" x14ac:dyDescent="0.25">
      <c r="A39" s="29" t="s">
        <v>22</v>
      </c>
    </row>
    <row r="40" spans="1:1" x14ac:dyDescent="0.25">
      <c r="A40" s="16" t="s">
        <v>107</v>
      </c>
    </row>
    <row r="41" spans="1:1" x14ac:dyDescent="0.25">
      <c r="A41" s="29" t="s">
        <v>21</v>
      </c>
    </row>
    <row r="42" spans="1:1" x14ac:dyDescent="0.25">
      <c r="A42" s="29" t="s">
        <v>22</v>
      </c>
    </row>
    <row r="43" spans="1:1" x14ac:dyDescent="0.25">
      <c r="A43" s="16" t="s">
        <v>108</v>
      </c>
    </row>
    <row r="44" spans="1:1" x14ac:dyDescent="0.25">
      <c r="A44" s="29" t="s">
        <v>21</v>
      </c>
    </row>
    <row r="45" spans="1:1" x14ac:dyDescent="0.25">
      <c r="A45" s="29" t="s">
        <v>22</v>
      </c>
    </row>
    <row r="46" spans="1:1" x14ac:dyDescent="0.25">
      <c r="A46" s="16" t="s">
        <v>109</v>
      </c>
    </row>
    <row r="47" spans="1:1" x14ac:dyDescent="0.25">
      <c r="A47" s="29" t="s">
        <v>21</v>
      </c>
    </row>
    <row r="48" spans="1:1" x14ac:dyDescent="0.25">
      <c r="A48" s="29" t="s">
        <v>22</v>
      </c>
    </row>
    <row r="49" spans="1:1" x14ac:dyDescent="0.25">
      <c r="A49" s="16" t="s">
        <v>126</v>
      </c>
    </row>
    <row r="50" spans="1:1" x14ac:dyDescent="0.25">
      <c r="A50" s="29" t="s">
        <v>296</v>
      </c>
    </row>
    <row r="51" spans="1:1" x14ac:dyDescent="0.25">
      <c r="A51" s="16" t="s">
        <v>127</v>
      </c>
    </row>
    <row r="52" spans="1:1" x14ac:dyDescent="0.25">
      <c r="A52" s="29" t="s">
        <v>22</v>
      </c>
    </row>
    <row r="53" spans="1:1" x14ac:dyDescent="0.25">
      <c r="A53" s="16" t="s">
        <v>149</v>
      </c>
    </row>
    <row r="54" spans="1:1" x14ac:dyDescent="0.25">
      <c r="A54" s="29" t="s">
        <v>21</v>
      </c>
    </row>
    <row r="55" spans="1:1" x14ac:dyDescent="0.25">
      <c r="A55" s="16" t="s">
        <v>151</v>
      </c>
    </row>
    <row r="56" spans="1:1" x14ac:dyDescent="0.25">
      <c r="A56" s="29" t="s">
        <v>21</v>
      </c>
    </row>
    <row r="57" spans="1:1" x14ac:dyDescent="0.25">
      <c r="A57" s="29" t="s">
        <v>22</v>
      </c>
    </row>
    <row r="58" spans="1:1" x14ac:dyDescent="0.25">
      <c r="A58" s="16" t="s">
        <v>161</v>
      </c>
    </row>
    <row r="59" spans="1:1" x14ac:dyDescent="0.25">
      <c r="A59" s="29" t="s">
        <v>21</v>
      </c>
    </row>
    <row r="60" spans="1:1" x14ac:dyDescent="0.25">
      <c r="A60" s="29" t="s">
        <v>22</v>
      </c>
    </row>
    <row r="61" spans="1:1" x14ac:dyDescent="0.25">
      <c r="A61" s="16" t="s">
        <v>150</v>
      </c>
    </row>
    <row r="62" spans="1:1" x14ac:dyDescent="0.25">
      <c r="A62" s="29" t="s">
        <v>296</v>
      </c>
    </row>
    <row r="63" spans="1:1" x14ac:dyDescent="0.25">
      <c r="A63" s="16" t="s">
        <v>162</v>
      </c>
    </row>
    <row r="64" spans="1:1" x14ac:dyDescent="0.25">
      <c r="A64" s="29" t="s">
        <v>22</v>
      </c>
    </row>
    <row r="65" spans="1:1" x14ac:dyDescent="0.25">
      <c r="A65" s="16" t="s">
        <v>163</v>
      </c>
    </row>
    <row r="66" spans="1:1" x14ac:dyDescent="0.25">
      <c r="A66" s="29" t="s">
        <v>21</v>
      </c>
    </row>
    <row r="67" spans="1:1" x14ac:dyDescent="0.25">
      <c r="A67" s="29" t="s">
        <v>22</v>
      </c>
    </row>
    <row r="68" spans="1:1" x14ac:dyDescent="0.25">
      <c r="A68" s="16" t="s">
        <v>184</v>
      </c>
    </row>
    <row r="69" spans="1:1" x14ac:dyDescent="0.25">
      <c r="A69" s="29" t="s">
        <v>21</v>
      </c>
    </row>
    <row r="70" spans="1:1" x14ac:dyDescent="0.25">
      <c r="A70" s="29" t="s">
        <v>22</v>
      </c>
    </row>
    <row r="71" spans="1:1" x14ac:dyDescent="0.25">
      <c r="A71" s="16" t="s">
        <v>189</v>
      </c>
    </row>
    <row r="72" spans="1:1" x14ac:dyDescent="0.25">
      <c r="A72" s="29" t="s">
        <v>21</v>
      </c>
    </row>
    <row r="73" spans="1:1" x14ac:dyDescent="0.25">
      <c r="A73" s="29" t="s">
        <v>22</v>
      </c>
    </row>
    <row r="74" spans="1:1" x14ac:dyDescent="0.25">
      <c r="A74" s="16" t="s">
        <v>193</v>
      </c>
    </row>
    <row r="75" spans="1:1" x14ac:dyDescent="0.25">
      <c r="A75" s="29" t="s">
        <v>22</v>
      </c>
    </row>
    <row r="76" spans="1:1" x14ac:dyDescent="0.25">
      <c r="A76" s="16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5" t="s">
        <v>295</v>
      </c>
      <c r="B3" t="s">
        <v>400</v>
      </c>
      <c r="C3" s="15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6" t="s">
        <v>47</v>
      </c>
      <c r="B4" s="17">
        <v>26</v>
      </c>
      <c r="C4" s="16" t="s">
        <v>32</v>
      </c>
      <c r="D4" s="34"/>
      <c r="E4" s="33">
        <v>18573932.599999998</v>
      </c>
      <c r="F4" s="33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6" t="s">
        <v>25</v>
      </c>
      <c r="B5" s="17">
        <v>8</v>
      </c>
      <c r="C5" s="16" t="s">
        <v>13</v>
      </c>
      <c r="D5" s="34"/>
      <c r="E5" s="33"/>
      <c r="F5" s="33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6" t="s">
        <v>31</v>
      </c>
      <c r="B6" s="17">
        <v>5</v>
      </c>
      <c r="C6" s="16" t="s">
        <v>262</v>
      </c>
      <c r="D6" s="34">
        <v>12325387.83</v>
      </c>
      <c r="E6" s="33">
        <v>263990806.00999999</v>
      </c>
      <c r="F6" s="33">
        <v>600000</v>
      </c>
      <c r="H6">
        <f t="shared" si="0"/>
        <v>-18573932.599999998</v>
      </c>
    </row>
    <row r="7" spans="1:8" x14ac:dyDescent="0.25">
      <c r="A7" s="16" t="s">
        <v>23</v>
      </c>
      <c r="B7" s="17">
        <v>28</v>
      </c>
      <c r="C7" s="16" t="s">
        <v>33</v>
      </c>
      <c r="D7" s="34"/>
      <c r="E7" s="33"/>
      <c r="F7" s="33"/>
      <c r="H7">
        <f t="shared" si="0"/>
        <v>-18573932.599999998</v>
      </c>
    </row>
    <row r="8" spans="1:8" x14ac:dyDescent="0.25">
      <c r="A8" s="16" t="s">
        <v>28</v>
      </c>
      <c r="B8" s="17">
        <v>13</v>
      </c>
      <c r="C8" s="16" t="s">
        <v>35</v>
      </c>
      <c r="D8" s="34">
        <v>16246971.57</v>
      </c>
      <c r="E8" s="33">
        <v>41616573.879999995</v>
      </c>
      <c r="F8" s="33">
        <v>142895601.53999999</v>
      </c>
      <c r="H8">
        <f t="shared" si="0"/>
        <v>-18573932.599999998</v>
      </c>
    </row>
    <row r="9" spans="1:8" x14ac:dyDescent="0.25">
      <c r="A9" s="16" t="s">
        <v>66</v>
      </c>
      <c r="B9" s="17">
        <v>12</v>
      </c>
      <c r="C9" s="16" t="s">
        <v>50</v>
      </c>
      <c r="D9" s="34">
        <v>90299237.480133697</v>
      </c>
      <c r="E9" s="33">
        <v>180623154.66</v>
      </c>
      <c r="F9" s="33">
        <v>271754141.08729428</v>
      </c>
      <c r="H9">
        <f t="shared" si="0"/>
        <v>-18573932.599999998</v>
      </c>
    </row>
    <row r="10" spans="1:8" x14ac:dyDescent="0.25">
      <c r="A10" s="16" t="s">
        <v>26</v>
      </c>
      <c r="B10" s="17">
        <v>20</v>
      </c>
      <c r="C10" s="16" t="s">
        <v>51</v>
      </c>
      <c r="D10" s="34">
        <v>106032412.71000001</v>
      </c>
      <c r="E10" s="33">
        <v>36254784.620000005</v>
      </c>
      <c r="F10" s="33">
        <v>166792506.95999998</v>
      </c>
      <c r="H10">
        <f t="shared" si="0"/>
        <v>-18573932.599999998</v>
      </c>
    </row>
    <row r="11" spans="1:8" x14ac:dyDescent="0.25">
      <c r="A11" s="16" t="s">
        <v>30</v>
      </c>
      <c r="B11" s="17">
        <v>7</v>
      </c>
      <c r="C11" s="16" t="s">
        <v>68</v>
      </c>
      <c r="D11" s="34">
        <v>73399560.829999998</v>
      </c>
      <c r="E11" s="33">
        <v>9124124.0300000012</v>
      </c>
      <c r="F11" s="33">
        <v>140420000</v>
      </c>
      <c r="H11">
        <f t="shared" si="0"/>
        <v>-18573932.599999998</v>
      </c>
    </row>
    <row r="12" spans="1:8" x14ac:dyDescent="0.25">
      <c r="A12" s="16" t="s">
        <v>275</v>
      </c>
      <c r="B12" s="17">
        <v>1</v>
      </c>
      <c r="C12" s="16" t="s">
        <v>75</v>
      </c>
      <c r="D12" s="34"/>
      <c r="E12" s="33"/>
      <c r="F12" s="33">
        <v>49568741</v>
      </c>
      <c r="H12">
        <f t="shared" si="0"/>
        <v>-18573932.599999998</v>
      </c>
    </row>
    <row r="13" spans="1:8" x14ac:dyDescent="0.25">
      <c r="A13" s="16" t="s">
        <v>49</v>
      </c>
      <c r="B13" s="17">
        <v>13</v>
      </c>
      <c r="C13" s="16" t="s">
        <v>92</v>
      </c>
      <c r="D13" s="34">
        <v>4053937.58</v>
      </c>
      <c r="E13" s="33">
        <v>908299265.44999993</v>
      </c>
      <c r="F13" s="33">
        <v>627648</v>
      </c>
      <c r="H13">
        <f t="shared" si="0"/>
        <v>-18573932.599999998</v>
      </c>
    </row>
    <row r="14" spans="1:8" x14ac:dyDescent="0.25">
      <c r="A14" s="16" t="s">
        <v>29</v>
      </c>
      <c r="B14" s="17">
        <v>49</v>
      </c>
      <c r="C14" s="16" t="s">
        <v>99</v>
      </c>
      <c r="D14" s="34"/>
      <c r="E14" s="33"/>
      <c r="F14" s="33"/>
      <c r="H14">
        <f t="shared" si="0"/>
        <v>-18573932.599999998</v>
      </c>
    </row>
    <row r="15" spans="1:8" x14ac:dyDescent="0.25">
      <c r="A15" s="16" t="s">
        <v>138</v>
      </c>
      <c r="B15" s="17">
        <v>5</v>
      </c>
      <c r="C15" s="16" t="s">
        <v>100</v>
      </c>
      <c r="D15" s="34">
        <v>7930865.9900000002</v>
      </c>
      <c r="E15" s="33">
        <v>19796.93</v>
      </c>
      <c r="F15" s="33"/>
      <c r="H15">
        <f t="shared" si="0"/>
        <v>-18573932.599999998</v>
      </c>
    </row>
    <row r="16" spans="1:8" x14ac:dyDescent="0.25">
      <c r="A16" s="16" t="s">
        <v>223</v>
      </c>
      <c r="B16" s="17">
        <v>1</v>
      </c>
      <c r="C16" s="16" t="s">
        <v>106</v>
      </c>
      <c r="D16" s="34"/>
      <c r="E16" s="33">
        <v>40219475.570800021</v>
      </c>
      <c r="F16" s="33">
        <v>954440</v>
      </c>
      <c r="H16">
        <f t="shared" si="0"/>
        <v>-18573932.599999998</v>
      </c>
    </row>
    <row r="17" spans="1:8" x14ac:dyDescent="0.25">
      <c r="A17" s="16" t="s">
        <v>27</v>
      </c>
      <c r="B17" s="17">
        <v>22</v>
      </c>
      <c r="C17" s="16" t="s">
        <v>107</v>
      </c>
      <c r="D17" s="34">
        <v>123301078.59999999</v>
      </c>
      <c r="E17" s="33">
        <v>272665178.34999996</v>
      </c>
      <c r="F17" s="33">
        <v>150117300.06</v>
      </c>
      <c r="H17">
        <f t="shared" si="0"/>
        <v>-18573932.599999998</v>
      </c>
    </row>
    <row r="18" spans="1:8" x14ac:dyDescent="0.25">
      <c r="A18" s="16" t="s">
        <v>98</v>
      </c>
      <c r="B18" s="17">
        <v>1</v>
      </c>
      <c r="C18" s="16" t="s">
        <v>108</v>
      </c>
      <c r="D18" s="34"/>
      <c r="E18" s="33"/>
      <c r="F18" s="33"/>
      <c r="H18">
        <f t="shared" si="0"/>
        <v>-18573932.599999998</v>
      </c>
    </row>
    <row r="19" spans="1:8" x14ac:dyDescent="0.25">
      <c r="A19" s="16" t="s">
        <v>24</v>
      </c>
      <c r="B19" s="17">
        <v>11</v>
      </c>
      <c r="C19" s="16" t="s">
        <v>109</v>
      </c>
      <c r="D19" s="34">
        <v>9484633.5299999993</v>
      </c>
      <c r="E19" s="33">
        <v>486284869.46000004</v>
      </c>
      <c r="F19" s="33">
        <v>542343021.9000001</v>
      </c>
      <c r="H19">
        <f t="shared" si="0"/>
        <v>-18573932.599999998</v>
      </c>
    </row>
    <row r="20" spans="1:8" x14ac:dyDescent="0.25">
      <c r="A20" s="16" t="s">
        <v>65</v>
      </c>
      <c r="B20" s="17">
        <v>16</v>
      </c>
      <c r="C20" s="16" t="s">
        <v>126</v>
      </c>
      <c r="D20" s="34"/>
      <c r="E20" s="33"/>
      <c r="F20" s="33"/>
      <c r="H20">
        <f t="shared" si="0"/>
        <v>-18573932.599999998</v>
      </c>
    </row>
    <row r="21" spans="1:8" x14ac:dyDescent="0.25">
      <c r="A21" s="16" t="s">
        <v>48</v>
      </c>
      <c r="B21" s="17">
        <v>8</v>
      </c>
      <c r="C21" s="16" t="s">
        <v>127</v>
      </c>
      <c r="D21" s="34">
        <v>114353904.17</v>
      </c>
      <c r="E21" s="33">
        <v>88852712</v>
      </c>
      <c r="F21" s="33">
        <v>209296545</v>
      </c>
      <c r="H21">
        <f t="shared" si="0"/>
        <v>-18573932.599999998</v>
      </c>
    </row>
    <row r="22" spans="1:8" x14ac:dyDescent="0.25">
      <c r="A22" s="16" t="s">
        <v>296</v>
      </c>
      <c r="B22" s="17">
        <v>2</v>
      </c>
      <c r="C22" s="16" t="s">
        <v>149</v>
      </c>
      <c r="D22" s="34"/>
      <c r="E22" s="33">
        <v>357525949.75</v>
      </c>
      <c r="F22" s="33">
        <v>12160.38</v>
      </c>
      <c r="H22">
        <f t="shared" si="0"/>
        <v>-18573932.599999998</v>
      </c>
    </row>
    <row r="23" spans="1:8" x14ac:dyDescent="0.25">
      <c r="A23" s="16" t="s">
        <v>297</v>
      </c>
      <c r="B23" s="17">
        <v>248</v>
      </c>
      <c r="C23" s="16" t="s">
        <v>151</v>
      </c>
      <c r="D23" s="34">
        <v>2847416.05</v>
      </c>
      <c r="E23" s="33">
        <v>47078025.699999996</v>
      </c>
      <c r="F23" s="33">
        <v>9975363.9799999986</v>
      </c>
      <c r="H23">
        <f t="shared" si="0"/>
        <v>-18573932.599999998</v>
      </c>
    </row>
    <row r="24" spans="1:8" x14ac:dyDescent="0.25">
      <c r="C24" s="16" t="s">
        <v>161</v>
      </c>
      <c r="D24" s="34"/>
      <c r="E24" s="33">
        <v>1928781.64</v>
      </c>
      <c r="F24" s="33">
        <v>1170000</v>
      </c>
      <c r="H24">
        <f t="shared" si="0"/>
        <v>-18573932.599999998</v>
      </c>
    </row>
    <row r="25" spans="1:8" x14ac:dyDescent="0.25">
      <c r="C25" s="16" t="s">
        <v>150</v>
      </c>
      <c r="D25" s="34"/>
      <c r="E25" s="33"/>
      <c r="F25" s="33"/>
      <c r="H25">
        <f t="shared" si="0"/>
        <v>-18573932.599999998</v>
      </c>
    </row>
    <row r="26" spans="1:8" x14ac:dyDescent="0.25">
      <c r="C26" s="16" t="s">
        <v>162</v>
      </c>
      <c r="D26" s="34">
        <v>456794062.35000002</v>
      </c>
      <c r="E26" s="33"/>
      <c r="F26" s="33"/>
      <c r="H26">
        <f t="shared" si="0"/>
        <v>-18573932.599999998</v>
      </c>
    </row>
    <row r="27" spans="1:8" x14ac:dyDescent="0.25">
      <c r="C27" s="16" t="s">
        <v>163</v>
      </c>
      <c r="D27" s="34">
        <v>5885669.3300000001</v>
      </c>
      <c r="E27" s="33">
        <v>355401807.63</v>
      </c>
      <c r="F27" s="33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5" t="s">
        <v>295</v>
      </c>
      <c r="C28" s="16" t="s">
        <v>184</v>
      </c>
      <c r="D28" s="34">
        <v>22878259.139999997</v>
      </c>
      <c r="E28" s="33"/>
      <c r="F28" s="33">
        <v>11447648</v>
      </c>
      <c r="H28">
        <f t="shared" si="0"/>
        <v>-18573932.599999998</v>
      </c>
    </row>
    <row r="29" spans="1:8" x14ac:dyDescent="0.25">
      <c r="A29" s="17">
        <v>26</v>
      </c>
      <c r="B29" s="16" t="s">
        <v>47</v>
      </c>
      <c r="C29" s="16" t="s">
        <v>189</v>
      </c>
      <c r="D29" s="34">
        <v>487925000</v>
      </c>
      <c r="E29" s="33">
        <v>1300962000</v>
      </c>
      <c r="F29" s="33">
        <v>9215792000</v>
      </c>
      <c r="H29">
        <f t="shared" si="0"/>
        <v>-18573932.599999998</v>
      </c>
    </row>
    <row r="30" spans="1:8" x14ac:dyDescent="0.25">
      <c r="A30" s="17">
        <v>8</v>
      </c>
      <c r="B30" s="16" t="s">
        <v>25</v>
      </c>
      <c r="C30" s="16" t="s">
        <v>193</v>
      </c>
      <c r="D30" s="34"/>
      <c r="E30" s="33"/>
      <c r="F30" s="33">
        <v>185000</v>
      </c>
      <c r="H30">
        <f t="shared" si="0"/>
        <v>-18573932.599999998</v>
      </c>
    </row>
    <row r="31" spans="1:8" x14ac:dyDescent="0.25">
      <c r="A31" s="17">
        <v>5</v>
      </c>
      <c r="B31" s="16" t="s">
        <v>31</v>
      </c>
      <c r="C31" s="16" t="s">
        <v>297</v>
      </c>
      <c r="D31" s="34">
        <v>1533758397.1601336</v>
      </c>
      <c r="E31" s="33">
        <v>4409421238.2807999</v>
      </c>
      <c r="F31" s="33">
        <v>10926966275.047295</v>
      </c>
      <c r="H31">
        <f t="shared" si="0"/>
        <v>-18573932.599999998</v>
      </c>
    </row>
    <row r="32" spans="1:8" x14ac:dyDescent="0.25">
      <c r="A32" s="17">
        <v>28</v>
      </c>
      <c r="B32" s="16" t="s">
        <v>23</v>
      </c>
    </row>
    <row r="33" spans="1:2" x14ac:dyDescent="0.25">
      <c r="A33" s="17">
        <v>13</v>
      </c>
      <c r="B33" s="16" t="s">
        <v>28</v>
      </c>
    </row>
    <row r="34" spans="1:2" x14ac:dyDescent="0.25">
      <c r="A34" s="17">
        <v>12</v>
      </c>
      <c r="B34" s="16" t="s">
        <v>66</v>
      </c>
    </row>
    <row r="35" spans="1:2" x14ac:dyDescent="0.25">
      <c r="A35" s="17">
        <v>20</v>
      </c>
      <c r="B35" s="16" t="s">
        <v>26</v>
      </c>
    </row>
    <row r="36" spans="1:2" x14ac:dyDescent="0.25">
      <c r="A36" s="17">
        <v>7</v>
      </c>
      <c r="B36" s="16" t="s">
        <v>30</v>
      </c>
    </row>
    <row r="37" spans="1:2" x14ac:dyDescent="0.25">
      <c r="A37" s="17">
        <v>1</v>
      </c>
      <c r="B37" s="16" t="s">
        <v>275</v>
      </c>
    </row>
    <row r="38" spans="1:2" x14ac:dyDescent="0.25">
      <c r="A38" s="17">
        <v>13</v>
      </c>
      <c r="B38" s="16" t="s">
        <v>49</v>
      </c>
    </row>
    <row r="39" spans="1:2" x14ac:dyDescent="0.25">
      <c r="A39" s="17">
        <v>49</v>
      </c>
      <c r="B39" s="16" t="s">
        <v>29</v>
      </c>
    </row>
    <row r="40" spans="1:2" x14ac:dyDescent="0.25">
      <c r="A40" s="17">
        <v>5</v>
      </c>
      <c r="B40" s="16" t="s">
        <v>138</v>
      </c>
    </row>
    <row r="41" spans="1:2" x14ac:dyDescent="0.25">
      <c r="A41" s="17">
        <v>1</v>
      </c>
      <c r="B41" s="16" t="s">
        <v>223</v>
      </c>
    </row>
    <row r="42" spans="1:2" x14ac:dyDescent="0.25">
      <c r="A42" s="17">
        <v>22</v>
      </c>
      <c r="B42" s="16" t="s">
        <v>27</v>
      </c>
    </row>
    <row r="43" spans="1:2" x14ac:dyDescent="0.25">
      <c r="A43" s="17">
        <v>1</v>
      </c>
      <c r="B43" s="16" t="s">
        <v>98</v>
      </c>
    </row>
    <row r="44" spans="1:2" x14ac:dyDescent="0.25">
      <c r="A44" s="17">
        <v>11</v>
      </c>
      <c r="B44" s="16" t="s">
        <v>24</v>
      </c>
    </row>
    <row r="45" spans="1:2" x14ac:dyDescent="0.25">
      <c r="A45" s="17">
        <v>16</v>
      </c>
      <c r="B45" s="16" t="s">
        <v>65</v>
      </c>
    </row>
    <row r="46" spans="1:2" x14ac:dyDescent="0.25">
      <c r="A46" s="17">
        <v>8</v>
      </c>
      <c r="B46" s="16" t="s">
        <v>48</v>
      </c>
    </row>
    <row r="47" spans="1:2" x14ac:dyDescent="0.25">
      <c r="A47" s="17">
        <v>2</v>
      </c>
      <c r="B47" s="16" t="s">
        <v>296</v>
      </c>
    </row>
    <row r="48" spans="1:2" x14ac:dyDescent="0.25">
      <c r="A48" s="17">
        <v>248</v>
      </c>
      <c r="B48" s="16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30" t="s">
        <v>404</v>
      </c>
      <c r="G2" s="30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5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6" t="s">
        <v>189</v>
      </c>
      <c r="B4" s="17">
        <v>20</v>
      </c>
      <c r="D4" s="16" t="s">
        <v>189</v>
      </c>
      <c r="E4" s="17">
        <v>20</v>
      </c>
      <c r="G4" t="s">
        <v>396</v>
      </c>
      <c r="H4">
        <v>41</v>
      </c>
    </row>
    <row r="5" spans="1:8" x14ac:dyDescent="0.25">
      <c r="A5" s="16" t="s">
        <v>75</v>
      </c>
      <c r="B5" s="17">
        <v>16</v>
      </c>
      <c r="D5" s="16" t="s">
        <v>99</v>
      </c>
      <c r="E5" s="17">
        <v>12</v>
      </c>
      <c r="G5" t="s">
        <v>397</v>
      </c>
      <c r="H5">
        <v>36</v>
      </c>
    </row>
    <row r="6" spans="1:8" x14ac:dyDescent="0.25">
      <c r="A6" s="16" t="s">
        <v>109</v>
      </c>
      <c r="B6" s="17">
        <v>15</v>
      </c>
      <c r="D6" s="16" t="s">
        <v>149</v>
      </c>
      <c r="E6" s="17">
        <v>10</v>
      </c>
      <c r="G6" t="s">
        <v>398</v>
      </c>
      <c r="H6">
        <v>34</v>
      </c>
    </row>
    <row r="7" spans="1:8" x14ac:dyDescent="0.25">
      <c r="A7" s="16" t="s">
        <v>163</v>
      </c>
      <c r="B7" s="17">
        <v>13</v>
      </c>
      <c r="D7" s="16" t="s">
        <v>68</v>
      </c>
      <c r="E7" s="17">
        <v>6</v>
      </c>
      <c r="G7" t="s">
        <v>399</v>
      </c>
      <c r="H7">
        <v>89</v>
      </c>
    </row>
    <row r="8" spans="1:8" x14ac:dyDescent="0.25">
      <c r="A8" s="16" t="s">
        <v>51</v>
      </c>
      <c r="B8" s="17">
        <v>13</v>
      </c>
      <c r="H8">
        <f>SUM(H3:H7)</f>
        <v>248</v>
      </c>
    </row>
    <row r="9" spans="1:8" x14ac:dyDescent="0.25">
      <c r="A9" s="16" t="s">
        <v>50</v>
      </c>
      <c r="B9" s="17">
        <v>12</v>
      </c>
      <c r="D9" t="s">
        <v>396</v>
      </c>
      <c r="E9">
        <f>SUM(E10:E13)</f>
        <v>41</v>
      </c>
    </row>
    <row r="10" spans="1:8" x14ac:dyDescent="0.25">
      <c r="A10" s="16" t="s">
        <v>35</v>
      </c>
      <c r="B10" s="17">
        <v>12</v>
      </c>
      <c r="D10" s="16" t="s">
        <v>75</v>
      </c>
      <c r="E10" s="17">
        <v>16</v>
      </c>
    </row>
    <row r="11" spans="1:8" x14ac:dyDescent="0.25">
      <c r="A11" s="16" t="s">
        <v>99</v>
      </c>
      <c r="B11" s="17">
        <v>12</v>
      </c>
      <c r="D11" s="16" t="s">
        <v>51</v>
      </c>
      <c r="E11" s="17">
        <v>13</v>
      </c>
    </row>
    <row r="12" spans="1:8" x14ac:dyDescent="0.25">
      <c r="A12" s="16" t="s">
        <v>184</v>
      </c>
      <c r="B12" s="17">
        <v>11</v>
      </c>
      <c r="D12" s="16" t="s">
        <v>106</v>
      </c>
      <c r="E12" s="17">
        <v>7</v>
      </c>
    </row>
    <row r="13" spans="1:8" x14ac:dyDescent="0.25">
      <c r="A13" s="16" t="s">
        <v>162</v>
      </c>
      <c r="B13" s="17">
        <v>11</v>
      </c>
      <c r="D13" s="16" t="s">
        <v>100</v>
      </c>
      <c r="E13" s="17">
        <v>5</v>
      </c>
    </row>
    <row r="14" spans="1:8" x14ac:dyDescent="0.25">
      <c r="A14" s="16" t="s">
        <v>149</v>
      </c>
      <c r="B14" s="17">
        <v>10</v>
      </c>
    </row>
    <row r="15" spans="1:8" x14ac:dyDescent="0.25">
      <c r="A15" s="16" t="s">
        <v>127</v>
      </c>
      <c r="B15" s="17">
        <v>10</v>
      </c>
      <c r="D15" t="s">
        <v>397</v>
      </c>
      <c r="E15">
        <f>SUM(E16:E22)</f>
        <v>36</v>
      </c>
    </row>
    <row r="16" spans="1:8" x14ac:dyDescent="0.25">
      <c r="A16" s="16" t="s">
        <v>107</v>
      </c>
      <c r="B16" s="17">
        <v>10</v>
      </c>
      <c r="D16" s="16" t="s">
        <v>107</v>
      </c>
      <c r="E16" s="17">
        <v>10</v>
      </c>
    </row>
    <row r="17" spans="1:5" x14ac:dyDescent="0.25">
      <c r="A17" s="16" t="s">
        <v>108</v>
      </c>
      <c r="B17" s="17">
        <v>9</v>
      </c>
      <c r="D17" s="16" t="s">
        <v>262</v>
      </c>
      <c r="E17" s="17">
        <v>7</v>
      </c>
    </row>
    <row r="18" spans="1:5" x14ac:dyDescent="0.25">
      <c r="A18" s="16" t="s">
        <v>151</v>
      </c>
      <c r="B18" s="17">
        <v>9</v>
      </c>
      <c r="D18" s="16" t="s">
        <v>32</v>
      </c>
      <c r="E18" s="17">
        <v>7</v>
      </c>
    </row>
    <row r="19" spans="1:5" x14ac:dyDescent="0.25">
      <c r="A19" s="16" t="s">
        <v>13</v>
      </c>
      <c r="B19" s="17">
        <v>9</v>
      </c>
      <c r="D19" s="16" t="s">
        <v>161</v>
      </c>
      <c r="E19" s="17">
        <v>4</v>
      </c>
    </row>
    <row r="20" spans="1:5" x14ac:dyDescent="0.25">
      <c r="A20" s="16" t="s">
        <v>262</v>
      </c>
      <c r="B20" s="17">
        <v>7</v>
      </c>
      <c r="D20" s="16" t="s">
        <v>193</v>
      </c>
      <c r="E20" s="17">
        <v>3</v>
      </c>
    </row>
    <row r="21" spans="1:5" x14ac:dyDescent="0.25">
      <c r="A21" s="16" t="s">
        <v>126</v>
      </c>
      <c r="B21" s="17">
        <v>7</v>
      </c>
      <c r="D21" s="16" t="s">
        <v>150</v>
      </c>
      <c r="E21" s="17">
        <v>3</v>
      </c>
    </row>
    <row r="22" spans="1:5" x14ac:dyDescent="0.25">
      <c r="A22" s="16" t="s">
        <v>106</v>
      </c>
      <c r="B22" s="17">
        <v>7</v>
      </c>
      <c r="D22" s="16" t="s">
        <v>33</v>
      </c>
      <c r="E22" s="17">
        <v>2</v>
      </c>
    </row>
    <row r="23" spans="1:5" x14ac:dyDescent="0.25">
      <c r="A23" s="16" t="s">
        <v>32</v>
      </c>
      <c r="B23" s="17">
        <v>7</v>
      </c>
    </row>
    <row r="24" spans="1:5" x14ac:dyDescent="0.25">
      <c r="A24" s="16" t="s">
        <v>68</v>
      </c>
      <c r="B24" s="17">
        <v>6</v>
      </c>
      <c r="D24" t="s">
        <v>398</v>
      </c>
      <c r="E24">
        <f>SUM(E25:E27)</f>
        <v>34</v>
      </c>
    </row>
    <row r="25" spans="1:5" x14ac:dyDescent="0.25">
      <c r="A25" s="16" t="s">
        <v>100</v>
      </c>
      <c r="B25" s="17">
        <v>5</v>
      </c>
      <c r="D25" s="16" t="s">
        <v>163</v>
      </c>
      <c r="E25" s="17">
        <v>13</v>
      </c>
    </row>
    <row r="26" spans="1:5" x14ac:dyDescent="0.25">
      <c r="A26" s="16" t="s">
        <v>92</v>
      </c>
      <c r="B26" s="17">
        <v>5</v>
      </c>
      <c r="D26" s="16" t="s">
        <v>162</v>
      </c>
      <c r="E26" s="17">
        <v>11</v>
      </c>
    </row>
    <row r="27" spans="1:5" x14ac:dyDescent="0.25">
      <c r="A27" s="16" t="s">
        <v>161</v>
      </c>
      <c r="B27" s="17">
        <v>4</v>
      </c>
      <c r="D27" s="16" t="s">
        <v>127</v>
      </c>
      <c r="E27" s="17">
        <v>10</v>
      </c>
    </row>
    <row r="28" spans="1:5" x14ac:dyDescent="0.25">
      <c r="A28" s="16" t="s">
        <v>193</v>
      </c>
      <c r="B28" s="17">
        <v>3</v>
      </c>
    </row>
    <row r="29" spans="1:5" x14ac:dyDescent="0.25">
      <c r="A29" s="16" t="s">
        <v>150</v>
      </c>
      <c r="B29" s="17">
        <v>3</v>
      </c>
      <c r="D29" t="s">
        <v>399</v>
      </c>
      <c r="E29">
        <f>SUM(E30:E38)</f>
        <v>89</v>
      </c>
    </row>
    <row r="30" spans="1:5" x14ac:dyDescent="0.25">
      <c r="A30" s="16" t="s">
        <v>33</v>
      </c>
      <c r="B30" s="17">
        <v>2</v>
      </c>
      <c r="D30" s="16" t="s">
        <v>109</v>
      </c>
      <c r="E30" s="17">
        <v>15</v>
      </c>
    </row>
    <row r="31" spans="1:5" x14ac:dyDescent="0.25">
      <c r="A31" s="16" t="s">
        <v>296</v>
      </c>
      <c r="B31" s="17"/>
      <c r="D31" s="16" t="s">
        <v>50</v>
      </c>
      <c r="E31" s="17">
        <v>12</v>
      </c>
    </row>
    <row r="32" spans="1:5" x14ac:dyDescent="0.25">
      <c r="A32" s="16" t="s">
        <v>297</v>
      </c>
      <c r="B32" s="17">
        <v>248</v>
      </c>
      <c r="D32" s="16" t="s">
        <v>35</v>
      </c>
      <c r="E32" s="17">
        <v>12</v>
      </c>
    </row>
    <row r="33" spans="4:5" x14ac:dyDescent="0.25">
      <c r="D33" s="16" t="s">
        <v>184</v>
      </c>
      <c r="E33" s="17">
        <v>11</v>
      </c>
    </row>
    <row r="34" spans="4:5" x14ac:dyDescent="0.25">
      <c r="D34" s="16" t="s">
        <v>108</v>
      </c>
      <c r="E34" s="17">
        <v>9</v>
      </c>
    </row>
    <row r="35" spans="4:5" x14ac:dyDescent="0.25">
      <c r="D35" s="16" t="s">
        <v>151</v>
      </c>
      <c r="E35" s="17">
        <v>9</v>
      </c>
    </row>
    <row r="36" spans="4:5" x14ac:dyDescent="0.25">
      <c r="D36" s="16" t="s">
        <v>13</v>
      </c>
      <c r="E36" s="17">
        <v>9</v>
      </c>
    </row>
    <row r="37" spans="4:5" x14ac:dyDescent="0.25">
      <c r="D37" s="16" t="s">
        <v>126</v>
      </c>
      <c r="E37" s="17">
        <v>7</v>
      </c>
    </row>
    <row r="38" spans="4:5" x14ac:dyDescent="0.25">
      <c r="D38" s="16" t="s">
        <v>92</v>
      </c>
      <c r="E38" s="17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8" t="s">
        <v>0</v>
      </c>
      <c r="B1" s="8" t="s">
        <v>12</v>
      </c>
      <c r="C1" s="8" t="s">
        <v>8</v>
      </c>
      <c r="D1" s="8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7">
        <f>F2/I2</f>
        <v>0.44444444444444442</v>
      </c>
      <c r="C2" s="7">
        <f>G2/I2</f>
        <v>0</v>
      </c>
      <c r="D2" s="7">
        <f>H2/I2</f>
        <v>0</v>
      </c>
      <c r="E2" s="6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7">
        <f>F3/I3</f>
        <v>0.42857142857142855</v>
      </c>
      <c r="C3" s="7">
        <f>G3/I3</f>
        <v>0.2857142857142857</v>
      </c>
      <c r="D3" s="7">
        <f>H3/I3</f>
        <v>0.14285714285714285</v>
      </c>
      <c r="E3" s="6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7">
        <f>F4/I4</f>
        <v>0.7142857142857143</v>
      </c>
      <c r="C4" s="7">
        <f>G4/I4</f>
        <v>1</v>
      </c>
      <c r="D4" s="7">
        <f>H4/I4</f>
        <v>0.7142857142857143</v>
      </c>
      <c r="E4" s="6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7">
        <f t="shared" ref="B5:B23" si="0">F5/I5</f>
        <v>0.41666666666666669</v>
      </c>
      <c r="C5" s="7">
        <f t="shared" ref="C5:C23" si="1">G5/I5</f>
        <v>0.41666666666666669</v>
      </c>
      <c r="D5" s="7">
        <f t="shared" ref="D5:D23" si="2">H5/I5</f>
        <v>0</v>
      </c>
      <c r="E5" s="6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7">
        <f t="shared" ref="B6" si="3">F6/I6</f>
        <v>0.91666666666666663</v>
      </c>
      <c r="C6" s="7">
        <f t="shared" ref="C6" si="4">G6/I6</f>
        <v>1</v>
      </c>
      <c r="D6" s="7">
        <f t="shared" ref="D6" si="5">H6/I6</f>
        <v>0.41666666666666669</v>
      </c>
      <c r="E6" s="6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7">
        <f t="shared" si="0"/>
        <v>1</v>
      </c>
      <c r="C7" s="7">
        <f t="shared" si="1"/>
        <v>0.92307692307692313</v>
      </c>
      <c r="D7" s="7">
        <f t="shared" si="2"/>
        <v>0.30769230769230771</v>
      </c>
      <c r="E7" s="6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7">
        <f t="shared" si="0"/>
        <v>0.8125</v>
      </c>
      <c r="C8" s="7">
        <f t="shared" si="1"/>
        <v>0.9375</v>
      </c>
      <c r="D8" s="7">
        <f t="shared" si="2"/>
        <v>0.1875</v>
      </c>
      <c r="E8" s="6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7">
        <f t="shared" si="0"/>
        <v>0.83333333333333337</v>
      </c>
      <c r="C9" s="7">
        <f t="shared" si="1"/>
        <v>0.83333333333333337</v>
      </c>
      <c r="D9" s="7">
        <f t="shared" si="2"/>
        <v>0.5</v>
      </c>
      <c r="E9" s="6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7">
        <f>F10/I10</f>
        <v>0.7142857142857143</v>
      </c>
      <c r="C10" s="7">
        <f t="shared" si="1"/>
        <v>0.7142857142857143</v>
      </c>
      <c r="D10" s="7">
        <f t="shared" si="2"/>
        <v>0</v>
      </c>
      <c r="E10" s="6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7">
        <f t="shared" si="0"/>
        <v>0.8</v>
      </c>
      <c r="C11" s="7">
        <f t="shared" si="1"/>
        <v>0.8</v>
      </c>
      <c r="D11" s="7">
        <f t="shared" si="2"/>
        <v>0.2</v>
      </c>
      <c r="E11" s="6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7">
        <f t="shared" si="0"/>
        <v>0.8</v>
      </c>
      <c r="C12" s="7">
        <f t="shared" si="1"/>
        <v>1</v>
      </c>
      <c r="D12" s="7">
        <f t="shared" si="2"/>
        <v>0.8</v>
      </c>
      <c r="E12" s="6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7">
        <f t="shared" ref="B13" si="6">F13/I13</f>
        <v>0.8</v>
      </c>
      <c r="C13" s="7">
        <f t="shared" ref="C13" si="7">G13/I13</f>
        <v>0.7</v>
      </c>
      <c r="D13" s="7">
        <f t="shared" ref="D13" si="8">H13/I13</f>
        <v>0</v>
      </c>
      <c r="E13" s="6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7">
        <f t="shared" si="0"/>
        <v>0.93333333333333335</v>
      </c>
      <c r="C14" s="7">
        <f t="shared" si="1"/>
        <v>0.93333333333333335</v>
      </c>
      <c r="D14" s="7">
        <f t="shared" si="2"/>
        <v>0.2</v>
      </c>
      <c r="E14" s="6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7">
        <f t="shared" si="0"/>
        <v>0.8</v>
      </c>
      <c r="C15" s="7">
        <f t="shared" si="1"/>
        <v>1</v>
      </c>
      <c r="D15" s="7">
        <f t="shared" si="2"/>
        <v>0.6</v>
      </c>
      <c r="E15" s="6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7">
        <f t="shared" si="0"/>
        <v>0.45454545454545453</v>
      </c>
      <c r="C16" s="7">
        <f t="shared" si="1"/>
        <v>0.54545454545454541</v>
      </c>
      <c r="D16" s="7">
        <f t="shared" si="2"/>
        <v>9.0909090909090912E-2</v>
      </c>
      <c r="E16" s="6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7">
        <f>F17/I17</f>
        <v>1</v>
      </c>
      <c r="C17" s="7">
        <f>G17/I17</f>
        <v>0.88888888888888884</v>
      </c>
      <c r="D17" s="7">
        <f t="shared" si="2"/>
        <v>0.1111111111111111</v>
      </c>
      <c r="E17" s="6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7">
        <f>F18/I18</f>
        <v>0</v>
      </c>
      <c r="C18" s="7">
        <f>G18/I18</f>
        <v>0</v>
      </c>
      <c r="D18" s="7">
        <f t="shared" ref="D18" si="9">H18/I18</f>
        <v>0</v>
      </c>
      <c r="E18" s="6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7">
        <f>F19/I19</f>
        <v>1</v>
      </c>
      <c r="C19" s="7">
        <f>G19/I19</f>
        <v>1</v>
      </c>
      <c r="D19" s="7">
        <f t="shared" ref="D19" si="10">H19/I19</f>
        <v>0.63636363636363635</v>
      </c>
      <c r="E19" s="6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7">
        <f t="shared" si="0"/>
        <v>0.69230769230769229</v>
      </c>
      <c r="C20" s="7">
        <f t="shared" si="1"/>
        <v>1</v>
      </c>
      <c r="D20" s="7">
        <f t="shared" si="2"/>
        <v>0.23076923076923078</v>
      </c>
      <c r="E20" s="6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7">
        <f t="shared" si="0"/>
        <v>0.45454545454545453</v>
      </c>
      <c r="C21" s="7">
        <f t="shared" si="1"/>
        <v>0.45454545454545453</v>
      </c>
      <c r="D21" s="7">
        <f t="shared" si="2"/>
        <v>9.0909090909090912E-2</v>
      </c>
      <c r="E21" s="6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7">
        <f t="shared" ref="B22" si="11">F22/I22</f>
        <v>0.85</v>
      </c>
      <c r="C22" s="7">
        <f t="shared" ref="C22" si="12">G22/I22</f>
        <v>0.85</v>
      </c>
      <c r="D22" s="7">
        <f t="shared" ref="D22" si="13">H22/I22</f>
        <v>0.6</v>
      </c>
      <c r="E22" s="6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7">
        <f t="shared" si="0"/>
        <v>1</v>
      </c>
      <c r="C23" s="7">
        <f t="shared" si="1"/>
        <v>1</v>
      </c>
      <c r="D23" s="7">
        <f t="shared" si="2"/>
        <v>0.33333333333333331</v>
      </c>
      <c r="E23" s="6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2019-07-24T16:01:48Z</dcterms:modified>
</cp:coreProperties>
</file>