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-2017" sheetId="1" r:id="rId3"/>
  </sheets>
  <definedNames/>
  <calcPr/>
</workbook>
</file>

<file path=xl/sharedStrings.xml><?xml version="1.0" encoding="utf-8"?>
<sst xmlns="http://schemas.openxmlformats.org/spreadsheetml/2006/main" count="35" uniqueCount="34">
  <si>
    <t>Outil d'évaluation de l'impact des revues de salaire</t>
  </si>
  <si>
    <t>Année 2016-2017</t>
  </si>
  <si>
    <t>Nombre de jours travaillé par une personne à temps plein</t>
  </si>
  <si>
    <t>Nombre de collaborateurs</t>
  </si>
  <si>
    <t>sans les collaborateurs suivants</t>
  </si>
  <si>
    <t>Coefficient de bonification du variable</t>
  </si>
  <si>
    <t>Qui</t>
  </si>
  <si>
    <t>Salaire mensuel choisi</t>
  </si>
  <si>
    <t>Part variable</t>
  </si>
  <si>
    <t xml:space="preserve">salaire fixe mensuel </t>
  </si>
  <si>
    <t>Variable annuel théorique</t>
  </si>
  <si>
    <t>Variable annuel réel</t>
  </si>
  <si>
    <t>salaire annuel (fixe + variable)</t>
  </si>
  <si>
    <t>Nbre de jours de présence</t>
  </si>
  <si>
    <t>Répartition du bénéfice</t>
  </si>
  <si>
    <t>rémunération total anuelle</t>
  </si>
  <si>
    <t>Chiffre d'affaire</t>
  </si>
  <si>
    <t>Léo</t>
  </si>
  <si>
    <t>Salaires fixes</t>
  </si>
  <si>
    <t>Léa</t>
  </si>
  <si>
    <t>Frais</t>
  </si>
  <si>
    <t>Léon</t>
  </si>
  <si>
    <t>Rémunération du capital</t>
  </si>
  <si>
    <t>Léonie</t>
  </si>
  <si>
    <t>Rémunération variable</t>
  </si>
  <si>
    <t>Larry</t>
  </si>
  <si>
    <t>Lola</t>
  </si>
  <si>
    <t>Partage des bénéfices</t>
  </si>
  <si>
    <t>Autres salariés : moyenne</t>
  </si>
  <si>
    <t>Bénéfices</t>
  </si>
  <si>
    <t>Autres salariés : total</t>
  </si>
  <si>
    <t>Impôts</t>
  </si>
  <si>
    <t>TOTAL</t>
  </si>
  <si>
    <t>Reste pour Année 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</si>
</sst>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* #,##0.00\ [$€-40C]\ ;\-* #,##0.00\ [$€-40C]\ ;* \-#\ [$€-40C]\ ;@\ "/>
    <numFmt numFmtId="165" formatCode="* #,##0&quot;  € &quot;;* \(#,##0&quot;) € &quot;;* \-#&quot;  € &quot;;@\ "/>
    <numFmt numFmtId="166" formatCode="#,##0.00\ [$€-1]"/>
    <numFmt numFmtId="167" formatCode="0\ %"/>
    <numFmt numFmtId="168" formatCode="#,##0.00\ [$€-40C];\-#,##0.00\ [$€-40C]"/>
  </numFmts>
  <fonts count="8">
    <font>
      <sz val="12.0"/>
      <color rgb="FF000000"/>
      <name val="Calibri"/>
    </font>
    <font>
      <sz val="20.0"/>
      <color rgb="FF000000"/>
      <name val="Calibri"/>
    </font>
    <font>
      <sz val="12.0"/>
      <name val="Calibri"/>
    </font>
    <font>
      <i/>
      <sz val="12.0"/>
      <color rgb="FF999999"/>
      <name val="Calibri"/>
    </font>
    <font>
      <i/>
      <color rgb="FF999999"/>
    </font>
    <font>
      <b/>
      <sz val="12.0"/>
      <color rgb="FF000000"/>
      <name val="Calibri"/>
    </font>
    <font>
      <sz val="12.0"/>
      <color rgb="FFFF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9BBB59"/>
        <bgColor rgb="FF9BBB59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right"/>
    </xf>
    <xf borderId="1" fillId="2" fontId="2" numFmtId="0" xfId="0" applyAlignment="1" applyBorder="1" applyFill="1" applyFont="1">
      <alignment horizontal="right"/>
    </xf>
    <xf borderId="0" fillId="0" fontId="0" numFmtId="164" xfId="0" applyFont="1" applyNumberFormat="1"/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0" numFmtId="0" xfId="0" applyAlignment="1" applyFont="1">
      <alignment horizontal="left"/>
    </xf>
    <xf borderId="0" fillId="0" fontId="5" numFmtId="0" xfId="0" applyAlignment="1" applyBorder="1" applyFont="1">
      <alignment horizontal="right"/>
    </xf>
    <xf borderId="0" fillId="0" fontId="5" numFmtId="0" xfId="0" applyAlignment="1" applyBorder="1" applyFont="1">
      <alignment horizontal="right"/>
    </xf>
    <xf borderId="0" fillId="0" fontId="0" numFmtId="0" xfId="0" applyAlignment="1" applyBorder="1" applyFont="1">
      <alignment horizontal="right"/>
    </xf>
    <xf borderId="2" fillId="2" fontId="2" numFmtId="0" xfId="0" applyBorder="1" applyFont="1"/>
    <xf borderId="0" fillId="0" fontId="6" numFmtId="0" xfId="0" applyFont="1"/>
    <xf borderId="0" fillId="0" fontId="2" numFmtId="0" xfId="0" applyAlignment="1" applyFont="1">
      <alignment horizontal="right"/>
    </xf>
    <xf borderId="0" fillId="0" fontId="0" numFmtId="165" xfId="0" applyFont="1" applyNumberFormat="1"/>
    <xf borderId="3" fillId="0" fontId="5" numFmtId="0" xfId="0" applyAlignment="1" applyBorder="1" applyFont="1">
      <alignment horizontal="center" vertical="center" wrapText="1"/>
    </xf>
    <xf borderId="3" fillId="0" fontId="5" numFmtId="0" xfId="0" applyAlignment="1" applyBorder="1" applyFont="1">
      <alignment horizontal="center" vertical="center" wrapText="1"/>
    </xf>
    <xf borderId="3" fillId="3" fontId="5" numFmtId="0" xfId="0" applyAlignment="1" applyBorder="1" applyFill="1" applyFont="1">
      <alignment horizontal="center" vertical="center" wrapText="1"/>
    </xf>
    <xf borderId="3" fillId="4" fontId="5" numFmtId="0" xfId="0" applyAlignment="1" applyBorder="1" applyFill="1" applyFont="1">
      <alignment horizontal="center" vertical="center" wrapText="1"/>
    </xf>
    <xf borderId="3" fillId="5" fontId="5" numFmtId="0" xfId="0" applyAlignment="1" applyBorder="1" applyFill="1" applyFont="1">
      <alignment horizontal="center" vertical="center" wrapText="1"/>
    </xf>
    <xf borderId="4" fillId="5" fontId="5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2" fillId="0" fontId="5" numFmtId="0" xfId="0" applyAlignment="1" applyBorder="1" applyFont="1">
      <alignment wrapText="1"/>
    </xf>
    <xf borderId="5" fillId="2" fontId="2" numFmtId="166" xfId="0" applyAlignment="1" applyBorder="1" applyFont="1" applyNumberFormat="1">
      <alignment wrapText="1"/>
    </xf>
    <xf borderId="0" fillId="0" fontId="0" numFmtId="0" xfId="0" applyAlignment="1" applyFont="1">
      <alignment horizontal="center" vertical="center"/>
    </xf>
    <xf borderId="3" fillId="0" fontId="0" numFmtId="0" xfId="0" applyBorder="1" applyFont="1"/>
    <xf borderId="3" fillId="2" fontId="0" numFmtId="166" xfId="0" applyAlignment="1" applyBorder="1" applyFont="1" applyNumberFormat="1">
      <alignment/>
    </xf>
    <xf borderId="3" fillId="2" fontId="0" numFmtId="167" xfId="0" applyBorder="1" applyFont="1" applyNumberFormat="1"/>
    <xf borderId="3" fillId="0" fontId="0" numFmtId="166" xfId="0" applyBorder="1" applyFont="1" applyNumberFormat="1"/>
    <xf borderId="3" fillId="2" fontId="0" numFmtId="0" xfId="0" applyAlignment="1" applyBorder="1" applyFont="1">
      <alignment/>
    </xf>
    <xf borderId="6" fillId="0" fontId="0" numFmtId="0" xfId="0" applyBorder="1" applyFont="1"/>
    <xf borderId="7" fillId="0" fontId="0" numFmtId="166" xfId="0" applyBorder="1" applyFont="1" applyNumberFormat="1"/>
    <xf borderId="0" fillId="0" fontId="0" numFmtId="164" xfId="0" applyAlignment="1" applyFont="1" applyNumberFormat="1">
      <alignment wrapText="1"/>
    </xf>
    <xf borderId="7" fillId="2" fontId="0" numFmtId="166" xfId="0" applyBorder="1" applyFont="1" applyNumberFormat="1"/>
    <xf borderId="6" fillId="0" fontId="0" numFmtId="0" xfId="0" applyAlignment="1" applyBorder="1" applyFont="1">
      <alignment horizontal="left"/>
    </xf>
    <xf borderId="7" fillId="2" fontId="0" numFmtId="166" xfId="0" applyBorder="1" applyFont="1" applyNumberFormat="1"/>
    <xf borderId="6" fillId="0" fontId="7" numFmtId="0" xfId="0" applyAlignment="1" applyBorder="1" applyFont="1">
      <alignment/>
    </xf>
    <xf borderId="7" fillId="2" fontId="7" numFmtId="166" xfId="0" applyAlignment="1" applyBorder="1" applyFont="1" applyNumberFormat="1">
      <alignment/>
    </xf>
    <xf borderId="6" fillId="0" fontId="0" numFmtId="0" xfId="0" applyBorder="1" applyFont="1"/>
    <xf borderId="7" fillId="0" fontId="0" numFmtId="166" xfId="0" applyBorder="1" applyFont="1" applyNumberFormat="1"/>
    <xf borderId="3" fillId="6" fontId="0" numFmtId="166" xfId="0" applyBorder="1" applyFill="1" applyFont="1" applyNumberFormat="1"/>
    <xf borderId="3" fillId="6" fontId="0" numFmtId="167" xfId="0" applyBorder="1" applyFont="1" applyNumberFormat="1"/>
    <xf borderId="3" fillId="6" fontId="0" numFmtId="1" xfId="0" applyBorder="1" applyFont="1" applyNumberFormat="1"/>
    <xf borderId="3" fillId="6" fontId="0" numFmtId="168" xfId="0" applyBorder="1" applyFont="1" applyNumberFormat="1"/>
    <xf borderId="0" fillId="0" fontId="5" numFmtId="0" xfId="0" applyFont="1"/>
    <xf borderId="6" fillId="0" fontId="0" numFmtId="0" xfId="0" applyAlignment="1" applyBorder="1" applyFont="1">
      <alignment/>
    </xf>
    <xf borderId="3" fillId="7" fontId="5" numFmtId="0" xfId="0" applyAlignment="1" applyBorder="1" applyFill="1" applyFont="1">
      <alignment/>
    </xf>
    <xf borderId="3" fillId="7" fontId="5" numFmtId="166" xfId="0" applyBorder="1" applyFont="1" applyNumberFormat="1"/>
    <xf borderId="3" fillId="7" fontId="5" numFmtId="168" xfId="0" applyBorder="1" applyFont="1" applyNumberFormat="1"/>
    <xf borderId="3" fillId="7" fontId="5" numFmtId="1" xfId="0" applyBorder="1" applyFont="1" applyNumberFormat="1"/>
    <xf borderId="4" fillId="0" fontId="0" numFmtId="0" xfId="0" applyBorder="1" applyFont="1"/>
    <xf borderId="8" fillId="0" fontId="0" numFmtId="166" xfId="0" applyBorder="1" applyFont="1" applyNumberForma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1.67"/>
    <col customWidth="1" min="2" max="2" width="11.0"/>
    <col customWidth="1" min="3" max="3" width="8.67"/>
    <col customWidth="1" min="4" max="4" width="12.33"/>
    <col customWidth="1" min="5" max="7" width="14.33"/>
    <col customWidth="1" min="8" max="8" width="9.11"/>
    <col customWidth="1" min="9" max="9" width="12.33"/>
    <col customWidth="1" min="10" max="10" width="13.89"/>
    <col customWidth="1" min="11" max="11" width="5.56"/>
    <col customWidth="1" min="12" max="12" width="18.67"/>
    <col customWidth="1" min="13" max="13" width="15.44"/>
    <col customWidth="1" min="14" max="14" width="17.11"/>
    <col customWidth="1" min="15" max="24" width="9.89"/>
  </cols>
  <sheetData>
    <row r="1" ht="24.0" customHeight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8.0" customHeight="1">
      <c r="A2" s="3"/>
      <c r="B2" s="3"/>
      <c r="C2" s="3"/>
      <c r="F2" s="3"/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5" t="s">
        <v>2</v>
      </c>
      <c r="E3" s="6">
        <v>217.0</v>
      </c>
      <c r="F3" s="5"/>
      <c r="G3" s="7"/>
      <c r="H3" s="3"/>
      <c r="I3" s="3"/>
      <c r="J3" s="3"/>
      <c r="K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5" t="s">
        <v>3</v>
      </c>
      <c r="E4" s="6">
        <v>200.0</v>
      </c>
      <c r="F4" s="8">
        <f>$E$4-COUNTA($A$7:$A$12)</f>
        <v>194</v>
      </c>
      <c r="G4" s="9" t="s">
        <v>4</v>
      </c>
      <c r="H4" s="10"/>
      <c r="I4" s="11"/>
      <c r="K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12"/>
      <c r="C5" s="13"/>
      <c r="D5" s="14" t="s">
        <v>5</v>
      </c>
      <c r="E5" s="15">
        <v>1.2</v>
      </c>
      <c r="F5" s="16"/>
      <c r="G5" s="16"/>
      <c r="H5" s="16"/>
      <c r="I5" s="16"/>
      <c r="J5" s="3"/>
      <c r="K5" s="3"/>
      <c r="L5" s="3"/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</row>
    <row r="6" ht="48.75" customHeight="1">
      <c r="A6" s="19" t="s">
        <v>6</v>
      </c>
      <c r="B6" s="20" t="s">
        <v>7</v>
      </c>
      <c r="C6" s="21" t="s">
        <v>8</v>
      </c>
      <c r="D6" s="22" t="s">
        <v>9</v>
      </c>
      <c r="E6" s="21" t="s">
        <v>10</v>
      </c>
      <c r="F6" s="21" t="s">
        <v>11</v>
      </c>
      <c r="G6" s="22" t="s">
        <v>12</v>
      </c>
      <c r="H6" s="23" t="s">
        <v>13</v>
      </c>
      <c r="I6" s="24" t="s">
        <v>14</v>
      </c>
      <c r="J6" s="22" t="s">
        <v>15</v>
      </c>
      <c r="K6" s="25"/>
      <c r="L6" s="26" t="s">
        <v>16</v>
      </c>
      <c r="M6" s="27">
        <v>2.5E7</v>
      </c>
      <c r="N6" s="28"/>
      <c r="O6" s="25"/>
      <c r="P6" s="25"/>
      <c r="Q6" s="25"/>
      <c r="R6" s="25"/>
      <c r="S6" s="25"/>
      <c r="T6" s="25"/>
      <c r="U6" s="25"/>
      <c r="V6" s="25"/>
      <c r="W6" s="25"/>
      <c r="X6" s="25"/>
    </row>
    <row r="7">
      <c r="A7" s="29" t="s">
        <v>17</v>
      </c>
      <c r="B7" s="30">
        <v>2600.0</v>
      </c>
      <c r="C7" s="31">
        <v>0.4</v>
      </c>
      <c r="D7" s="32">
        <f t="shared" ref="D7:D13" si="1">B7*(1-C7)</f>
        <v>1560</v>
      </c>
      <c r="E7" s="32">
        <f t="shared" ref="E7:E13" si="2">($B7*$C7*12)*$E$5</f>
        <v>14976</v>
      </c>
      <c r="F7" s="32">
        <f t="shared" ref="F7:F13" si="3">E7*$M$11/$E$15</f>
        <v>14976</v>
      </c>
      <c r="G7" s="32">
        <f t="shared" ref="G7:G13" si="4">D7*12+E7</f>
        <v>33696</v>
      </c>
      <c r="H7" s="33">
        <v>217.0</v>
      </c>
      <c r="I7" s="32">
        <f t="shared" ref="I7:I14" si="5">$M$12/$H$15*H7</f>
        <v>21798</v>
      </c>
      <c r="J7" s="32">
        <f t="shared" ref="J7:J14" si="6">G7+I7</f>
        <v>55494</v>
      </c>
      <c r="K7" s="3"/>
      <c r="L7" s="34" t="s">
        <v>18</v>
      </c>
      <c r="M7" s="35">
        <f>D15*12</f>
        <v>7470250</v>
      </c>
      <c r="N7" s="36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9" t="s">
        <v>19</v>
      </c>
      <c r="B8" s="30">
        <v>2600.0</v>
      </c>
      <c r="C8" s="31">
        <v>0.2</v>
      </c>
      <c r="D8" s="32">
        <f t="shared" si="1"/>
        <v>2080</v>
      </c>
      <c r="E8" s="32">
        <f t="shared" si="2"/>
        <v>7488</v>
      </c>
      <c r="F8" s="32">
        <f t="shared" si="3"/>
        <v>7488</v>
      </c>
      <c r="G8" s="32">
        <f t="shared" si="4"/>
        <v>32448</v>
      </c>
      <c r="H8" s="33">
        <v>217.0</v>
      </c>
      <c r="I8" s="32">
        <f t="shared" si="5"/>
        <v>21798</v>
      </c>
      <c r="J8" s="32">
        <f t="shared" si="6"/>
        <v>54246</v>
      </c>
      <c r="K8" s="3"/>
      <c r="L8" s="34" t="s">
        <v>20</v>
      </c>
      <c r="M8" s="37">
        <v>2000000.0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29" t="s">
        <v>21</v>
      </c>
      <c r="B9" s="30">
        <v>6100.0</v>
      </c>
      <c r="C9" s="31">
        <v>0.0</v>
      </c>
      <c r="D9" s="32">
        <f t="shared" si="1"/>
        <v>6100</v>
      </c>
      <c r="E9" s="32">
        <f t="shared" si="2"/>
        <v>0</v>
      </c>
      <c r="F9" s="32">
        <f t="shared" si="3"/>
        <v>0</v>
      </c>
      <c r="G9" s="32">
        <f t="shared" si="4"/>
        <v>73200</v>
      </c>
      <c r="H9" s="33">
        <v>108.5</v>
      </c>
      <c r="I9" s="32">
        <f t="shared" si="5"/>
        <v>10899</v>
      </c>
      <c r="J9" s="32">
        <f t="shared" si="6"/>
        <v>84099</v>
      </c>
      <c r="K9" s="3"/>
      <c r="L9" s="38" t="s">
        <v>22</v>
      </c>
      <c r="M9" s="39">
        <v>4000000.0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29" t="s">
        <v>23</v>
      </c>
      <c r="B10" s="30">
        <v>6100.0</v>
      </c>
      <c r="C10" s="31">
        <v>0.5</v>
      </c>
      <c r="D10" s="32">
        <f t="shared" si="1"/>
        <v>3050</v>
      </c>
      <c r="E10" s="32">
        <f t="shared" si="2"/>
        <v>43920</v>
      </c>
      <c r="F10" s="32">
        <f t="shared" si="3"/>
        <v>43920</v>
      </c>
      <c r="G10" s="32">
        <f t="shared" si="4"/>
        <v>80520</v>
      </c>
      <c r="H10" s="33">
        <v>217.0</v>
      </c>
      <c r="I10" s="32">
        <f t="shared" si="5"/>
        <v>21798</v>
      </c>
      <c r="J10" s="32">
        <f t="shared" si="6"/>
        <v>102318</v>
      </c>
      <c r="K10" s="3"/>
      <c r="L10" s="40" t="s">
        <v>24</v>
      </c>
      <c r="M10" s="41">
        <v>6600000.0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29" t="s">
        <v>25</v>
      </c>
      <c r="B11" s="30">
        <v>2600.0</v>
      </c>
      <c r="C11" s="31">
        <v>0.1</v>
      </c>
      <c r="D11" s="32">
        <f t="shared" si="1"/>
        <v>2340</v>
      </c>
      <c r="E11" s="32">
        <f t="shared" si="2"/>
        <v>3744</v>
      </c>
      <c r="F11" s="32">
        <f t="shared" si="3"/>
        <v>3744</v>
      </c>
      <c r="G11" s="32">
        <f t="shared" si="4"/>
        <v>31824</v>
      </c>
      <c r="H11" s="33">
        <v>217.0</v>
      </c>
      <c r="I11" s="32">
        <f t="shared" si="5"/>
        <v>21798</v>
      </c>
      <c r="J11" s="32">
        <f t="shared" si="6"/>
        <v>53622</v>
      </c>
      <c r="K11" s="3"/>
      <c r="L11" s="42" t="s">
        <v>8</v>
      </c>
      <c r="M11" s="35">
        <f>MIN(M10,$E$15)</f>
        <v>2603700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29" t="s">
        <v>26</v>
      </c>
      <c r="B12" s="30">
        <v>4100.0</v>
      </c>
      <c r="C12" s="31">
        <v>0.15</v>
      </c>
      <c r="D12" s="32">
        <f t="shared" si="1"/>
        <v>3485</v>
      </c>
      <c r="E12" s="32">
        <f t="shared" si="2"/>
        <v>8856</v>
      </c>
      <c r="F12" s="32">
        <f t="shared" si="3"/>
        <v>8856</v>
      </c>
      <c r="G12" s="32">
        <f t="shared" si="4"/>
        <v>50676</v>
      </c>
      <c r="H12" s="33">
        <v>217.0</v>
      </c>
      <c r="I12" s="32">
        <f t="shared" si="5"/>
        <v>21798</v>
      </c>
      <c r="J12" s="32">
        <f t="shared" si="6"/>
        <v>72474</v>
      </c>
      <c r="K12" s="3"/>
      <c r="L12" s="42" t="s">
        <v>27</v>
      </c>
      <c r="M12" s="43">
        <f>M10-M11</f>
        <v>3996300</v>
      </c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29" t="s">
        <v>28</v>
      </c>
      <c r="B13" s="44">
        <f t="shared" ref="B13:C13" si="7">AVERAGE(B7:B12)</f>
        <v>4016.666667</v>
      </c>
      <c r="C13" s="45">
        <f t="shared" si="7"/>
        <v>0.225</v>
      </c>
      <c r="D13" s="44">
        <f t="shared" si="1"/>
        <v>3112.916667</v>
      </c>
      <c r="E13" s="44">
        <f t="shared" si="2"/>
        <v>13014</v>
      </c>
      <c r="F13" s="44">
        <f t="shared" si="3"/>
        <v>13014</v>
      </c>
      <c r="G13" s="44">
        <f t="shared" si="4"/>
        <v>50369</v>
      </c>
      <c r="H13" s="46">
        <f>AVERAGE(H7:H12)</f>
        <v>198.9166667</v>
      </c>
      <c r="I13" s="44">
        <f t="shared" si="5"/>
        <v>19981.5</v>
      </c>
      <c r="J13" s="44">
        <f t="shared" si="6"/>
        <v>70350.5</v>
      </c>
      <c r="K13" s="3"/>
      <c r="L13" s="42" t="s">
        <v>29</v>
      </c>
      <c r="M13" s="35">
        <f>M6-M7-M8-M9-M10</f>
        <v>4929750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29" t="s">
        <v>30</v>
      </c>
      <c r="B14" s="44">
        <f>B13*$F$4</f>
        <v>779233.3333</v>
      </c>
      <c r="C14" s="47"/>
      <c r="D14" s="44">
        <f t="shared" ref="D14:H14" si="8">D13*$F$4</f>
        <v>603905.8333</v>
      </c>
      <c r="E14" s="44">
        <f t="shared" si="8"/>
        <v>2524716</v>
      </c>
      <c r="F14" s="44">
        <f t="shared" si="8"/>
        <v>2524716</v>
      </c>
      <c r="G14" s="44">
        <f t="shared" si="8"/>
        <v>9771586</v>
      </c>
      <c r="H14" s="46">
        <f t="shared" si="8"/>
        <v>38589.83333</v>
      </c>
      <c r="I14" s="44">
        <f t="shared" si="5"/>
        <v>3876411</v>
      </c>
      <c r="J14" s="44">
        <f t="shared" si="6"/>
        <v>13647997</v>
      </c>
      <c r="K14" s="48"/>
      <c r="L14" s="49" t="s">
        <v>31</v>
      </c>
      <c r="M14" s="35">
        <f>(M13+M12+M9)*0.33</f>
        <v>4265596.5</v>
      </c>
      <c r="N14" s="3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>
      <c r="A15" s="50" t="s">
        <v>32</v>
      </c>
      <c r="B15" s="51">
        <f>SUM(B7:B12)+B14</f>
        <v>803333.3333</v>
      </c>
      <c r="C15" s="52"/>
      <c r="D15" s="51">
        <f t="shared" ref="D15:J15" si="9">SUM(D7:D12)+D14</f>
        <v>622520.8333</v>
      </c>
      <c r="E15" s="51">
        <f t="shared" si="9"/>
        <v>2603700</v>
      </c>
      <c r="F15" s="51">
        <f t="shared" si="9"/>
        <v>2603700</v>
      </c>
      <c r="G15" s="51">
        <f t="shared" si="9"/>
        <v>10073950</v>
      </c>
      <c r="H15" s="53">
        <f t="shared" si="9"/>
        <v>39783.33333</v>
      </c>
      <c r="I15" s="51">
        <f t="shared" si="9"/>
        <v>3996300</v>
      </c>
      <c r="J15" s="51">
        <f t="shared" si="9"/>
        <v>14070250</v>
      </c>
      <c r="K15" s="3"/>
      <c r="L15" s="54" t="s">
        <v>33</v>
      </c>
      <c r="M15" s="55">
        <f>M13-M14</f>
        <v>664153.5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56"/>
      <c r="M18" s="5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</sheetData>
  <drawing r:id="rId1"/>
</worksheet>
</file>