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8560" windowHeight="16040" tabRatio="377"/>
  </bookViews>
  <sheets>
    <sheet name="Simulation" sheetId="1" r:id="rId1"/>
    <sheet name="Grille de salair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O13" i="1"/>
  <c r="K38" i="1"/>
  <c r="K37" i="1"/>
  <c r="K32" i="1"/>
  <c r="K33" i="1"/>
  <c r="K34" i="1"/>
  <c r="K35" i="1"/>
  <c r="K36" i="1"/>
  <c r="K31" i="1"/>
  <c r="O16" i="1"/>
  <c r="C19" i="2"/>
  <c r="C31" i="1"/>
  <c r="G31" i="1"/>
  <c r="C20" i="2"/>
  <c r="C32" i="1"/>
  <c r="G32" i="1"/>
  <c r="C26" i="2"/>
  <c r="C33" i="1"/>
  <c r="G33" i="1"/>
  <c r="C34" i="1"/>
  <c r="G34" i="1"/>
  <c r="C35" i="1"/>
  <c r="G35" i="1"/>
  <c r="C23" i="2"/>
  <c r="C36" i="1"/>
  <c r="G36" i="1"/>
  <c r="C37" i="1"/>
  <c r="G37" i="1"/>
  <c r="G38" i="1"/>
  <c r="G39" i="1"/>
  <c r="O38" i="1"/>
  <c r="I29" i="1"/>
  <c r="H32" i="1"/>
  <c r="H33" i="1"/>
  <c r="H34" i="1"/>
  <c r="H35" i="1"/>
  <c r="H36" i="1"/>
  <c r="H37" i="1"/>
  <c r="H31" i="1"/>
  <c r="I31" i="1"/>
  <c r="O15" i="1"/>
  <c r="O37" i="1"/>
  <c r="E31" i="1"/>
  <c r="O32" i="1"/>
  <c r="D31" i="1"/>
  <c r="D32" i="1"/>
  <c r="D33" i="1"/>
  <c r="D34" i="1"/>
  <c r="D35" i="1"/>
  <c r="D36" i="1"/>
  <c r="D37" i="1"/>
  <c r="D38" i="1"/>
  <c r="D39" i="1"/>
  <c r="O35" i="1"/>
  <c r="O33" i="1"/>
  <c r="O36" i="1"/>
  <c r="F37" i="1"/>
  <c r="H38" i="1"/>
  <c r="H39" i="1"/>
  <c r="O41" i="1"/>
  <c r="J31" i="1"/>
  <c r="J32" i="1"/>
  <c r="J33" i="1"/>
  <c r="J34" i="1"/>
  <c r="J35" i="1"/>
  <c r="J36" i="1"/>
  <c r="J37" i="1"/>
  <c r="J38" i="1"/>
  <c r="J39" i="1"/>
  <c r="I32" i="1"/>
  <c r="I33" i="1"/>
  <c r="I34" i="1"/>
  <c r="I35" i="1"/>
  <c r="I36" i="1"/>
  <c r="I37" i="1"/>
  <c r="I38" i="1"/>
  <c r="I39" i="1"/>
  <c r="E32" i="1"/>
  <c r="E33" i="1"/>
  <c r="E34" i="1"/>
  <c r="E35" i="1"/>
  <c r="E36" i="1"/>
  <c r="E37" i="1"/>
  <c r="E38" i="1"/>
  <c r="E39" i="1"/>
  <c r="C38" i="1"/>
  <c r="C39" i="1"/>
  <c r="K8" i="1"/>
  <c r="L38" i="1"/>
  <c r="L37" i="1"/>
  <c r="L36" i="1"/>
  <c r="L35" i="1"/>
  <c r="L34" i="1"/>
  <c r="L33" i="1"/>
  <c r="L32" i="1"/>
  <c r="L31" i="1"/>
  <c r="K29" i="1"/>
  <c r="O17" i="1"/>
  <c r="H18" i="1"/>
  <c r="C33" i="2"/>
  <c r="C34" i="2"/>
  <c r="C21" i="2"/>
  <c r="C35" i="2"/>
  <c r="C22" i="2"/>
  <c r="C36" i="2"/>
  <c r="C37" i="2"/>
  <c r="C24" i="2"/>
  <c r="C38" i="2"/>
  <c r="C25" i="2"/>
  <c r="C39" i="2"/>
  <c r="C40" i="2"/>
  <c r="C27" i="2"/>
  <c r="C41" i="2"/>
  <c r="C28" i="2"/>
  <c r="C42" i="2"/>
  <c r="C29" i="2"/>
  <c r="C43" i="2"/>
  <c r="C18" i="2"/>
  <c r="C32" i="2"/>
  <c r="O55" i="1"/>
  <c r="C54" i="1"/>
  <c r="G54" i="1"/>
  <c r="H54" i="1"/>
  <c r="I54" i="1"/>
  <c r="C55" i="1"/>
  <c r="G55" i="1"/>
  <c r="H55" i="1"/>
  <c r="I55" i="1"/>
  <c r="C56" i="1"/>
  <c r="G56" i="1"/>
  <c r="H56" i="1"/>
  <c r="I56" i="1"/>
  <c r="C57" i="1"/>
  <c r="G57" i="1"/>
  <c r="H57" i="1"/>
  <c r="I57" i="1"/>
  <c r="C58" i="1"/>
  <c r="G58" i="1"/>
  <c r="H58" i="1"/>
  <c r="I58" i="1"/>
  <c r="C59" i="1"/>
  <c r="G59" i="1"/>
  <c r="H59" i="1"/>
  <c r="I59" i="1"/>
  <c r="C60" i="1"/>
  <c r="G60" i="1"/>
  <c r="H60" i="1"/>
  <c r="I60" i="1"/>
  <c r="I61" i="1"/>
  <c r="O58" i="1"/>
  <c r="O59" i="1"/>
  <c r="O56" i="1"/>
  <c r="O60" i="1"/>
  <c r="O61" i="1"/>
  <c r="O62" i="1"/>
  <c r="O63" i="1"/>
  <c r="O64" i="1"/>
  <c r="J54" i="1"/>
  <c r="J55" i="1"/>
  <c r="J56" i="1"/>
  <c r="J57" i="1"/>
  <c r="J58" i="1"/>
  <c r="J59" i="1"/>
  <c r="J60" i="1"/>
  <c r="J61" i="1"/>
  <c r="G61" i="1"/>
  <c r="H61" i="1"/>
  <c r="D54" i="1"/>
  <c r="D55" i="1"/>
  <c r="D56" i="1"/>
  <c r="D57" i="1"/>
  <c r="D58" i="1"/>
  <c r="D59" i="1"/>
  <c r="D60" i="1"/>
  <c r="D61" i="1"/>
  <c r="C61" i="1"/>
  <c r="K52" i="1"/>
  <c r="D32" i="2"/>
  <c r="D33" i="2"/>
  <c r="D34" i="2"/>
  <c r="D35" i="2"/>
  <c r="D36" i="2"/>
  <c r="D37" i="2"/>
  <c r="D38" i="2"/>
  <c r="D39" i="2"/>
  <c r="D40" i="2"/>
  <c r="D41" i="2"/>
  <c r="D42" i="2"/>
  <c r="D43" i="2"/>
  <c r="D19" i="2"/>
  <c r="D20" i="2"/>
  <c r="D21" i="2"/>
  <c r="D22" i="2"/>
  <c r="D23" i="2"/>
  <c r="D24" i="2"/>
  <c r="D25" i="2"/>
  <c r="D26" i="2"/>
  <c r="D27" i="2"/>
  <c r="D28" i="2"/>
  <c r="D29" i="2"/>
  <c r="D18" i="2"/>
  <c r="D5" i="2"/>
  <c r="D6" i="2"/>
  <c r="D7" i="2"/>
  <c r="D8" i="2"/>
  <c r="D9" i="2"/>
  <c r="D10" i="2"/>
  <c r="D11" i="2"/>
  <c r="D12" i="2"/>
  <c r="D13" i="2"/>
  <c r="D14" i="2"/>
  <c r="D15" i="2"/>
  <c r="D4" i="2"/>
  <c r="I8" i="1"/>
  <c r="C10" i="1"/>
  <c r="G10" i="1"/>
  <c r="C11" i="1"/>
  <c r="G11" i="1"/>
  <c r="C12" i="1"/>
  <c r="G12" i="1"/>
  <c r="C13" i="1"/>
  <c r="G13" i="1"/>
  <c r="C14" i="1"/>
  <c r="G14" i="1"/>
  <c r="C15" i="1"/>
  <c r="G15" i="1"/>
  <c r="C16" i="1"/>
  <c r="G16" i="1"/>
  <c r="G17" i="1"/>
  <c r="G18" i="1"/>
  <c r="H10" i="1"/>
  <c r="H11" i="1"/>
  <c r="H12" i="1"/>
  <c r="H13" i="1"/>
  <c r="H14" i="1"/>
  <c r="H15" i="1"/>
  <c r="H16" i="1"/>
  <c r="H17" i="1"/>
  <c r="D10" i="1"/>
  <c r="D11" i="1"/>
  <c r="D12" i="1"/>
  <c r="D13" i="1"/>
  <c r="D14" i="1"/>
  <c r="D15" i="1"/>
  <c r="D16" i="1"/>
  <c r="D17" i="1"/>
  <c r="D18" i="1"/>
  <c r="I16" i="1"/>
  <c r="I17" i="1"/>
  <c r="J17" i="1"/>
  <c r="E10" i="1"/>
  <c r="E11" i="1"/>
  <c r="E12" i="1"/>
  <c r="E13" i="1"/>
  <c r="E14" i="1"/>
  <c r="E15" i="1"/>
  <c r="E16" i="1"/>
  <c r="E17" i="1"/>
  <c r="E18" i="1"/>
  <c r="I10" i="1"/>
  <c r="I11" i="1"/>
  <c r="I12" i="1"/>
  <c r="I13" i="1"/>
  <c r="I14" i="1"/>
  <c r="I15" i="1"/>
  <c r="I18" i="1"/>
  <c r="J18" i="1"/>
  <c r="C17" i="1"/>
  <c r="C18" i="1"/>
  <c r="J16" i="1"/>
  <c r="O11" i="1"/>
  <c r="F16" i="1"/>
  <c r="J10" i="1"/>
  <c r="J11" i="1"/>
  <c r="J12" i="1"/>
  <c r="J13" i="1"/>
  <c r="J14" i="1"/>
  <c r="J15" i="1"/>
  <c r="C4" i="2"/>
  <c r="K61" i="1"/>
  <c r="L61" i="1"/>
  <c r="K60" i="1"/>
  <c r="L60" i="1"/>
  <c r="K59" i="1"/>
  <c r="L59" i="1"/>
  <c r="K58" i="1"/>
  <c r="L58" i="1"/>
  <c r="K57" i="1"/>
  <c r="L57" i="1"/>
  <c r="K56" i="1"/>
  <c r="L56" i="1"/>
  <c r="K55" i="1"/>
  <c r="L55" i="1"/>
  <c r="K54" i="1"/>
  <c r="L54" i="1"/>
  <c r="K10" i="1"/>
  <c r="L10" i="1"/>
  <c r="K16" i="1"/>
  <c r="L16" i="1"/>
  <c r="K15" i="1"/>
  <c r="L15" i="1"/>
  <c r="K14" i="1"/>
  <c r="L14" i="1"/>
  <c r="K13" i="1"/>
  <c r="L13" i="1"/>
  <c r="K12" i="1"/>
  <c r="L12" i="1"/>
  <c r="K11" i="1"/>
  <c r="L11" i="1"/>
  <c r="K17" i="1"/>
  <c r="L17" i="1"/>
  <c r="O19" i="1"/>
</calcChain>
</file>

<file path=xl/sharedStrings.xml><?xml version="1.0" encoding="utf-8"?>
<sst xmlns="http://schemas.openxmlformats.org/spreadsheetml/2006/main" count="249" uniqueCount="88">
  <si>
    <t>Outil d'évaluation de l'impact des revues de salaire</t>
  </si>
  <si>
    <t>Qui</t>
  </si>
  <si>
    <t>Année 2016-2017</t>
  </si>
  <si>
    <t>Léo</t>
  </si>
  <si>
    <t>Léa</t>
  </si>
  <si>
    <t>Léon</t>
  </si>
  <si>
    <t>Léonie</t>
  </si>
  <si>
    <t>Part de variable</t>
  </si>
  <si>
    <t xml:space="preserve">Hypothèses </t>
  </si>
  <si>
    <t>Nombre de jours travaillé par une personne à temps plein</t>
  </si>
  <si>
    <t>Coefficient de bonification du variable</t>
  </si>
  <si>
    <t>Niveau</t>
  </si>
  <si>
    <t>A</t>
  </si>
  <si>
    <t>1500-1600</t>
  </si>
  <si>
    <t>2000-2100</t>
  </si>
  <si>
    <t>C</t>
  </si>
  <si>
    <t>2500-2600</t>
  </si>
  <si>
    <t>D</t>
  </si>
  <si>
    <t>3000-3100</t>
  </si>
  <si>
    <t>E</t>
  </si>
  <si>
    <t>3500-3600</t>
  </si>
  <si>
    <t>F</t>
  </si>
  <si>
    <t>4000-4100</t>
  </si>
  <si>
    <t>G</t>
  </si>
  <si>
    <t>4500-4600</t>
  </si>
  <si>
    <t>H</t>
  </si>
  <si>
    <t>5000-5100</t>
  </si>
  <si>
    <t>I</t>
  </si>
  <si>
    <t>6000-6100</t>
  </si>
  <si>
    <t>J</t>
  </si>
  <si>
    <t>7000-7100</t>
  </si>
  <si>
    <t>K</t>
  </si>
  <si>
    <t>8000-8100</t>
  </si>
  <si>
    <t>L</t>
  </si>
  <si>
    <t>9000-9100</t>
  </si>
  <si>
    <t>Chiffres de l'organisation</t>
  </si>
  <si>
    <t>Chiffre d'affaire</t>
  </si>
  <si>
    <t>Rémunération du capital</t>
  </si>
  <si>
    <t>Investissements (amélioration des locaux)</t>
  </si>
  <si>
    <t>Charges patronales et salariales (0,5+0,24)*salaire net</t>
  </si>
  <si>
    <t>Frais de fonctionnement et charges (crédit, loyer, énergie, frais, …)</t>
  </si>
  <si>
    <t>Nbre de jours de présence</t>
  </si>
  <si>
    <t>Choix dans la grille de salaire</t>
  </si>
  <si>
    <t>Définition arbitraire</t>
  </si>
  <si>
    <t>Autres salariés</t>
  </si>
  <si>
    <t>Larry</t>
  </si>
  <si>
    <t>Lola</t>
  </si>
  <si>
    <t>B</t>
  </si>
  <si>
    <t>TOTAL</t>
  </si>
  <si>
    <t>Nombre de collaborateurs</t>
  </si>
  <si>
    <t>NA - le reste des salariés</t>
  </si>
  <si>
    <t xml:space="preserve">Marge </t>
  </si>
  <si>
    <t>Indice INSEE</t>
  </si>
  <si>
    <t>Salaires fixes + variables ACTUELS NETS</t>
  </si>
  <si>
    <t>Répartition du bénéfice (fonction du nombre de jours de présence)</t>
  </si>
  <si>
    <t>salaire annuel équivalent</t>
  </si>
  <si>
    <t>Salaire MENSUEL NET</t>
  </si>
  <si>
    <t>salaire annuel équivalent (fixe + variable)</t>
  </si>
  <si>
    <t>salaire annuel équivalent total (fixe + variable + participation)</t>
  </si>
  <si>
    <t>Montant des bénéfices à partager</t>
  </si>
  <si>
    <t>hypothèse arbitraire</t>
  </si>
  <si>
    <t>Taux de staffing</t>
  </si>
  <si>
    <t>TJM</t>
  </si>
  <si>
    <t>calculé : Taux de staffing * TJM * Nombre de jours * Nombre de personne</t>
  </si>
  <si>
    <t>Charges année 2015</t>
  </si>
  <si>
    <t>Enveloppe de répartition des bénéfices</t>
  </si>
  <si>
    <t>Salaire 2016-2107</t>
  </si>
  <si>
    <t>Journée de rémunération, définition des salaires pour l'année 2017-2018</t>
  </si>
  <si>
    <t>Année 2017-2018</t>
  </si>
  <si>
    <t>Salaire 2017-2108</t>
  </si>
  <si>
    <t>Salaire 2018-2109</t>
  </si>
  <si>
    <t>hypothèse arbitraire (comme l'année d'avant)</t>
  </si>
  <si>
    <t>hypothèse arbitraire (1 Million)</t>
  </si>
  <si>
    <t>Salaires fixes</t>
  </si>
  <si>
    <t>Variable bonifié ANNUEL théorique</t>
  </si>
  <si>
    <r>
      <t xml:space="preserve">Variable bonifié ANNUEL </t>
    </r>
    <r>
      <rPr>
        <b/>
        <sz val="12"/>
        <color theme="1"/>
        <rFont val="Calibri"/>
        <family val="2"/>
        <scheme val="minor"/>
      </rPr>
      <t>REEL</t>
    </r>
  </si>
  <si>
    <t>Enveloppe de répartition du variable réelle</t>
  </si>
  <si>
    <t>Montant total des variables redistribués</t>
  </si>
  <si>
    <t>Variable bonifié ANNUEL THEORIQUE</t>
  </si>
  <si>
    <t>salaire fixe annuel équivalent</t>
  </si>
  <si>
    <t>CA - charges de l'année</t>
  </si>
  <si>
    <t>hypothèse arbitraire (20%)</t>
  </si>
  <si>
    <t>Enveloppe de répartition des bénéfices (en net /1,76)</t>
  </si>
  <si>
    <t>Salaire MENSUEL BRUT</t>
  </si>
  <si>
    <t>BRUT annuel équivalent (salaire *12)</t>
  </si>
  <si>
    <t>Enveloppe de répartition du variable THEORIQUE</t>
  </si>
  <si>
    <t>Frais + Salaires</t>
  </si>
  <si>
    <t>CA - Frais - Salaires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</si>
</sst>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* #,##0.00_)\ &quot;€&quot;_ ;_ * \(#,##0.00\)\ &quot;€&quot;_ ;_ * &quot;-&quot;??_)\ &quot;€&quot;_ ;_ @_ "/>
    <numFmt numFmtId="164" formatCode="_-* #,##0.00\ [$€-40C]_-;\-* #,##0.00\ [$€-40C]_-;_-* &quot;-&quot;??\ [$€-40C]_-;_-@_-"/>
    <numFmt numFmtId="165" formatCode="_-* #,##0\ [$€-40C]_-;\-* #,##0\ [$€-40C]_-;_-* &quot;-&quot;??\ [$€-40C]_-;_-@_-"/>
    <numFmt numFmtId="166" formatCode="_ * #,##0_)\ &quot;€&quot;_ ;_ * \(#,##0\)\ &quot;€&quot;_ ;_ * &quot;-&quot;??_)\ &quot;€&quot;_ ;_ @_ 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6"/>
      <color theme="1"/>
      <name val="Calibri"/>
      <scheme val="minor"/>
    </font>
    <font>
      <b/>
      <sz val="16"/>
      <color rgb="FF000000"/>
      <name val="Arial"/>
    </font>
    <font>
      <sz val="16"/>
      <color rgb="FF000000"/>
      <name val="Arial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2DDE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8B77A9"/>
      </top>
      <bottom style="medium">
        <color rgb="FF8B77A9"/>
      </bottom>
      <diagonal/>
    </border>
    <border>
      <left/>
      <right/>
      <top/>
      <bottom style="medium">
        <color rgb="FF8B77A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80"/>
      </left>
      <right style="thick">
        <color rgb="FFFF0080"/>
      </right>
      <top style="thick">
        <color rgb="FFFF0080"/>
      </top>
      <bottom style="thick">
        <color rgb="FFFF0080"/>
      </bottom>
      <diagonal/>
    </border>
    <border>
      <left style="thick">
        <color theme="6" tint="-0.249977111117893"/>
      </left>
      <right style="thick">
        <color theme="6" tint="-0.249977111117893"/>
      </right>
      <top style="thick">
        <color theme="6" tint="-0.249977111117893"/>
      </top>
      <bottom style="thick">
        <color theme="6" tint="-0.24997711111789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0" fontId="2" fillId="0" borderId="0" xfId="0" applyFont="1"/>
    <xf numFmtId="0" fontId="6" fillId="3" borderId="0" xfId="0" applyFont="1" applyFill="1"/>
    <xf numFmtId="0" fontId="6" fillId="4" borderId="0" xfId="0" applyFont="1" applyFill="1"/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0" fontId="7" fillId="0" borderId="0" xfId="0" applyFont="1"/>
    <xf numFmtId="0" fontId="8" fillId="2" borderId="0" xfId="0" applyFont="1" applyFill="1" applyAlignment="1">
      <alignment horizontal="justify" vertical="center" wrapText="1"/>
    </xf>
    <xf numFmtId="0" fontId="9" fillId="2" borderId="0" xfId="0" applyFont="1" applyFill="1" applyAlignment="1">
      <alignment horizontal="justify" vertical="center" wrapText="1"/>
    </xf>
    <xf numFmtId="165" fontId="9" fillId="2" borderId="0" xfId="0" applyNumberFormat="1" applyFont="1" applyFill="1" applyAlignment="1">
      <alignment horizontal="justify" vertical="center" wrapText="1"/>
    </xf>
    <xf numFmtId="0" fontId="8" fillId="0" borderId="0" xfId="0" applyFont="1" applyAlignment="1">
      <alignment horizontal="justify" vertical="center" wrapText="1"/>
    </xf>
    <xf numFmtId="0" fontId="9" fillId="0" borderId="0" xfId="0" applyFont="1" applyAlignment="1">
      <alignment horizontal="justify" vertical="center" wrapText="1"/>
    </xf>
    <xf numFmtId="0" fontId="8" fillId="0" borderId="2" xfId="0" applyFont="1" applyBorder="1" applyAlignment="1">
      <alignment horizontal="justify" vertical="center" wrapText="1"/>
    </xf>
    <xf numFmtId="0" fontId="9" fillId="0" borderId="2" xfId="0" applyFont="1" applyBorder="1" applyAlignment="1">
      <alignment horizontal="justify" vertical="center" wrapText="1"/>
    </xf>
    <xf numFmtId="165" fontId="9" fillId="0" borderId="0" xfId="0" applyNumberFormat="1" applyFont="1" applyAlignment="1">
      <alignment horizontal="justify" vertical="center" wrapText="1"/>
    </xf>
    <xf numFmtId="165" fontId="9" fillId="0" borderId="2" xfId="0" applyNumberFormat="1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6" fontId="0" fillId="0" borderId="0" xfId="31" applyNumberFormat="1" applyFont="1"/>
    <xf numFmtId="165" fontId="0" fillId="0" borderId="0" xfId="0" applyNumberFormat="1"/>
    <xf numFmtId="0" fontId="11" fillId="0" borderId="3" xfId="0" applyFont="1" applyFill="1" applyBorder="1"/>
    <xf numFmtId="164" fontId="2" fillId="0" borderId="0" xfId="0" applyNumberFormat="1" applyFont="1"/>
    <xf numFmtId="0" fontId="11" fillId="0" borderId="5" xfId="0" applyFont="1" applyFill="1" applyBorder="1"/>
    <xf numFmtId="0" fontId="0" fillId="0" borderId="4" xfId="0" applyBorder="1" applyAlignment="1">
      <alignment wrapText="1"/>
    </xf>
    <xf numFmtId="0" fontId="0" fillId="5" borderId="4" xfId="0" applyFill="1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4" xfId="0" applyBorder="1" applyAlignment="1">
      <alignment horizontal="center" wrapText="1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9" fontId="2" fillId="0" borderId="4" xfId="0" applyNumberFormat="1" applyFont="1" applyBorder="1"/>
    <xf numFmtId="164" fontId="2" fillId="0" borderId="4" xfId="0" applyNumberFormat="1" applyFont="1" applyBorder="1"/>
    <xf numFmtId="165" fontId="2" fillId="0" borderId="4" xfId="0" applyNumberFormat="1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" borderId="4" xfId="0" applyFill="1" applyBorder="1" applyAlignment="1">
      <alignment wrapText="1"/>
    </xf>
    <xf numFmtId="164" fontId="2" fillId="0" borderId="0" xfId="0" applyNumberFormat="1" applyFont="1" applyAlignment="1">
      <alignment wrapText="1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164" fontId="0" fillId="0" borderId="6" xfId="0" applyNumberFormat="1" applyBorder="1"/>
    <xf numFmtId="0" fontId="6" fillId="6" borderId="0" xfId="0" applyFont="1" applyFill="1"/>
    <xf numFmtId="0" fontId="0" fillId="6" borderId="0" xfId="0" applyFill="1"/>
    <xf numFmtId="0" fontId="13" fillId="6" borderId="0" xfId="0" applyFont="1" applyFill="1"/>
    <xf numFmtId="9" fontId="12" fillId="6" borderId="0" xfId="0" applyNumberFormat="1" applyFont="1" applyFill="1" applyAlignment="1">
      <alignment wrapText="1"/>
    </xf>
    <xf numFmtId="0" fontId="11" fillId="0" borderId="0" xfId="0" applyFont="1" applyFill="1" applyBorder="1"/>
    <xf numFmtId="164" fontId="0" fillId="0" borderId="7" xfId="0" applyNumberFormat="1" applyBorder="1"/>
    <xf numFmtId="165" fontId="12" fillId="6" borderId="0" xfId="0" applyNumberFormat="1" applyFont="1" applyFill="1"/>
    <xf numFmtId="1" fontId="0" fillId="0" borderId="4" xfId="0" applyNumberFormat="1" applyBorder="1"/>
    <xf numFmtId="1" fontId="2" fillId="0" borderId="0" xfId="0" applyNumberFormat="1" applyFont="1"/>
    <xf numFmtId="1" fontId="2" fillId="0" borderId="4" xfId="0" applyNumberFormat="1" applyFont="1" applyBorder="1"/>
    <xf numFmtId="0" fontId="0" fillId="0" borderId="4" xfId="0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/>
    <xf numFmtId="1" fontId="2" fillId="0" borderId="0" xfId="0" applyNumberFormat="1" applyFont="1" applyBorder="1"/>
    <xf numFmtId="164" fontId="10" fillId="7" borderId="0" xfId="0" applyNumberFormat="1" applyFont="1" applyFill="1" applyAlignment="1">
      <alignment wrapText="1"/>
    </xf>
    <xf numFmtId="164" fontId="10" fillId="7" borderId="0" xfId="0" applyNumberFormat="1" applyFont="1" applyFill="1"/>
  </cellXfs>
  <cellStyles count="108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Monétaire" xfId="31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topLeftCell="E1" workbookViewId="0">
      <pane ySplit="1" topLeftCell="A7" activePane="bottomLeft" state="frozenSplit"/>
      <selection pane="bottomLeft" activeCell="O15" sqref="O15"/>
    </sheetView>
  </sheetViews>
  <sheetFormatPr baseColWidth="10" defaultRowHeight="15" outlineLevelCol="1" x14ac:dyDescent="0"/>
  <cols>
    <col min="1" max="1" width="14" customWidth="1"/>
    <col min="2" max="2" width="14.33203125" customWidth="1"/>
    <col min="3" max="3" width="10.1640625" customWidth="1"/>
    <col min="4" max="5" width="10.5" customWidth="1"/>
    <col min="6" max="6" width="14" bestFit="1" customWidth="1"/>
    <col min="7" max="9" width="15.33203125" customWidth="1" outlineLevel="1"/>
    <col min="10" max="10" width="9.83203125" customWidth="1"/>
    <col min="11" max="11" width="17.5" customWidth="1" outlineLevel="1"/>
    <col min="12" max="12" width="14.83203125" customWidth="1" outlineLevel="1"/>
    <col min="13" max="13" width="6" customWidth="1"/>
    <col min="14" max="14" width="56" customWidth="1"/>
    <col min="15" max="15" width="16.5" bestFit="1" customWidth="1"/>
    <col min="16" max="16" width="65.1640625" customWidth="1"/>
  </cols>
  <sheetData>
    <row r="1" spans="1:18" ht="25">
      <c r="A1" s="1" t="s">
        <v>0</v>
      </c>
      <c r="B1" s="1"/>
      <c r="N1" s="1" t="s">
        <v>35</v>
      </c>
    </row>
    <row r="3" spans="1:18" ht="18">
      <c r="A3" s="3" t="s">
        <v>2</v>
      </c>
      <c r="B3" s="3"/>
      <c r="N3" s="3" t="s">
        <v>2</v>
      </c>
    </row>
    <row r="5" spans="1:18" ht="18" customHeight="1">
      <c r="N5" s="44" t="s">
        <v>8</v>
      </c>
    </row>
    <row r="6" spans="1:18">
      <c r="H6" s="40"/>
      <c r="I6" s="5"/>
      <c r="N6" s="45" t="s">
        <v>9</v>
      </c>
      <c r="O6" s="24">
        <v>217</v>
      </c>
    </row>
    <row r="7" spans="1:18" ht="16" thickBot="1">
      <c r="I7" s="40" t="s">
        <v>77</v>
      </c>
      <c r="K7" s="41" t="s">
        <v>59</v>
      </c>
      <c r="N7" s="45" t="s">
        <v>49</v>
      </c>
      <c r="O7" s="24">
        <v>200</v>
      </c>
    </row>
    <row r="8" spans="1:18" ht="17" thickTop="1" thickBot="1">
      <c r="C8" s="45"/>
      <c r="D8" s="45"/>
      <c r="E8" s="45"/>
      <c r="F8" s="45" t="s">
        <v>10</v>
      </c>
      <c r="G8" s="26">
        <v>1.2</v>
      </c>
      <c r="H8" s="51"/>
      <c r="I8" s="46">
        <f>H18</f>
        <v>2548440</v>
      </c>
      <c r="K8" s="52">
        <f>O18</f>
        <v>4000000</v>
      </c>
      <c r="P8" s="22"/>
    </row>
    <row r="9" spans="1:18" s="61" customFormat="1" ht="61" thickTop="1">
      <c r="A9" s="57" t="s">
        <v>1</v>
      </c>
      <c r="B9" s="57" t="s">
        <v>42</v>
      </c>
      <c r="C9" s="57" t="s">
        <v>83</v>
      </c>
      <c r="D9" s="58" t="s">
        <v>55</v>
      </c>
      <c r="E9" s="58" t="s">
        <v>79</v>
      </c>
      <c r="F9" s="59" t="s">
        <v>7</v>
      </c>
      <c r="G9" s="59" t="s">
        <v>74</v>
      </c>
      <c r="H9" s="59" t="s">
        <v>75</v>
      </c>
      <c r="I9" s="58" t="s">
        <v>57</v>
      </c>
      <c r="J9" s="57" t="s">
        <v>41</v>
      </c>
      <c r="K9" s="60" t="s">
        <v>54</v>
      </c>
      <c r="L9" s="58" t="s">
        <v>58</v>
      </c>
      <c r="N9" s="62" t="s">
        <v>61</v>
      </c>
      <c r="O9" s="63">
        <v>0.92</v>
      </c>
      <c r="P9" s="64" t="s">
        <v>60</v>
      </c>
    </row>
    <row r="10" spans="1:18">
      <c r="A10" s="29" t="s">
        <v>3</v>
      </c>
      <c r="B10" s="30" t="s">
        <v>47</v>
      </c>
      <c r="C10" s="29">
        <f>(VLOOKUP(B10,'Grille de salaire'!$A$3:$C$15,3,FALSE))</f>
        <v>2100</v>
      </c>
      <c r="D10" s="29">
        <f>C10*12</f>
        <v>25200</v>
      </c>
      <c r="E10" s="29">
        <f>C10*(1-F10)*12</f>
        <v>15120</v>
      </c>
      <c r="F10" s="31">
        <v>0.4</v>
      </c>
      <c r="G10" s="32">
        <f>($C10*$F10*12)*$G$8</f>
        <v>12096</v>
      </c>
      <c r="H10" s="32">
        <f>G10</f>
        <v>12096</v>
      </c>
      <c r="I10" s="32">
        <f>C10*(1-F10)*12+G10</f>
        <v>27216</v>
      </c>
      <c r="J10" s="29">
        <f>O6</f>
        <v>217</v>
      </c>
      <c r="K10" s="33">
        <f>$K$8/$J$18*J10</f>
        <v>21818.18181818182</v>
      </c>
      <c r="L10" s="32">
        <f>I10+K10</f>
        <v>49034.181818181823</v>
      </c>
      <c r="N10" s="45" t="s">
        <v>62</v>
      </c>
      <c r="O10" s="23">
        <v>650</v>
      </c>
      <c r="P10" t="s">
        <v>60</v>
      </c>
    </row>
    <row r="11" spans="1:18">
      <c r="A11" s="29" t="s">
        <v>4</v>
      </c>
      <c r="B11" s="30" t="s">
        <v>15</v>
      </c>
      <c r="C11" s="29">
        <f>VLOOKUP(B11,'Grille de salaire'!$A$3:$C$15,3,FALSE)</f>
        <v>2600</v>
      </c>
      <c r="D11" s="29">
        <f t="shared" ref="D11:D14" si="0">C11*12</f>
        <v>31200</v>
      </c>
      <c r="E11" s="29">
        <f t="shared" ref="E11:E16" si="1">C11*(1-F11)*12</f>
        <v>24960</v>
      </c>
      <c r="F11" s="31">
        <v>0.2</v>
      </c>
      <c r="G11" s="32">
        <f t="shared" ref="G11:G16" si="2">($C11*$F11*12)*$G$8</f>
        <v>7488</v>
      </c>
      <c r="H11" s="32">
        <f t="shared" ref="H11:H17" si="3">G11</f>
        <v>7488</v>
      </c>
      <c r="I11" s="32">
        <f t="shared" ref="I11:I15" si="4">C11*(1-F11)*12+G11</f>
        <v>32448</v>
      </c>
      <c r="J11" s="29">
        <f>O6</f>
        <v>217</v>
      </c>
      <c r="K11" s="33">
        <f>$K$8/$J$18*J11</f>
        <v>21818.18181818182</v>
      </c>
      <c r="L11" s="32">
        <f t="shared" ref="L11:L16" si="5">I11+K11</f>
        <v>54266.181818181823</v>
      </c>
      <c r="N11" s="20" t="s">
        <v>36</v>
      </c>
      <c r="O11" s="69">
        <f>O10*O9*O6*O7</f>
        <v>25953200</v>
      </c>
      <c r="P11" s="21" t="s">
        <v>63</v>
      </c>
    </row>
    <row r="12" spans="1:18">
      <c r="A12" s="29" t="s">
        <v>5</v>
      </c>
      <c r="B12" s="30" t="s">
        <v>27</v>
      </c>
      <c r="C12" s="29">
        <f>VLOOKUP(B12,'Grille de salaire'!$A$3:$C$15,3,FALSE)</f>
        <v>6100</v>
      </c>
      <c r="D12" s="29">
        <f t="shared" si="0"/>
        <v>73200</v>
      </c>
      <c r="E12" s="29">
        <f t="shared" si="1"/>
        <v>73200</v>
      </c>
      <c r="F12" s="31">
        <v>0</v>
      </c>
      <c r="G12" s="32">
        <f t="shared" si="2"/>
        <v>0</v>
      </c>
      <c r="H12" s="32">
        <f t="shared" si="3"/>
        <v>0</v>
      </c>
      <c r="I12" s="32">
        <f t="shared" si="4"/>
        <v>73200</v>
      </c>
      <c r="J12" s="29">
        <f>O6/2</f>
        <v>108.5</v>
      </c>
      <c r="K12" s="33">
        <f>$K$8/$J$18*J12</f>
        <v>10909.09090909091</v>
      </c>
      <c r="L12" s="32">
        <f t="shared" si="5"/>
        <v>84109.090909090912</v>
      </c>
      <c r="N12" s="45" t="s">
        <v>40</v>
      </c>
      <c r="O12" s="70">
        <v>2000000</v>
      </c>
      <c r="P12" t="s">
        <v>60</v>
      </c>
      <c r="R12" s="20"/>
    </row>
    <row r="13" spans="1:18">
      <c r="A13" s="29" t="s">
        <v>6</v>
      </c>
      <c r="B13" s="30" t="s">
        <v>27</v>
      </c>
      <c r="C13" s="29">
        <f>VLOOKUP(B13,'Grille de salaire'!$A$3:$C$15,3,FALSE)</f>
        <v>6100</v>
      </c>
      <c r="D13" s="29">
        <f t="shared" si="0"/>
        <v>73200</v>
      </c>
      <c r="E13" s="29">
        <f t="shared" si="1"/>
        <v>36600</v>
      </c>
      <c r="F13" s="31">
        <v>0.5</v>
      </c>
      <c r="G13" s="32">
        <f t="shared" si="2"/>
        <v>43920</v>
      </c>
      <c r="H13" s="32">
        <f t="shared" si="3"/>
        <v>43920</v>
      </c>
      <c r="I13" s="32">
        <f t="shared" si="4"/>
        <v>80520</v>
      </c>
      <c r="J13" s="29">
        <f>O6</f>
        <v>217</v>
      </c>
      <c r="K13" s="33">
        <f>$K$8/$J$18*J13</f>
        <v>21818.18181818182</v>
      </c>
      <c r="L13" s="32">
        <f t="shared" si="5"/>
        <v>102338.18181818182</v>
      </c>
      <c r="N13" t="s">
        <v>73</v>
      </c>
      <c r="O13" s="5">
        <f>D18</f>
        <v>9440000</v>
      </c>
    </row>
    <row r="14" spans="1:18">
      <c r="A14" s="29" t="s">
        <v>45</v>
      </c>
      <c r="B14" s="30" t="s">
        <v>15</v>
      </c>
      <c r="C14" s="29">
        <f>VLOOKUP(B14,'Grille de salaire'!$A$3:$C$15,3,FALSE)</f>
        <v>2600</v>
      </c>
      <c r="D14" s="29">
        <f t="shared" si="0"/>
        <v>31200</v>
      </c>
      <c r="E14" s="29">
        <f t="shared" si="1"/>
        <v>28080</v>
      </c>
      <c r="F14" s="31">
        <v>0.1</v>
      </c>
      <c r="G14" s="32">
        <f t="shared" si="2"/>
        <v>3744</v>
      </c>
      <c r="H14" s="32">
        <f t="shared" si="3"/>
        <v>3744</v>
      </c>
      <c r="I14" s="32">
        <f t="shared" si="4"/>
        <v>31824</v>
      </c>
      <c r="J14" s="29">
        <f>O6</f>
        <v>217</v>
      </c>
      <c r="K14" s="33">
        <f>$K$8/$J$18*J14</f>
        <v>21818.18181818182</v>
      </c>
      <c r="L14" s="32">
        <f t="shared" si="5"/>
        <v>53642.181818181823</v>
      </c>
      <c r="N14" s="2" t="s">
        <v>87</v>
      </c>
      <c r="O14" s="25">
        <f>O11-O12-O13</f>
        <v>14513200</v>
      </c>
    </row>
    <row r="15" spans="1:18">
      <c r="A15" s="29" t="s">
        <v>46</v>
      </c>
      <c r="B15" s="30" t="s">
        <v>21</v>
      </c>
      <c r="C15" s="29">
        <f>VLOOKUP(B15,'Grille de salaire'!$A$3:$C$15,3,FALSE)</f>
        <v>4100</v>
      </c>
      <c r="D15" s="29">
        <f>C15*12</f>
        <v>49200</v>
      </c>
      <c r="E15" s="29">
        <f t="shared" si="1"/>
        <v>41820</v>
      </c>
      <c r="F15" s="31">
        <v>0.15</v>
      </c>
      <c r="G15" s="32">
        <f t="shared" si="2"/>
        <v>8856</v>
      </c>
      <c r="H15" s="32">
        <f t="shared" si="3"/>
        <v>8856</v>
      </c>
      <c r="I15" s="32">
        <f t="shared" si="4"/>
        <v>50676</v>
      </c>
      <c r="J15" s="29">
        <f>O6</f>
        <v>217</v>
      </c>
      <c r="K15" s="33">
        <f>$K$8/$J$18*J15</f>
        <v>21818.18181818182</v>
      </c>
      <c r="L15" s="32">
        <f t="shared" si="5"/>
        <v>72494.181818181823</v>
      </c>
      <c r="N15" s="45" t="s">
        <v>37</v>
      </c>
      <c r="O15" s="5">
        <f>O14*20%</f>
        <v>2902640</v>
      </c>
      <c r="P15" t="s">
        <v>81</v>
      </c>
    </row>
    <row r="16" spans="1:18" ht="32" customHeight="1" thickBot="1">
      <c r="A16" s="29" t="s">
        <v>44</v>
      </c>
      <c r="B16" s="34" t="s">
        <v>50</v>
      </c>
      <c r="C16">
        <f>AVERAGE(C10:C15)</f>
        <v>3933.3333333333335</v>
      </c>
      <c r="D16" s="29">
        <f>C16*12</f>
        <v>47200</v>
      </c>
      <c r="E16" s="29">
        <f t="shared" ref="E16" si="6">C16*(1-F16)*12</f>
        <v>36580</v>
      </c>
      <c r="F16" s="31">
        <f>AVERAGE(F10:F15)</f>
        <v>0.22500000000000001</v>
      </c>
      <c r="G16" s="32">
        <f t="shared" si="2"/>
        <v>12744</v>
      </c>
      <c r="H16" s="32">
        <f t="shared" si="3"/>
        <v>12744</v>
      </c>
      <c r="I16" s="32">
        <f>C16*(1-F16)*12+G16</f>
        <v>49324</v>
      </c>
      <c r="J16" s="54">
        <f>AVERAGE(J10:J15)</f>
        <v>198.91666666666666</v>
      </c>
      <c r="K16" s="33">
        <f>$K$8/$J$18*J16</f>
        <v>20000.000000000004</v>
      </c>
      <c r="L16" s="32">
        <f t="shared" si="5"/>
        <v>69324</v>
      </c>
      <c r="N16" t="s">
        <v>85</v>
      </c>
      <c r="O16" s="5">
        <f>G18</f>
        <v>2548440</v>
      </c>
    </row>
    <row r="17" spans="1:18" s="2" customFormat="1" ht="32" thickTop="1" thickBot="1">
      <c r="A17" s="29" t="s">
        <v>44</v>
      </c>
      <c r="B17" s="34" t="s">
        <v>50</v>
      </c>
      <c r="C17" s="2">
        <f>C16*($O$7-COUNTA($A$10:$A$15))</f>
        <v>763066.66666666674</v>
      </c>
      <c r="D17" s="2">
        <f>D16*($O$7-COUNTA($A$10:$A$15))</f>
        <v>9156800</v>
      </c>
      <c r="E17" s="2">
        <f t="shared" ref="E17" si="7">E16*($O$7-COUNTA($A$10:$A$15))</f>
        <v>7096520</v>
      </c>
      <c r="G17" s="2">
        <f t="shared" ref="G17" si="8">G16*($O$7-COUNTA($A$10:$A$15))</f>
        <v>2472336</v>
      </c>
      <c r="H17" s="2">
        <f t="shared" ref="H17" si="9">H16*($O$7-COUNTA($A$10:$A$15))</f>
        <v>2472336</v>
      </c>
      <c r="I17" s="2">
        <f t="shared" ref="I17" si="10">I16*($O$7-COUNTA($A$10:$A$15))</f>
        <v>9568856</v>
      </c>
      <c r="J17" s="55">
        <f t="shared" ref="J17" si="11">J16*($O$7-COUNTA($A$10:$A$15))</f>
        <v>38589.833333333328</v>
      </c>
      <c r="K17" s="39">
        <f>$K$8/$J$18*J18</f>
        <v>4000000</v>
      </c>
      <c r="L17" s="39">
        <f>$K$8/$J$18*K17</f>
        <v>402178466.69459575</v>
      </c>
      <c r="N17" t="s">
        <v>76</v>
      </c>
      <c r="O17" s="46">
        <f>O16</f>
        <v>2548440</v>
      </c>
      <c r="P17"/>
      <c r="Q17"/>
      <c r="R17"/>
    </row>
    <row r="18" spans="1:18" ht="17" thickTop="1" thickBot="1">
      <c r="A18" s="35"/>
      <c r="B18" s="36" t="s">
        <v>48</v>
      </c>
      <c r="C18" s="35">
        <f>SUM(C10:C15)+C17</f>
        <v>786666.66666666674</v>
      </c>
      <c r="D18" s="35">
        <f t="shared" ref="D18:J18" si="12">SUM(D10:D15)+D17</f>
        <v>9440000</v>
      </c>
      <c r="E18" s="35">
        <f t="shared" si="12"/>
        <v>7316300</v>
      </c>
      <c r="F18" s="35"/>
      <c r="G18" s="38">
        <f>SUM(G10:G15)+G17</f>
        <v>2548440</v>
      </c>
      <c r="H18" s="38">
        <f>SUM(H10:H15)+H17</f>
        <v>2548440</v>
      </c>
      <c r="I18" s="35">
        <f t="shared" si="12"/>
        <v>9864740</v>
      </c>
      <c r="J18" s="56">
        <f t="shared" si="12"/>
        <v>39783.333333333328</v>
      </c>
      <c r="L18" s="5"/>
      <c r="N18" s="2" t="s">
        <v>82</v>
      </c>
      <c r="O18" s="52">
        <v>4000000</v>
      </c>
      <c r="P18" t="s">
        <v>60</v>
      </c>
    </row>
    <row r="19" spans="1:18" ht="16" thickTop="1">
      <c r="A19" s="65"/>
      <c r="B19" s="66"/>
      <c r="C19" s="65"/>
      <c r="D19" s="65"/>
      <c r="E19" s="65"/>
      <c r="F19" s="65"/>
      <c r="G19" s="67"/>
      <c r="H19" s="65"/>
      <c r="I19" s="65"/>
      <c r="J19" s="68"/>
      <c r="L19" s="5"/>
      <c r="N19" s="2" t="s">
        <v>38</v>
      </c>
      <c r="O19" s="5">
        <f>O14-O15-O17-O18</f>
        <v>5062120</v>
      </c>
    </row>
    <row r="20" spans="1:18">
      <c r="B20" s="6"/>
      <c r="G20" s="5"/>
      <c r="H20" s="5"/>
      <c r="I20" s="5"/>
      <c r="J20" s="5"/>
      <c r="L20" s="5"/>
    </row>
    <row r="21" spans="1:18">
      <c r="B21" s="6"/>
      <c r="G21" s="5"/>
      <c r="H21" s="5"/>
      <c r="I21" s="5"/>
      <c r="J21" s="5"/>
      <c r="L21" s="5"/>
      <c r="Q21" s="2"/>
      <c r="R21" s="2"/>
    </row>
    <row r="22" spans="1:18">
      <c r="B22" s="6"/>
      <c r="G22" s="5"/>
      <c r="H22" s="5"/>
      <c r="I22" s="5"/>
      <c r="J22" s="5"/>
      <c r="L22" s="5"/>
    </row>
    <row r="23" spans="1:18" ht="18">
      <c r="A23" s="49" t="s">
        <v>67</v>
      </c>
      <c r="B23" s="47"/>
      <c r="C23" s="48"/>
      <c r="D23" s="48"/>
      <c r="E23" s="48"/>
      <c r="F23" s="48"/>
      <c r="G23" s="47"/>
      <c r="H23" s="47"/>
      <c r="I23" s="4" t="s">
        <v>52</v>
      </c>
      <c r="J23" s="4">
        <v>1.02</v>
      </c>
      <c r="K23" s="47"/>
      <c r="L23" s="47"/>
      <c r="N23" s="49" t="s">
        <v>68</v>
      </c>
      <c r="O23" s="49"/>
    </row>
    <row r="26" spans="1:18" ht="18" customHeight="1">
      <c r="N26" s="44" t="s">
        <v>8</v>
      </c>
    </row>
    <row r="27" spans="1:18">
      <c r="H27" s="40"/>
      <c r="I27" s="5"/>
      <c r="N27" s="45" t="s">
        <v>9</v>
      </c>
      <c r="O27" s="24">
        <v>217</v>
      </c>
    </row>
    <row r="28" spans="1:18" ht="16" thickBot="1">
      <c r="I28" s="40" t="s">
        <v>77</v>
      </c>
      <c r="K28" s="41" t="s">
        <v>59</v>
      </c>
      <c r="N28" s="45" t="s">
        <v>49</v>
      </c>
      <c r="O28" s="24">
        <v>200</v>
      </c>
    </row>
    <row r="29" spans="1:18" ht="17" thickTop="1" thickBot="1">
      <c r="C29" s="45"/>
      <c r="D29" s="45"/>
      <c r="E29" s="45"/>
      <c r="F29" s="45" t="s">
        <v>10</v>
      </c>
      <c r="G29" s="26">
        <v>1.2</v>
      </c>
      <c r="H29" s="51"/>
      <c r="I29" s="46">
        <f>O39</f>
        <v>1000000</v>
      </c>
      <c r="K29" s="52">
        <f>O40</f>
        <v>0</v>
      </c>
      <c r="P29" s="22"/>
    </row>
    <row r="30" spans="1:18" s="61" customFormat="1" ht="61" thickTop="1">
      <c r="A30" s="57" t="s">
        <v>1</v>
      </c>
      <c r="B30" s="57" t="s">
        <v>42</v>
      </c>
      <c r="C30" s="57" t="s">
        <v>83</v>
      </c>
      <c r="D30" s="58" t="s">
        <v>55</v>
      </c>
      <c r="E30" s="58" t="s">
        <v>79</v>
      </c>
      <c r="F30" s="59" t="s">
        <v>7</v>
      </c>
      <c r="G30" s="59" t="s">
        <v>74</v>
      </c>
      <c r="H30" s="59" t="s">
        <v>75</v>
      </c>
      <c r="I30" s="58" t="s">
        <v>57</v>
      </c>
      <c r="J30" s="57" t="s">
        <v>41</v>
      </c>
      <c r="K30" s="60" t="s">
        <v>54</v>
      </c>
      <c r="L30" s="58" t="s">
        <v>58</v>
      </c>
      <c r="N30" s="62" t="s">
        <v>61</v>
      </c>
      <c r="O30" s="63">
        <v>0.62</v>
      </c>
      <c r="P30" s="64" t="s">
        <v>60</v>
      </c>
    </row>
    <row r="31" spans="1:18">
      <c r="A31" s="29" t="s">
        <v>3</v>
      </c>
      <c r="B31" s="30" t="s">
        <v>47</v>
      </c>
      <c r="C31" s="29">
        <f>(VLOOKUP(B31,'Grille de salaire'!$A$17:$D$29,3,FALSE))</f>
        <v>2142</v>
      </c>
      <c r="D31" s="29">
        <f>C31*12</f>
        <v>25704</v>
      </c>
      <c r="E31" s="29">
        <f>C31*(1-F31)*12</f>
        <v>15422.400000000001</v>
      </c>
      <c r="F31" s="31">
        <v>0.4</v>
      </c>
      <c r="G31" s="32">
        <f>($C31*$F31*12)*$G$8</f>
        <v>12337.92</v>
      </c>
      <c r="H31" s="32">
        <f>G31*$I$29/$G$39</f>
        <v>4746.4331120214711</v>
      </c>
      <c r="I31" s="32">
        <f>C31*(1-F31)*12+G31</f>
        <v>27760.32</v>
      </c>
      <c r="J31" s="29">
        <f>O27</f>
        <v>217</v>
      </c>
      <c r="K31" s="33">
        <f>$K$29/$J$18*J31</f>
        <v>0</v>
      </c>
      <c r="L31" s="32">
        <f>I31+K31</f>
        <v>27760.32</v>
      </c>
      <c r="N31" s="45" t="s">
        <v>62</v>
      </c>
      <c r="O31" s="23">
        <v>600</v>
      </c>
      <c r="P31" t="s">
        <v>60</v>
      </c>
    </row>
    <row r="32" spans="1:18">
      <c r="A32" s="29" t="s">
        <v>4</v>
      </c>
      <c r="B32" s="30" t="s">
        <v>15</v>
      </c>
      <c r="C32" s="29">
        <f>(VLOOKUP(B32,'Grille de salaire'!$A$17:$D$29,3,FALSE))</f>
        <v>2652</v>
      </c>
      <c r="D32" s="29">
        <f t="shared" ref="D32:D35" si="13">C32*12</f>
        <v>31824</v>
      </c>
      <c r="E32" s="29">
        <f t="shared" ref="E32:E37" si="14">C32*(1-F32)*12</f>
        <v>25459.199999999997</v>
      </c>
      <c r="F32" s="31">
        <v>0.2</v>
      </c>
      <c r="G32" s="32">
        <f t="shared" ref="G32:G37" si="15">($C32*$F32*12)*$G$8</f>
        <v>7637.7599999999984</v>
      </c>
      <c r="H32" s="32">
        <f t="shared" ref="H32:H37" si="16">G32*$I$29/$G$39</f>
        <v>2938.2681169656721</v>
      </c>
      <c r="I32" s="32">
        <f t="shared" ref="I32:I36" si="17">C32*(1-F32)*12+G32</f>
        <v>33096.959999999992</v>
      </c>
      <c r="J32" s="29">
        <f>O27</f>
        <v>217</v>
      </c>
      <c r="K32" s="33">
        <f t="shared" ref="K32:K36" si="18">$K$29/$J$18*J32</f>
        <v>0</v>
      </c>
      <c r="L32" s="32">
        <f t="shared" ref="L32:L37" si="19">I32+K32</f>
        <v>33096.959999999992</v>
      </c>
      <c r="N32" s="20" t="s">
        <v>36</v>
      </c>
      <c r="O32" s="43">
        <f>O31*O30*O27*O28</f>
        <v>16144800</v>
      </c>
      <c r="P32" s="21" t="s">
        <v>63</v>
      </c>
    </row>
    <row r="33" spans="1:18">
      <c r="A33" s="29" t="s">
        <v>5</v>
      </c>
      <c r="B33" s="30" t="s">
        <v>27</v>
      </c>
      <c r="C33" s="29">
        <f>(VLOOKUP(B33,'Grille de salaire'!$A$17:$D$29,3,FALSE))</f>
        <v>6222</v>
      </c>
      <c r="D33" s="29">
        <f t="shared" si="13"/>
        <v>74664</v>
      </c>
      <c r="E33" s="29">
        <f t="shared" si="14"/>
        <v>74664</v>
      </c>
      <c r="F33" s="31">
        <v>0</v>
      </c>
      <c r="G33" s="32">
        <f t="shared" si="15"/>
        <v>0</v>
      </c>
      <c r="H33" s="32">
        <f t="shared" si="16"/>
        <v>0</v>
      </c>
      <c r="I33" s="32">
        <f t="shared" si="17"/>
        <v>74664</v>
      </c>
      <c r="J33" s="29">
        <f>O27/2</f>
        <v>108.5</v>
      </c>
      <c r="K33" s="33">
        <f t="shared" si="18"/>
        <v>0</v>
      </c>
      <c r="L33" s="32">
        <f t="shared" si="19"/>
        <v>74664</v>
      </c>
      <c r="N33" t="s">
        <v>86</v>
      </c>
      <c r="O33" s="25">
        <f>SUM(O34:O35)</f>
        <v>11628800</v>
      </c>
      <c r="R33" s="20"/>
    </row>
    <row r="34" spans="1:18">
      <c r="A34" s="29" t="s">
        <v>6</v>
      </c>
      <c r="B34" s="30" t="s">
        <v>27</v>
      </c>
      <c r="C34" s="29">
        <f>(VLOOKUP(B34,'Grille de salaire'!$A$17:$D$29,3,FALSE))</f>
        <v>6222</v>
      </c>
      <c r="D34" s="29">
        <f t="shared" si="13"/>
        <v>74664</v>
      </c>
      <c r="E34" s="29">
        <f t="shared" si="14"/>
        <v>37332</v>
      </c>
      <c r="F34" s="31">
        <v>0.5</v>
      </c>
      <c r="G34" s="32">
        <f t="shared" si="15"/>
        <v>44798.400000000001</v>
      </c>
      <c r="H34" s="32">
        <f t="shared" si="16"/>
        <v>17234.072609125582</v>
      </c>
      <c r="I34" s="32">
        <f t="shared" si="17"/>
        <v>82130.399999999994</v>
      </c>
      <c r="J34" s="29">
        <f>O27</f>
        <v>217</v>
      </c>
      <c r="K34" s="33">
        <f t="shared" si="18"/>
        <v>0</v>
      </c>
      <c r="L34" s="32">
        <f t="shared" si="19"/>
        <v>82130.399999999994</v>
      </c>
      <c r="N34" s="45" t="s">
        <v>40</v>
      </c>
      <c r="O34" s="5">
        <v>2000000</v>
      </c>
      <c r="P34" t="s">
        <v>60</v>
      </c>
    </row>
    <row r="35" spans="1:18">
      <c r="A35" s="29" t="s">
        <v>45</v>
      </c>
      <c r="B35" s="30" t="s">
        <v>15</v>
      </c>
      <c r="C35" s="29">
        <f>(VLOOKUP(B35,'Grille de salaire'!$A$17:$D$29,3,FALSE))</f>
        <v>2652</v>
      </c>
      <c r="D35" s="29">
        <f t="shared" si="13"/>
        <v>31824</v>
      </c>
      <c r="E35" s="29">
        <f t="shared" si="14"/>
        <v>28641.600000000002</v>
      </c>
      <c r="F35" s="31">
        <v>0.1</v>
      </c>
      <c r="G35" s="32">
        <f t="shared" si="15"/>
        <v>3818.8799999999992</v>
      </c>
      <c r="H35" s="32">
        <f t="shared" si="16"/>
        <v>1469.1340584828361</v>
      </c>
      <c r="I35" s="32">
        <f t="shared" si="17"/>
        <v>32460.480000000003</v>
      </c>
      <c r="J35" s="29">
        <f>O27</f>
        <v>217</v>
      </c>
      <c r="K35" s="33">
        <f t="shared" si="18"/>
        <v>0</v>
      </c>
      <c r="L35" s="32">
        <f t="shared" si="19"/>
        <v>32460.480000000003</v>
      </c>
      <c r="N35" t="s">
        <v>73</v>
      </c>
      <c r="O35" s="5">
        <f>D39</f>
        <v>9628800</v>
      </c>
    </row>
    <row r="36" spans="1:18">
      <c r="A36" s="29" t="s">
        <v>46</v>
      </c>
      <c r="B36" s="30" t="s">
        <v>21</v>
      </c>
      <c r="C36" s="29">
        <f>(VLOOKUP(B36,'Grille de salaire'!$A$17:$D$29,3,FALSE))</f>
        <v>4182</v>
      </c>
      <c r="D36" s="29">
        <f>C36*12</f>
        <v>50184</v>
      </c>
      <c r="E36" s="29">
        <f t="shared" si="14"/>
        <v>42656.399999999994</v>
      </c>
      <c r="F36" s="31">
        <v>0.15</v>
      </c>
      <c r="G36" s="32">
        <f t="shared" si="15"/>
        <v>9033.119999999999</v>
      </c>
      <c r="H36" s="32">
        <f t="shared" si="16"/>
        <v>3475.0670998728624</v>
      </c>
      <c r="I36" s="32">
        <f t="shared" si="17"/>
        <v>51689.51999999999</v>
      </c>
      <c r="J36" s="29">
        <f>O27</f>
        <v>217</v>
      </c>
      <c r="K36" s="33">
        <f t="shared" si="18"/>
        <v>0</v>
      </c>
      <c r="L36" s="32">
        <f t="shared" si="19"/>
        <v>51689.51999999999</v>
      </c>
      <c r="N36" s="2" t="s">
        <v>80</v>
      </c>
      <c r="O36" s="25">
        <f>O32-O33</f>
        <v>4516000</v>
      </c>
    </row>
    <row r="37" spans="1:18" ht="32" customHeight="1">
      <c r="A37" s="29" t="s">
        <v>44</v>
      </c>
      <c r="B37" s="34" t="s">
        <v>50</v>
      </c>
      <c r="C37">
        <f>AVERAGE(C31:C36)</f>
        <v>4012</v>
      </c>
      <c r="D37" s="29">
        <f>C37*12</f>
        <v>48144</v>
      </c>
      <c r="E37" s="29">
        <f t="shared" si="14"/>
        <v>37311.600000000006</v>
      </c>
      <c r="F37" s="31">
        <f>AVERAGE(F31:F36)</f>
        <v>0.22500000000000001</v>
      </c>
      <c r="G37" s="32">
        <f t="shared" si="15"/>
        <v>12998.880000000001</v>
      </c>
      <c r="H37" s="32">
        <f t="shared" si="16"/>
        <v>5000.706314451194</v>
      </c>
      <c r="I37" s="32">
        <f>C37*(1-F37)*12+G37</f>
        <v>50310.48000000001</v>
      </c>
      <c r="J37" s="54">
        <f>AVERAGE(J31:J36)</f>
        <v>198.91666666666666</v>
      </c>
      <c r="K37" s="33">
        <f>$K$29/$J$18*J37</f>
        <v>0</v>
      </c>
      <c r="L37" s="32">
        <f t="shared" si="19"/>
        <v>50310.48000000001</v>
      </c>
      <c r="N37" s="45" t="s">
        <v>37</v>
      </c>
      <c r="O37" s="5">
        <f>O15</f>
        <v>2902640</v>
      </c>
      <c r="P37" t="s">
        <v>81</v>
      </c>
    </row>
    <row r="38" spans="1:18" s="2" customFormat="1" ht="31" thickBot="1">
      <c r="A38" s="29" t="s">
        <v>44</v>
      </c>
      <c r="B38" s="34" t="s">
        <v>50</v>
      </c>
      <c r="C38" s="2">
        <f>C37*($O$7-COUNTA($A$10:$A$15))</f>
        <v>778328</v>
      </c>
      <c r="D38" s="2">
        <f>D37*($O$7-COUNTA($A$10:$A$15))</f>
        <v>9339936</v>
      </c>
      <c r="E38" s="2">
        <f t="shared" ref="E38" si="20">E37*($O$7-COUNTA($A$10:$A$15))</f>
        <v>7238450.4000000013</v>
      </c>
      <c r="G38" s="2">
        <f t="shared" ref="G38" si="21">G37*($O$7-COUNTA($A$10:$A$15))</f>
        <v>2521782.7200000002</v>
      </c>
      <c r="H38" s="2">
        <f t="shared" ref="H38" si="22">H37*($O$7-COUNTA($A$10:$A$15))</f>
        <v>970137.0250035316</v>
      </c>
      <c r="I38" s="2">
        <f t="shared" ref="I38" si="23">I37*($O$7-COUNTA($A$10:$A$15))</f>
        <v>9760233.1200000029</v>
      </c>
      <c r="J38" s="55">
        <f t="shared" ref="J38" si="24">J37*($O$7-COUNTA($A$10:$A$15))</f>
        <v>38589.833333333328</v>
      </c>
      <c r="K38" s="39">
        <f>$K$29/$J$18*J39</f>
        <v>0</v>
      </c>
      <c r="L38" s="39">
        <f>$K$8/$J$18*K38</f>
        <v>0</v>
      </c>
      <c r="N38" t="s">
        <v>85</v>
      </c>
      <c r="O38" s="5">
        <f>G39</f>
        <v>2599408.8000000003</v>
      </c>
      <c r="P38"/>
      <c r="Q38"/>
      <c r="R38"/>
    </row>
    <row r="39" spans="1:18" ht="17" thickTop="1" thickBot="1">
      <c r="A39" s="35"/>
      <c r="B39" s="36" t="s">
        <v>48</v>
      </c>
      <c r="C39" s="35">
        <f>SUM(C31:C36)+C38</f>
        <v>802400</v>
      </c>
      <c r="D39" s="35">
        <f t="shared" ref="D39" si="25">SUM(D31:D36)+D38</f>
        <v>9628800</v>
      </c>
      <c r="E39" s="35">
        <f t="shared" ref="E39" si="26">SUM(E31:E36)+E38</f>
        <v>7462626.0000000009</v>
      </c>
      <c r="F39" s="35"/>
      <c r="G39" s="38">
        <f>SUM(G31:G36)+G38</f>
        <v>2599408.8000000003</v>
      </c>
      <c r="H39" s="38">
        <f>SUM(H31:H36)+H38</f>
        <v>1000000</v>
      </c>
      <c r="I39" s="35">
        <f t="shared" ref="I39" si="27">SUM(I31:I36)+I38</f>
        <v>10062034.800000003</v>
      </c>
      <c r="J39" s="56">
        <f t="shared" ref="J39" si="28">SUM(J31:J36)+J38</f>
        <v>39783.333333333328</v>
      </c>
      <c r="L39" s="5"/>
      <c r="N39" t="s">
        <v>76</v>
      </c>
      <c r="O39" s="46">
        <v>1000000</v>
      </c>
    </row>
    <row r="40" spans="1:18" ht="17" thickTop="1" thickBot="1">
      <c r="A40" s="65"/>
      <c r="B40" s="66"/>
      <c r="C40" s="65"/>
      <c r="D40" s="65"/>
      <c r="E40" s="65"/>
      <c r="F40" s="65"/>
      <c r="G40" s="67"/>
      <c r="H40" s="65"/>
      <c r="I40" s="65"/>
      <c r="J40" s="68"/>
      <c r="L40" s="5"/>
      <c r="N40" s="2" t="s">
        <v>82</v>
      </c>
      <c r="O40" s="52">
        <v>0</v>
      </c>
      <c r="P40" t="s">
        <v>60</v>
      </c>
    </row>
    <row r="41" spans="1:18" ht="16" thickTop="1">
      <c r="B41" s="6"/>
      <c r="G41" s="5"/>
      <c r="H41" s="5"/>
      <c r="I41" s="5"/>
      <c r="J41" s="5"/>
      <c r="L41" s="5"/>
      <c r="N41" s="2" t="s">
        <v>38</v>
      </c>
      <c r="O41" s="5">
        <f>O36-O37-O39-O40</f>
        <v>613360</v>
      </c>
    </row>
    <row r="42" spans="1:18">
      <c r="B42" s="6"/>
      <c r="G42" s="5"/>
      <c r="H42" s="5"/>
      <c r="I42" s="5"/>
      <c r="J42" s="5"/>
      <c r="L42" s="5"/>
      <c r="Q42" s="2"/>
      <c r="R42" s="2"/>
    </row>
    <row r="43" spans="1:18">
      <c r="B43" s="6"/>
      <c r="G43" s="5"/>
      <c r="H43" s="5"/>
      <c r="I43" s="5"/>
      <c r="J43" s="5"/>
      <c r="L43" s="5"/>
    </row>
    <row r="47" spans="1:18" ht="18">
      <c r="A47" s="49" t="s">
        <v>67</v>
      </c>
      <c r="B47" s="47"/>
      <c r="C47" s="48"/>
      <c r="D47" s="48"/>
      <c r="E47" s="48"/>
      <c r="F47" s="48"/>
      <c r="G47" s="47"/>
      <c r="H47" s="47"/>
      <c r="I47" s="4" t="s">
        <v>52</v>
      </c>
      <c r="J47" s="4">
        <v>1.02</v>
      </c>
      <c r="K47" s="47"/>
      <c r="L47" s="47"/>
      <c r="N47" s="49" t="s">
        <v>68</v>
      </c>
      <c r="O47" s="49"/>
    </row>
    <row r="49" spans="1:18" ht="18" customHeight="1">
      <c r="N49" s="44" t="s">
        <v>8</v>
      </c>
    </row>
    <row r="50" spans="1:18">
      <c r="N50" s="45" t="s">
        <v>9</v>
      </c>
      <c r="O50" s="24">
        <v>218</v>
      </c>
    </row>
    <row r="51" spans="1:18" ht="16" thickBot="1">
      <c r="I51" s="40" t="s">
        <v>77</v>
      </c>
      <c r="K51" s="41" t="s">
        <v>59</v>
      </c>
      <c r="N51" s="45" t="s">
        <v>49</v>
      </c>
      <c r="O51" s="24">
        <v>200</v>
      </c>
    </row>
    <row r="52" spans="1:18" ht="17" thickTop="1" thickBot="1">
      <c r="C52" s="45"/>
      <c r="D52" s="45"/>
      <c r="E52" s="45"/>
      <c r="F52" s="45" t="s">
        <v>10</v>
      </c>
      <c r="G52" s="26">
        <v>1.2</v>
      </c>
      <c r="H52" s="51"/>
      <c r="I52" s="46">
        <v>481659.93120000511</v>
      </c>
      <c r="K52" s="52" t="e">
        <f>O64</f>
        <v>#VALUE!</v>
      </c>
      <c r="P52" s="22"/>
    </row>
    <row r="53" spans="1:18" s="20" customFormat="1" ht="61" thickTop="1">
      <c r="A53" s="27" t="s">
        <v>1</v>
      </c>
      <c r="B53" s="27" t="s">
        <v>42</v>
      </c>
      <c r="C53" s="27" t="s">
        <v>56</v>
      </c>
      <c r="D53" s="28" t="s">
        <v>55</v>
      </c>
      <c r="E53" s="28"/>
      <c r="F53" s="42" t="s">
        <v>7</v>
      </c>
      <c r="G53" s="42" t="s">
        <v>78</v>
      </c>
      <c r="H53" s="42" t="s">
        <v>75</v>
      </c>
      <c r="I53" s="28" t="s">
        <v>57</v>
      </c>
      <c r="J53" s="27" t="s">
        <v>41</v>
      </c>
      <c r="K53" s="27" t="s">
        <v>54</v>
      </c>
      <c r="L53" s="28" t="s">
        <v>58</v>
      </c>
      <c r="N53" s="45" t="s">
        <v>61</v>
      </c>
      <c r="O53" s="50">
        <v>0.65</v>
      </c>
      <c r="P53" t="s">
        <v>60</v>
      </c>
    </row>
    <row r="54" spans="1:18">
      <c r="A54" s="29" t="s">
        <v>3</v>
      </c>
      <c r="B54" s="30" t="s">
        <v>25</v>
      </c>
      <c r="C54" s="29">
        <f>(VLOOKUP(B54,'Grille de salaire'!$A$17:$D$29,3,FALSE))</f>
        <v>5202</v>
      </c>
      <c r="D54" s="29">
        <f>C54*12</f>
        <v>62424</v>
      </c>
      <c r="E54" s="29"/>
      <c r="F54" s="31">
        <v>0.4</v>
      </c>
      <c r="G54" s="32">
        <f>($C54*$F54*12)*$G$8</f>
        <v>29963.52</v>
      </c>
      <c r="H54" s="32" t="e">
        <f>G54*$I$28/$G$37</f>
        <v>#VALUE!</v>
      </c>
      <c r="I54" s="32" t="e">
        <f>C54*(1-F54)*12+H54</f>
        <v>#VALUE!</v>
      </c>
      <c r="J54" s="29">
        <f>O50</f>
        <v>218</v>
      </c>
      <c r="K54" s="33">
        <f>$K$8/$J$18*J54</f>
        <v>21918.726434855471</v>
      </c>
      <c r="L54" s="32" t="e">
        <f>I54+K54</f>
        <v>#VALUE!</v>
      </c>
      <c r="N54" s="45" t="s">
        <v>62</v>
      </c>
      <c r="O54" s="53">
        <v>600</v>
      </c>
      <c r="P54" t="s">
        <v>60</v>
      </c>
    </row>
    <row r="55" spans="1:18">
      <c r="A55" s="29" t="s">
        <v>4</v>
      </c>
      <c r="B55" s="30" t="s">
        <v>15</v>
      </c>
      <c r="C55" s="29">
        <f>(VLOOKUP(B55,'Grille de salaire'!$A$17:$D$29,3,FALSE))</f>
        <v>2652</v>
      </c>
      <c r="D55" s="29">
        <f t="shared" ref="D55:D59" si="29">C55*12</f>
        <v>31824</v>
      </c>
      <c r="E55" s="29"/>
      <c r="F55" s="31">
        <v>0.2</v>
      </c>
      <c r="G55" s="32">
        <f t="shared" ref="G55:G59" si="30">($C55*$F55*12)*$G$8</f>
        <v>7637.7599999999984</v>
      </c>
      <c r="H55" s="32" t="e">
        <f t="shared" ref="H55:H61" si="31">G55*$I$28/$G$37</f>
        <v>#VALUE!</v>
      </c>
      <c r="I55" s="32" t="e">
        <f>C55*(1-F55)*12+H55</f>
        <v>#VALUE!</v>
      </c>
      <c r="J55" s="29">
        <f>O50</f>
        <v>218</v>
      </c>
      <c r="K55" s="33">
        <f>$K$8/$J$18*J55</f>
        <v>21918.726434855471</v>
      </c>
      <c r="L55" s="32" t="e">
        <f t="shared" ref="L55:L60" si="32">I55+K55</f>
        <v>#VALUE!</v>
      </c>
      <c r="N55" s="20" t="s">
        <v>36</v>
      </c>
      <c r="O55" s="43">
        <f>O54*O53*O50*O51</f>
        <v>17004000</v>
      </c>
      <c r="P55" s="21" t="s">
        <v>63</v>
      </c>
    </row>
    <row r="56" spans="1:18">
      <c r="A56" s="29" t="s">
        <v>5</v>
      </c>
      <c r="B56" s="30" t="s">
        <v>27</v>
      </c>
      <c r="C56" s="29">
        <f>(VLOOKUP(B56,'Grille de salaire'!$A$17:$D$29,3,FALSE))</f>
        <v>6222</v>
      </c>
      <c r="D56" s="29">
        <f t="shared" si="29"/>
        <v>74664</v>
      </c>
      <c r="E56" s="29"/>
      <c r="F56" s="31">
        <v>0</v>
      </c>
      <c r="G56" s="32">
        <f t="shared" si="30"/>
        <v>0</v>
      </c>
      <c r="H56" s="32" t="e">
        <f t="shared" si="31"/>
        <v>#VALUE!</v>
      </c>
      <c r="I56" s="32" t="e">
        <f>C56*(1-F56)*12+H56</f>
        <v>#VALUE!</v>
      </c>
      <c r="J56" s="29">
        <f>O50/2</f>
        <v>109</v>
      </c>
      <c r="K56" s="33">
        <f>$K$8/$J$18*J56</f>
        <v>10959.363217427735</v>
      </c>
      <c r="L56" s="32" t="e">
        <f t="shared" si="32"/>
        <v>#VALUE!</v>
      </c>
      <c r="N56" t="s">
        <v>64</v>
      </c>
      <c r="O56" s="25" t="e">
        <f>SUM(O57:O59)</f>
        <v>#VALUE!</v>
      </c>
      <c r="R56" s="20"/>
    </row>
    <row r="57" spans="1:18">
      <c r="A57" s="29" t="s">
        <v>6</v>
      </c>
      <c r="B57" s="30" t="s">
        <v>27</v>
      </c>
      <c r="C57" s="29">
        <f>(VLOOKUP(B57,'Grille de salaire'!$A$17:$D$29,3,FALSE))</f>
        <v>6222</v>
      </c>
      <c r="D57" s="29">
        <f t="shared" si="29"/>
        <v>74664</v>
      </c>
      <c r="E57" s="29"/>
      <c r="F57" s="31">
        <v>0.5</v>
      </c>
      <c r="G57" s="32">
        <f t="shared" si="30"/>
        <v>44798.400000000001</v>
      </c>
      <c r="H57" s="32" t="e">
        <f t="shared" si="31"/>
        <v>#VALUE!</v>
      </c>
      <c r="I57" s="32" t="e">
        <f>C57*(1-F57)*12+H57</f>
        <v>#VALUE!</v>
      </c>
      <c r="J57" s="29">
        <f>O50</f>
        <v>218</v>
      </c>
      <c r="K57" s="33">
        <f>$K$8/$J$18*J57</f>
        <v>21918.726434855471</v>
      </c>
      <c r="L57" s="32" t="e">
        <f t="shared" si="32"/>
        <v>#VALUE!</v>
      </c>
      <c r="N57" s="45" t="s">
        <v>40</v>
      </c>
      <c r="O57" s="5">
        <v>12000000</v>
      </c>
      <c r="P57" t="s">
        <v>60</v>
      </c>
    </row>
    <row r="58" spans="1:18">
      <c r="A58" s="29" t="s">
        <v>45</v>
      </c>
      <c r="B58" s="30" t="s">
        <v>15</v>
      </c>
      <c r="C58" s="29">
        <f>(VLOOKUP(B58,'Grille de salaire'!$A$17:$D$29,3,FALSE))</f>
        <v>2652</v>
      </c>
      <c r="D58" s="29">
        <f t="shared" si="29"/>
        <v>31824</v>
      </c>
      <c r="E58" s="29"/>
      <c r="F58" s="31">
        <v>0.1</v>
      </c>
      <c r="G58" s="32">
        <f t="shared" si="30"/>
        <v>3818.8799999999992</v>
      </c>
      <c r="H58" s="32" t="e">
        <f t="shared" si="31"/>
        <v>#VALUE!</v>
      </c>
      <c r="I58" s="32" t="e">
        <f>C58*(1-F58)*12+H58</f>
        <v>#VALUE!</v>
      </c>
      <c r="J58" s="29">
        <f>O50</f>
        <v>218</v>
      </c>
      <c r="K58" s="33">
        <f>$K$8/$J$18*J58</f>
        <v>21918.726434855471</v>
      </c>
      <c r="L58" s="32" t="e">
        <f t="shared" si="32"/>
        <v>#VALUE!</v>
      </c>
      <c r="N58" t="s">
        <v>53</v>
      </c>
      <c r="O58" s="5" t="e">
        <f>I61</f>
        <v>#VALUE!</v>
      </c>
    </row>
    <row r="59" spans="1:18">
      <c r="A59" s="29" t="s">
        <v>46</v>
      </c>
      <c r="B59" s="30" t="s">
        <v>21</v>
      </c>
      <c r="C59" s="29">
        <f>(VLOOKUP(B59,'Grille de salaire'!$A$17:$D$29,3,FALSE))</f>
        <v>4182</v>
      </c>
      <c r="D59" s="29">
        <f t="shared" si="29"/>
        <v>50184</v>
      </c>
      <c r="E59" s="29"/>
      <c r="F59" s="31">
        <v>0.1</v>
      </c>
      <c r="G59" s="32">
        <f t="shared" si="30"/>
        <v>6022.0800000000008</v>
      </c>
      <c r="H59" s="32" t="e">
        <f t="shared" si="31"/>
        <v>#VALUE!</v>
      </c>
      <c r="I59" s="32" t="e">
        <f>C59*(1-F59)*12+H59</f>
        <v>#VALUE!</v>
      </c>
      <c r="J59" s="29">
        <f>O50</f>
        <v>218</v>
      </c>
      <c r="K59" s="33">
        <f>$K$8/$J$18*J59</f>
        <v>21918.726434855471</v>
      </c>
      <c r="L59" s="32" t="e">
        <f t="shared" si="32"/>
        <v>#VALUE!</v>
      </c>
      <c r="N59" t="s">
        <v>39</v>
      </c>
      <c r="O59" s="5" t="e">
        <f>O58*(0.5+0.24)</f>
        <v>#VALUE!</v>
      </c>
    </row>
    <row r="60" spans="1:18" ht="32" customHeight="1">
      <c r="A60" s="29" t="s">
        <v>44</v>
      </c>
      <c r="B60" s="34" t="s">
        <v>21</v>
      </c>
      <c r="C60" s="29">
        <f>(VLOOKUP(B60,'Grille de salaire'!$A$17:$D$29,3,FALSE))</f>
        <v>4182</v>
      </c>
      <c r="D60" s="29">
        <f>C60*12*(O51-COUNTA(D54:D59))</f>
        <v>9735696</v>
      </c>
      <c r="E60" s="29"/>
      <c r="F60" s="31">
        <v>0.15</v>
      </c>
      <c r="G60" s="32">
        <f>($C60*$F60*12)*$G$8*(O51-COUNTA(B54:B59))</f>
        <v>1752425.2799999998</v>
      </c>
      <c r="H60" s="32" t="e">
        <f t="shared" si="31"/>
        <v>#VALUE!</v>
      </c>
      <c r="I60" s="32" t="e">
        <f>C60*(1-F60)*12+H60</f>
        <v>#VALUE!</v>
      </c>
      <c r="J60" s="29">
        <f>O50*(O51-COUNTA(A54:A59))</f>
        <v>42292</v>
      </c>
      <c r="K60" s="33">
        <f>$K$8/$J$18*J60</f>
        <v>4252232.9283619616</v>
      </c>
      <c r="L60" s="32" t="e">
        <f t="shared" si="32"/>
        <v>#VALUE!</v>
      </c>
      <c r="N60" t="s">
        <v>51</v>
      </c>
      <c r="O60" s="5" t="e">
        <f>O55-O56</f>
        <v>#VALUE!</v>
      </c>
    </row>
    <row r="61" spans="1:18" s="2" customFormat="1">
      <c r="A61" s="35"/>
      <c r="B61" s="36" t="s">
        <v>48</v>
      </c>
      <c r="C61" s="35">
        <f>SUM(C54:C59)+C60*(O51-COUNTA(A54:A59))</f>
        <v>838440</v>
      </c>
      <c r="D61" s="35">
        <f>SUM(D54:D60)</f>
        <v>10061280</v>
      </c>
      <c r="E61" s="35"/>
      <c r="F61" s="37"/>
      <c r="G61" s="38">
        <f>SUM(G54:G60)</f>
        <v>1844665.9199999997</v>
      </c>
      <c r="H61" s="32" t="e">
        <f t="shared" si="31"/>
        <v>#VALUE!</v>
      </c>
      <c r="I61" s="38" t="e">
        <f>SUM(I54:I60)</f>
        <v>#VALUE!</v>
      </c>
      <c r="J61" s="35">
        <f>SUM(J54:J60)</f>
        <v>43491</v>
      </c>
      <c r="K61" s="39">
        <f>$K$8/$J$18*J61</f>
        <v>4372785.9237536667</v>
      </c>
      <c r="L61" s="39">
        <f>$K$8/$J$18*K61</f>
        <v>439660084.4997403</v>
      </c>
      <c r="N61" s="45" t="s">
        <v>37</v>
      </c>
      <c r="O61" s="5">
        <f>O41</f>
        <v>613360</v>
      </c>
      <c r="P61" t="s">
        <v>71</v>
      </c>
      <c r="Q61"/>
      <c r="R61"/>
    </row>
    <row r="62" spans="1:18" ht="16" thickBot="1">
      <c r="B62" s="6"/>
      <c r="G62" s="5"/>
      <c r="H62" s="5"/>
      <c r="I62" s="5"/>
      <c r="J62" s="5"/>
      <c r="L62" s="5"/>
      <c r="N62" s="45" t="s">
        <v>38</v>
      </c>
      <c r="O62" s="5">
        <f>1000000</f>
        <v>1000000</v>
      </c>
      <c r="P62" t="s">
        <v>72</v>
      </c>
    </row>
    <row r="63" spans="1:18" ht="17" thickTop="1" thickBot="1">
      <c r="B63" s="6"/>
      <c r="G63" s="5"/>
      <c r="H63" s="5"/>
      <c r="I63" s="5"/>
      <c r="J63" s="5"/>
      <c r="L63" s="5"/>
      <c r="N63" t="s">
        <v>76</v>
      </c>
      <c r="O63" s="46" t="e">
        <f>(O60-O61-O62)*0.74</f>
        <v>#VALUE!</v>
      </c>
    </row>
    <row r="64" spans="1:18" ht="17" thickTop="1" thickBot="1">
      <c r="B64" s="6"/>
      <c r="G64" s="5"/>
      <c r="H64" s="5"/>
      <c r="I64" s="5"/>
      <c r="J64" s="5"/>
      <c r="L64" s="5"/>
      <c r="N64" s="2" t="s">
        <v>65</v>
      </c>
      <c r="O64" s="52" t="e">
        <f>O60-O61-O62-O63/0.74</f>
        <v>#VALUE!</v>
      </c>
      <c r="Q64" s="2"/>
      <c r="R64" s="2"/>
    </row>
    <row r="65" spans="2:16" ht="16" thickTop="1">
      <c r="F65" s="7"/>
      <c r="G65" s="5"/>
      <c r="H65" s="5"/>
      <c r="I65" s="5"/>
      <c r="K65" s="23"/>
      <c r="L65" s="5"/>
      <c r="O65" s="5"/>
    </row>
    <row r="66" spans="2:16">
      <c r="B66" s="6"/>
      <c r="G66" s="5"/>
      <c r="H66" s="5"/>
      <c r="I66" s="5"/>
      <c r="K66" s="23"/>
      <c r="L66" s="5"/>
      <c r="O66" s="5"/>
      <c r="P66" s="5"/>
    </row>
    <row r="67" spans="2:16">
      <c r="B67" s="6"/>
      <c r="G67" s="5"/>
      <c r="H67" s="5"/>
      <c r="I67" s="5"/>
      <c r="J67" s="5"/>
      <c r="L67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topLeftCell="A8" workbookViewId="0">
      <selection activeCell="D32" sqref="D32"/>
    </sheetView>
  </sheetViews>
  <sheetFormatPr baseColWidth="10" defaultRowHeight="20" x14ac:dyDescent="0"/>
  <cols>
    <col min="1" max="1" width="10.83203125" style="8"/>
    <col min="2" max="2" width="24" style="8" bestFit="1" customWidth="1"/>
    <col min="3" max="3" width="27" style="8" customWidth="1"/>
    <col min="4" max="4" width="36" style="8" customWidth="1"/>
    <col min="5" max="6" width="10.83203125" style="8"/>
  </cols>
  <sheetData>
    <row r="2" spans="1:6" ht="21" thickBot="1"/>
    <row r="3" spans="1:6" s="6" customFormat="1" ht="37" thickBot="1">
      <c r="A3" s="18" t="s">
        <v>11</v>
      </c>
      <c r="B3" s="18" t="s">
        <v>66</v>
      </c>
      <c r="C3" s="18" t="s">
        <v>43</v>
      </c>
      <c r="D3" s="18" t="s">
        <v>84</v>
      </c>
      <c r="E3" s="19"/>
      <c r="F3" s="19"/>
    </row>
    <row r="4" spans="1:6">
      <c r="A4" s="9" t="s">
        <v>12</v>
      </c>
      <c r="B4" s="10" t="s">
        <v>13</v>
      </c>
      <c r="C4" s="11">
        <f>1600</f>
        <v>1600</v>
      </c>
      <c r="D4" s="11">
        <f>C4*12</f>
        <v>19200</v>
      </c>
    </row>
    <row r="5" spans="1:6">
      <c r="A5" s="12" t="s">
        <v>47</v>
      </c>
      <c r="B5" s="13" t="s">
        <v>14</v>
      </c>
      <c r="C5" s="16">
        <v>2100</v>
      </c>
      <c r="D5" s="16">
        <f t="shared" ref="D5:D15" si="0">C5*12</f>
        <v>25200</v>
      </c>
    </row>
    <row r="6" spans="1:6">
      <c r="A6" s="9" t="s">
        <v>15</v>
      </c>
      <c r="B6" s="10" t="s">
        <v>16</v>
      </c>
      <c r="C6" s="11">
        <v>2600</v>
      </c>
      <c r="D6" s="11">
        <f t="shared" si="0"/>
        <v>31200</v>
      </c>
    </row>
    <row r="7" spans="1:6">
      <c r="A7" s="12" t="s">
        <v>17</v>
      </c>
      <c r="B7" s="13" t="s">
        <v>18</v>
      </c>
      <c r="C7" s="16">
        <v>3100</v>
      </c>
      <c r="D7" s="16">
        <f t="shared" si="0"/>
        <v>37200</v>
      </c>
    </row>
    <row r="8" spans="1:6">
      <c r="A8" s="9" t="s">
        <v>19</v>
      </c>
      <c r="B8" s="10" t="s">
        <v>20</v>
      </c>
      <c r="C8" s="11">
        <v>3600</v>
      </c>
      <c r="D8" s="11">
        <f t="shared" si="0"/>
        <v>43200</v>
      </c>
    </row>
    <row r="9" spans="1:6">
      <c r="A9" s="12" t="s">
        <v>21</v>
      </c>
      <c r="B9" s="13" t="s">
        <v>22</v>
      </c>
      <c r="C9" s="16">
        <v>4100</v>
      </c>
      <c r="D9" s="16">
        <f t="shared" si="0"/>
        <v>49200</v>
      </c>
    </row>
    <row r="10" spans="1:6">
      <c r="A10" s="9" t="s">
        <v>23</v>
      </c>
      <c r="B10" s="10" t="s">
        <v>24</v>
      </c>
      <c r="C10" s="11">
        <v>4600</v>
      </c>
      <c r="D10" s="11">
        <f t="shared" si="0"/>
        <v>55200</v>
      </c>
    </row>
    <row r="11" spans="1:6">
      <c r="A11" s="12" t="s">
        <v>25</v>
      </c>
      <c r="B11" s="13" t="s">
        <v>26</v>
      </c>
      <c r="C11" s="16">
        <v>5100</v>
      </c>
      <c r="D11" s="16">
        <f t="shared" si="0"/>
        <v>61200</v>
      </c>
    </row>
    <row r="12" spans="1:6">
      <c r="A12" s="9" t="s">
        <v>27</v>
      </c>
      <c r="B12" s="10" t="s">
        <v>28</v>
      </c>
      <c r="C12" s="11">
        <v>6100</v>
      </c>
      <c r="D12" s="11">
        <f t="shared" si="0"/>
        <v>73200</v>
      </c>
    </row>
    <row r="13" spans="1:6">
      <c r="A13" s="12" t="s">
        <v>29</v>
      </c>
      <c r="B13" s="13" t="s">
        <v>30</v>
      </c>
      <c r="C13" s="16">
        <v>7100</v>
      </c>
      <c r="D13" s="16">
        <f t="shared" si="0"/>
        <v>85200</v>
      </c>
    </row>
    <row r="14" spans="1:6">
      <c r="A14" s="9" t="s">
        <v>31</v>
      </c>
      <c r="B14" s="10" t="s">
        <v>32</v>
      </c>
      <c r="C14" s="11">
        <v>8100</v>
      </c>
      <c r="D14" s="11">
        <f t="shared" si="0"/>
        <v>97200</v>
      </c>
    </row>
    <row r="15" spans="1:6" ht="21" thickBot="1">
      <c r="A15" s="14" t="s">
        <v>33</v>
      </c>
      <c r="B15" s="15" t="s">
        <v>34</v>
      </c>
      <c r="C15" s="17">
        <v>9100</v>
      </c>
      <c r="D15" s="17">
        <f t="shared" si="0"/>
        <v>109200</v>
      </c>
    </row>
    <row r="16" spans="1:6" ht="21" thickBot="1"/>
    <row r="17" spans="1:6" s="6" customFormat="1" ht="37" thickBot="1">
      <c r="A17" s="18" t="s">
        <v>11</v>
      </c>
      <c r="B17" s="18" t="s">
        <v>69</v>
      </c>
      <c r="C17" s="18" t="s">
        <v>43</v>
      </c>
      <c r="D17" s="18" t="s">
        <v>84</v>
      </c>
      <c r="E17" s="19"/>
      <c r="F17" s="19"/>
    </row>
    <row r="18" spans="1:6">
      <c r="A18" s="9" t="s">
        <v>12</v>
      </c>
      <c r="B18" s="10" t="s">
        <v>13</v>
      </c>
      <c r="C18" s="11">
        <f>C4*Simulation!$J$23</f>
        <v>1632</v>
      </c>
      <c r="D18" s="11">
        <f>C18*12</f>
        <v>19584</v>
      </c>
    </row>
    <row r="19" spans="1:6">
      <c r="A19" s="12" t="s">
        <v>47</v>
      </c>
      <c r="B19" s="13" t="s">
        <v>14</v>
      </c>
      <c r="C19" s="16">
        <f>C5*Simulation!$J$23</f>
        <v>2142</v>
      </c>
      <c r="D19" s="16">
        <f t="shared" ref="D19:D29" si="1">C19*12</f>
        <v>25704</v>
      </c>
    </row>
    <row r="20" spans="1:6">
      <c r="A20" s="9" t="s">
        <v>15</v>
      </c>
      <c r="B20" s="10" t="s">
        <v>16</v>
      </c>
      <c r="C20" s="11">
        <f>C6*Simulation!$J$23</f>
        <v>2652</v>
      </c>
      <c r="D20" s="11">
        <f t="shared" si="1"/>
        <v>31824</v>
      </c>
    </row>
    <row r="21" spans="1:6">
      <c r="A21" s="12" t="s">
        <v>17</v>
      </c>
      <c r="B21" s="13" t="s">
        <v>18</v>
      </c>
      <c r="C21" s="16">
        <f>C7*Simulation!$J$23</f>
        <v>3162</v>
      </c>
      <c r="D21" s="16">
        <f t="shared" si="1"/>
        <v>37944</v>
      </c>
    </row>
    <row r="22" spans="1:6">
      <c r="A22" s="9" t="s">
        <v>19</v>
      </c>
      <c r="B22" s="10" t="s">
        <v>20</v>
      </c>
      <c r="C22" s="11">
        <f>C8*Simulation!$J$23</f>
        <v>3672</v>
      </c>
      <c r="D22" s="11">
        <f t="shared" si="1"/>
        <v>44064</v>
      </c>
    </row>
    <row r="23" spans="1:6">
      <c r="A23" s="12" t="s">
        <v>21</v>
      </c>
      <c r="B23" s="13" t="s">
        <v>22</v>
      </c>
      <c r="C23" s="16">
        <f>C9*Simulation!$J$23</f>
        <v>4182</v>
      </c>
      <c r="D23" s="16">
        <f t="shared" si="1"/>
        <v>50184</v>
      </c>
    </row>
    <row r="24" spans="1:6">
      <c r="A24" s="9" t="s">
        <v>23</v>
      </c>
      <c r="B24" s="10" t="s">
        <v>24</v>
      </c>
      <c r="C24" s="11">
        <f>C10*Simulation!$J$23</f>
        <v>4692</v>
      </c>
      <c r="D24" s="11">
        <f t="shared" si="1"/>
        <v>56304</v>
      </c>
    </row>
    <row r="25" spans="1:6">
      <c r="A25" s="12" t="s">
        <v>25</v>
      </c>
      <c r="B25" s="13" t="s">
        <v>26</v>
      </c>
      <c r="C25" s="16">
        <f>C11*Simulation!$J$23</f>
        <v>5202</v>
      </c>
      <c r="D25" s="16">
        <f t="shared" si="1"/>
        <v>62424</v>
      </c>
    </row>
    <row r="26" spans="1:6">
      <c r="A26" s="9" t="s">
        <v>27</v>
      </c>
      <c r="B26" s="10" t="s">
        <v>28</v>
      </c>
      <c r="C26" s="11">
        <f>C12*Simulation!$J$23</f>
        <v>6222</v>
      </c>
      <c r="D26" s="11">
        <f t="shared" si="1"/>
        <v>74664</v>
      </c>
    </row>
    <row r="27" spans="1:6">
      <c r="A27" s="12" t="s">
        <v>29</v>
      </c>
      <c r="B27" s="13" t="s">
        <v>30</v>
      </c>
      <c r="C27" s="16">
        <f>C13*Simulation!$J$23</f>
        <v>7242</v>
      </c>
      <c r="D27" s="16">
        <f t="shared" si="1"/>
        <v>86904</v>
      </c>
    </row>
    <row r="28" spans="1:6">
      <c r="A28" s="9" t="s">
        <v>31</v>
      </c>
      <c r="B28" s="10" t="s">
        <v>32</v>
      </c>
      <c r="C28" s="11">
        <f>C14*Simulation!$J$23</f>
        <v>8262</v>
      </c>
      <c r="D28" s="11">
        <f t="shared" si="1"/>
        <v>99144</v>
      </c>
    </row>
    <row r="29" spans="1:6" ht="21" thickBot="1">
      <c r="A29" s="14" t="s">
        <v>33</v>
      </c>
      <c r="B29" s="15" t="s">
        <v>34</v>
      </c>
      <c r="C29" s="17">
        <f>C15*Simulation!$J$23</f>
        <v>9282</v>
      </c>
      <c r="D29" s="17">
        <f t="shared" si="1"/>
        <v>111384</v>
      </c>
    </row>
    <row r="30" spans="1:6" ht="21" thickBot="1"/>
    <row r="31" spans="1:6" s="6" customFormat="1" ht="37" thickBot="1">
      <c r="A31" s="18" t="s">
        <v>11</v>
      </c>
      <c r="B31" s="18" t="s">
        <v>70</v>
      </c>
      <c r="C31" s="18" t="s">
        <v>43</v>
      </c>
      <c r="D31" s="18" t="s">
        <v>84</v>
      </c>
      <c r="E31" s="19"/>
      <c r="F31" s="19"/>
    </row>
    <row r="32" spans="1:6">
      <c r="A32" s="9" t="s">
        <v>12</v>
      </c>
      <c r="B32" s="10" t="s">
        <v>13</v>
      </c>
      <c r="C32" s="11">
        <f>C18*Simulation!$J$47</f>
        <v>1664.64</v>
      </c>
      <c r="D32" s="11">
        <f>C32*12</f>
        <v>19975.68</v>
      </c>
    </row>
    <row r="33" spans="1:4">
      <c r="A33" s="12" t="s">
        <v>47</v>
      </c>
      <c r="B33" s="13" t="s">
        <v>14</v>
      </c>
      <c r="C33" s="16">
        <f>C19*Simulation!$J$47</f>
        <v>2184.84</v>
      </c>
      <c r="D33" s="16">
        <f t="shared" ref="D33:D43" si="2">C33*12</f>
        <v>26218.080000000002</v>
      </c>
    </row>
    <row r="34" spans="1:4">
      <c r="A34" s="9" t="s">
        <v>15</v>
      </c>
      <c r="B34" s="10" t="s">
        <v>16</v>
      </c>
      <c r="C34" s="11">
        <f>C20*Simulation!$J$47</f>
        <v>2705.04</v>
      </c>
      <c r="D34" s="11">
        <f t="shared" si="2"/>
        <v>32460.48</v>
      </c>
    </row>
    <row r="35" spans="1:4">
      <c r="A35" s="12" t="s">
        <v>17</v>
      </c>
      <c r="B35" s="13" t="s">
        <v>18</v>
      </c>
      <c r="C35" s="16">
        <f>C21*Simulation!$J$47</f>
        <v>3225.2400000000002</v>
      </c>
      <c r="D35" s="16">
        <f t="shared" si="2"/>
        <v>38702.880000000005</v>
      </c>
    </row>
    <row r="36" spans="1:4">
      <c r="A36" s="9" t="s">
        <v>19</v>
      </c>
      <c r="B36" s="10" t="s">
        <v>20</v>
      </c>
      <c r="C36" s="11">
        <f>C22*Simulation!$J$47</f>
        <v>3745.44</v>
      </c>
      <c r="D36" s="11">
        <f t="shared" si="2"/>
        <v>44945.279999999999</v>
      </c>
    </row>
    <row r="37" spans="1:4">
      <c r="A37" s="12" t="s">
        <v>21</v>
      </c>
      <c r="B37" s="13" t="s">
        <v>22</v>
      </c>
      <c r="C37" s="16">
        <f>C23*Simulation!$J$47</f>
        <v>4265.6400000000003</v>
      </c>
      <c r="D37" s="16">
        <f t="shared" si="2"/>
        <v>51187.680000000008</v>
      </c>
    </row>
    <row r="38" spans="1:4">
      <c r="A38" s="9" t="s">
        <v>23</v>
      </c>
      <c r="B38" s="10" t="s">
        <v>24</v>
      </c>
      <c r="C38" s="11">
        <f>C24*Simulation!$J$47</f>
        <v>4785.84</v>
      </c>
      <c r="D38" s="11">
        <f t="shared" si="2"/>
        <v>57430.080000000002</v>
      </c>
    </row>
    <row r="39" spans="1:4">
      <c r="A39" s="12" t="s">
        <v>25</v>
      </c>
      <c r="B39" s="13" t="s">
        <v>26</v>
      </c>
      <c r="C39" s="16">
        <f>C25*Simulation!$J$47</f>
        <v>5306.04</v>
      </c>
      <c r="D39" s="16">
        <f t="shared" si="2"/>
        <v>63672.479999999996</v>
      </c>
    </row>
    <row r="40" spans="1:4">
      <c r="A40" s="9" t="s">
        <v>27</v>
      </c>
      <c r="B40" s="10" t="s">
        <v>28</v>
      </c>
      <c r="C40" s="11">
        <f>C26*Simulation!$J$47</f>
        <v>6346.4400000000005</v>
      </c>
      <c r="D40" s="11">
        <f t="shared" si="2"/>
        <v>76157.279999999999</v>
      </c>
    </row>
    <row r="41" spans="1:4">
      <c r="A41" s="12" t="s">
        <v>29</v>
      </c>
      <c r="B41" s="13" t="s">
        <v>30</v>
      </c>
      <c r="C41" s="16">
        <f>C27*Simulation!$J$47</f>
        <v>7386.84</v>
      </c>
      <c r="D41" s="16">
        <f t="shared" si="2"/>
        <v>88642.08</v>
      </c>
    </row>
    <row r="42" spans="1:4">
      <c r="A42" s="9" t="s">
        <v>31</v>
      </c>
      <c r="B42" s="10" t="s">
        <v>32</v>
      </c>
      <c r="C42" s="11">
        <f>C28*Simulation!$J$47</f>
        <v>8427.24</v>
      </c>
      <c r="D42" s="11">
        <f t="shared" si="2"/>
        <v>101126.88</v>
      </c>
    </row>
    <row r="43" spans="1:4" ht="21" thickBot="1">
      <c r="A43" s="14" t="s">
        <v>33</v>
      </c>
      <c r="B43" s="15" t="s">
        <v>34</v>
      </c>
      <c r="C43" s="17">
        <f>C29*Simulation!$J$47</f>
        <v>9467.64</v>
      </c>
      <c r="D43" s="17">
        <f t="shared" si="2"/>
        <v>113611.68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Simulation</vt:lpstr>
      <vt:lpstr>Grille de salaire</vt:lpstr>
    </vt:vector>
  </TitlesOfParts>
  <Company>CLT-SERVICES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Mija RABEMANANJARA</dc:creator>
  <cp:lastModifiedBy>Mija RABEMANANJARA</cp:lastModifiedBy>
  <dcterms:created xsi:type="dcterms:W3CDTF">2017-01-23T20:57:02Z</dcterms:created>
  <dcterms:modified xsi:type="dcterms:W3CDTF">2017-02-06T21:32:44Z</dcterms:modified>
</cp:coreProperties>
</file>