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Fazar\Downloads\"/>
    </mc:Choice>
  </mc:AlternateContent>
  <xr:revisionPtr revIDLastSave="0" documentId="13_ncr:1_{4E984F5C-86FA-444E-8E62-837CAB2B6473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EMPLATE RAB" sheetId="9" r:id="rId1"/>
    <sheet name="INDEKS RAB" sheetId="3" r:id="rId2"/>
    <sheet name="COST CENTER &amp; BEBAN ANGGARAN" sheetId="4" r:id="rId3"/>
    <sheet name="NORMA BIAYA" sheetId="5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5" l="1"/>
  <c r="E39" i="5"/>
  <c r="E9" i="5"/>
  <c r="E63" i="9"/>
  <c r="E64" i="9"/>
  <c r="E65" i="9"/>
  <c r="E62" i="9"/>
  <c r="E24" i="9"/>
  <c r="H63" i="9" a="1"/>
  <c r="H63" i="9"/>
  <c r="H64" i="9" a="1"/>
  <c r="H64" i="9"/>
  <c r="H65" i="9" a="1"/>
  <c r="H65" i="9"/>
  <c r="H62" i="9" a="1"/>
  <c r="H62" i="9"/>
  <c r="H33" i="9" a="1"/>
  <c r="H33" i="9"/>
  <c r="H25" i="9" a="1"/>
  <c r="H25" i="9"/>
  <c r="H26" i="9" a="1"/>
  <c r="H26" i="9"/>
  <c r="H27" i="9" a="1"/>
  <c r="H27" i="9"/>
  <c r="H28" i="9" a="1"/>
  <c r="H28" i="9"/>
  <c r="H29" i="9" a="1"/>
  <c r="H29" i="9"/>
  <c r="H30" i="9" a="1"/>
  <c r="H30" i="9"/>
  <c r="H31" i="9" a="1"/>
  <c r="H31" i="9"/>
  <c r="H32" i="9" a="1"/>
  <c r="H32" i="9"/>
  <c r="H34" i="9" a="1"/>
  <c r="H34" i="9"/>
  <c r="H35" i="9" a="1"/>
  <c r="H35" i="9"/>
  <c r="H24" i="9" a="1"/>
  <c r="H24" i="9"/>
  <c r="E25" i="9"/>
  <c r="E26" i="9"/>
  <c r="E27" i="9"/>
  <c r="E28" i="9"/>
  <c r="E29" i="9"/>
  <c r="E30" i="9"/>
  <c r="E31" i="9"/>
  <c r="E32" i="9"/>
  <c r="E33" i="9"/>
  <c r="E34" i="9"/>
  <c r="E35" i="9"/>
  <c r="E36" i="9"/>
  <c r="G63" i="9"/>
  <c r="G64" i="9"/>
  <c r="G65" i="9"/>
  <c r="G62" i="9"/>
  <c r="G31" i="9"/>
  <c r="G30" i="9"/>
  <c r="G25" i="9"/>
  <c r="G26" i="9"/>
  <c r="G27" i="9"/>
  <c r="G28" i="9"/>
  <c r="G29" i="9"/>
  <c r="G32" i="9"/>
  <c r="G33" i="9"/>
  <c r="J33" i="9" s="1"/>
  <c r="G34" i="9"/>
  <c r="G35" i="9"/>
  <c r="G36" i="9"/>
  <c r="G24" i="9"/>
  <c r="J24" i="9" s="1"/>
  <c r="I42" i="9"/>
  <c r="F18" i="9"/>
  <c r="F17" i="9"/>
  <c r="J65" i="9"/>
  <c r="J64" i="9"/>
  <c r="J63" i="9"/>
  <c r="J62" i="9"/>
  <c r="J66" i="9" s="1"/>
  <c r="I68" i="9" s="1"/>
  <c r="I54" i="9"/>
  <c r="I53" i="9"/>
  <c r="I52" i="9"/>
  <c r="I51" i="9"/>
  <c r="I50" i="9"/>
  <c r="I49" i="9"/>
  <c r="I48" i="9"/>
  <c r="I47" i="9"/>
  <c r="I46" i="9"/>
  <c r="I45" i="9"/>
  <c r="I44" i="9"/>
  <c r="I43" i="9"/>
  <c r="H36" i="9" a="1"/>
  <c r="H36" i="9" s="1"/>
  <c r="J36" i="9"/>
  <c r="J35" i="9"/>
  <c r="J34" i="9"/>
  <c r="J32" i="9"/>
  <c r="J31" i="9"/>
  <c r="J30" i="9"/>
  <c r="J29" i="9"/>
  <c r="J28" i="9"/>
  <c r="J27" i="9"/>
  <c r="J26" i="9"/>
  <c r="J25" i="9"/>
  <c r="J37" i="9"/>
  <c r="F16" i="9"/>
  <c r="E12" i="9"/>
  <c r="E11" i="9"/>
  <c r="D13" i="5"/>
  <c r="E13" i="5"/>
  <c r="F13" i="5"/>
  <c r="G13" i="5"/>
  <c r="H13" i="5"/>
  <c r="I13" i="5"/>
  <c r="J13" i="5"/>
  <c r="K13" i="5"/>
  <c r="L13" i="5"/>
  <c r="M13" i="5"/>
  <c r="N13" i="5"/>
  <c r="D14" i="5"/>
  <c r="E14" i="5"/>
  <c r="F14" i="5"/>
  <c r="G14" i="5"/>
  <c r="H14" i="5"/>
  <c r="I14" i="5"/>
  <c r="J14" i="5"/>
  <c r="K14" i="5"/>
  <c r="L14" i="5"/>
  <c r="M14" i="5"/>
  <c r="N14" i="5"/>
  <c r="D15" i="5"/>
  <c r="E15" i="5"/>
  <c r="F15" i="5"/>
  <c r="G15" i="5"/>
  <c r="H15" i="5"/>
  <c r="I15" i="5"/>
  <c r="J15" i="5"/>
  <c r="K15" i="5"/>
  <c r="L15" i="5"/>
  <c r="M15" i="5"/>
  <c r="N15" i="5"/>
  <c r="D16" i="5"/>
  <c r="E16" i="5"/>
  <c r="F16" i="5"/>
  <c r="G16" i="5"/>
  <c r="H16" i="5"/>
  <c r="I16" i="5"/>
  <c r="J16" i="5"/>
  <c r="K16" i="5"/>
  <c r="L16" i="5"/>
  <c r="M16" i="5"/>
  <c r="N16" i="5"/>
  <c r="D18" i="5"/>
  <c r="E18" i="5"/>
  <c r="F18" i="5"/>
  <c r="G18" i="5"/>
  <c r="H18" i="5"/>
  <c r="I18" i="5"/>
  <c r="J18" i="5"/>
  <c r="K18" i="5"/>
  <c r="L18" i="5"/>
  <c r="M18" i="5"/>
  <c r="N18" i="5"/>
  <c r="D19" i="5"/>
  <c r="E19" i="5"/>
  <c r="F19" i="5"/>
  <c r="G19" i="5"/>
  <c r="H19" i="5"/>
  <c r="I19" i="5"/>
  <c r="J19" i="5"/>
  <c r="K19" i="5"/>
  <c r="L19" i="5"/>
  <c r="M19" i="5"/>
  <c r="N19" i="5"/>
  <c r="D20" i="5"/>
  <c r="E20" i="5"/>
  <c r="F20" i="5"/>
  <c r="G20" i="5"/>
  <c r="H20" i="5"/>
  <c r="I20" i="5"/>
  <c r="J20" i="5"/>
  <c r="K20" i="5"/>
  <c r="L20" i="5"/>
  <c r="M20" i="5"/>
  <c r="N20" i="5"/>
  <c r="D21" i="5"/>
  <c r="E21" i="5"/>
  <c r="F21" i="5"/>
  <c r="G21" i="5"/>
  <c r="H21" i="5"/>
  <c r="I21" i="5"/>
  <c r="J21" i="5"/>
  <c r="K21" i="5"/>
  <c r="L21" i="5"/>
  <c r="M21" i="5"/>
  <c r="N21" i="5"/>
  <c r="D23" i="5"/>
  <c r="E23" i="5"/>
  <c r="F23" i="5"/>
  <c r="G23" i="5"/>
  <c r="H23" i="5"/>
  <c r="I23" i="5"/>
  <c r="J23" i="5"/>
  <c r="K23" i="5"/>
  <c r="L23" i="5"/>
  <c r="M23" i="5"/>
  <c r="N23" i="5"/>
  <c r="D24" i="5"/>
  <c r="E24" i="5"/>
  <c r="F24" i="5"/>
  <c r="G24" i="5"/>
  <c r="H24" i="5"/>
  <c r="I24" i="5"/>
  <c r="J24" i="5"/>
  <c r="K24" i="5"/>
  <c r="L24" i="5"/>
  <c r="M24" i="5"/>
  <c r="N24" i="5"/>
  <c r="D25" i="5"/>
  <c r="E25" i="5"/>
  <c r="F25" i="5"/>
  <c r="G25" i="5"/>
  <c r="H25" i="5"/>
  <c r="I25" i="5"/>
  <c r="J25" i="5"/>
  <c r="K25" i="5"/>
  <c r="L25" i="5"/>
  <c r="M25" i="5"/>
  <c r="N25" i="5"/>
  <c r="D26" i="5"/>
  <c r="E26" i="5"/>
  <c r="F26" i="5"/>
  <c r="G26" i="5"/>
  <c r="H26" i="5"/>
  <c r="I26" i="5"/>
  <c r="J26" i="5"/>
  <c r="K26" i="5"/>
  <c r="L26" i="5"/>
  <c r="M26" i="5"/>
  <c r="N26" i="5"/>
  <c r="D28" i="5"/>
  <c r="E28" i="5"/>
  <c r="F28" i="5"/>
  <c r="G28" i="5"/>
  <c r="H28" i="5"/>
  <c r="I28" i="5"/>
  <c r="J28" i="5"/>
  <c r="K28" i="5"/>
  <c r="L28" i="5"/>
  <c r="M28" i="5"/>
  <c r="N28" i="5"/>
  <c r="D29" i="5"/>
  <c r="E29" i="5"/>
  <c r="F29" i="5"/>
  <c r="G29" i="5"/>
  <c r="H29" i="5"/>
  <c r="I29" i="5"/>
  <c r="J29" i="5"/>
  <c r="K29" i="5"/>
  <c r="L29" i="5"/>
  <c r="M29" i="5"/>
  <c r="N29" i="5"/>
  <c r="D30" i="5"/>
  <c r="E30" i="5"/>
  <c r="F30" i="5"/>
  <c r="G30" i="5"/>
  <c r="H30" i="5"/>
  <c r="I30" i="5"/>
  <c r="J30" i="5"/>
  <c r="K30" i="5"/>
  <c r="L30" i="5"/>
  <c r="M30" i="5"/>
  <c r="N30" i="5"/>
  <c r="D31" i="5"/>
  <c r="E31" i="5"/>
  <c r="F31" i="5"/>
  <c r="G31" i="5"/>
  <c r="H31" i="5"/>
  <c r="I31" i="5"/>
  <c r="J31" i="5"/>
  <c r="K31" i="5"/>
  <c r="L31" i="5"/>
  <c r="M31" i="5"/>
  <c r="N31" i="5"/>
  <c r="D33" i="5"/>
  <c r="E33" i="5"/>
  <c r="F33" i="5"/>
  <c r="G33" i="5"/>
  <c r="H33" i="5"/>
  <c r="I33" i="5"/>
  <c r="J33" i="5"/>
  <c r="K33" i="5"/>
  <c r="L33" i="5"/>
  <c r="M33" i="5"/>
  <c r="N33" i="5"/>
  <c r="D34" i="5"/>
  <c r="E34" i="5"/>
  <c r="F34" i="5"/>
  <c r="G34" i="5"/>
  <c r="H34" i="5"/>
  <c r="I34" i="5"/>
  <c r="J34" i="5"/>
  <c r="K34" i="5"/>
  <c r="L34" i="5"/>
  <c r="M34" i="5"/>
  <c r="N34" i="5"/>
  <c r="D35" i="5"/>
  <c r="E35" i="5"/>
  <c r="F35" i="5"/>
  <c r="G35" i="5"/>
  <c r="H35" i="5"/>
  <c r="I35" i="5"/>
  <c r="J35" i="5"/>
  <c r="K35" i="5"/>
  <c r="L35" i="5"/>
  <c r="M35" i="5"/>
  <c r="N35" i="5"/>
  <c r="D36" i="5"/>
  <c r="E36" i="5"/>
  <c r="F36" i="5"/>
  <c r="G36" i="5"/>
  <c r="H36" i="5"/>
  <c r="I36" i="5"/>
  <c r="J36" i="5"/>
  <c r="K36" i="5"/>
  <c r="L36" i="5"/>
  <c r="M36" i="5"/>
  <c r="N36" i="5"/>
  <c r="D43" i="5"/>
  <c r="E43" i="5"/>
  <c r="F43" i="5"/>
  <c r="G43" i="5"/>
  <c r="H43" i="5"/>
  <c r="I43" i="5"/>
  <c r="J43" i="5"/>
  <c r="K43" i="5"/>
  <c r="L43" i="5"/>
  <c r="M43" i="5"/>
  <c r="N43" i="5"/>
  <c r="D44" i="5"/>
  <c r="E44" i="5"/>
  <c r="F44" i="5"/>
  <c r="G44" i="5"/>
  <c r="H44" i="5"/>
  <c r="I44" i="5"/>
  <c r="J44" i="5"/>
  <c r="K44" i="5"/>
  <c r="L44" i="5"/>
  <c r="M44" i="5"/>
  <c r="N44" i="5"/>
  <c r="D45" i="5"/>
  <c r="E45" i="5"/>
  <c r="F45" i="5"/>
  <c r="G45" i="5"/>
  <c r="H45" i="5"/>
  <c r="I45" i="5"/>
  <c r="J45" i="5"/>
  <c r="K45" i="5"/>
  <c r="L45" i="5"/>
  <c r="M45" i="5"/>
  <c r="N45" i="5"/>
  <c r="D46" i="5"/>
  <c r="E46" i="5"/>
  <c r="F46" i="5"/>
  <c r="G46" i="5"/>
  <c r="H46" i="5"/>
  <c r="I46" i="5"/>
  <c r="J46" i="5"/>
  <c r="K46" i="5"/>
  <c r="L46" i="5"/>
  <c r="M46" i="5"/>
  <c r="N46" i="5"/>
  <c r="D48" i="5"/>
  <c r="E48" i="5"/>
  <c r="F48" i="5"/>
  <c r="G48" i="5"/>
  <c r="H48" i="5"/>
  <c r="I48" i="5"/>
  <c r="J48" i="5"/>
  <c r="K48" i="5"/>
  <c r="L48" i="5"/>
  <c r="M48" i="5"/>
  <c r="N48" i="5"/>
  <c r="D49" i="5"/>
  <c r="E49" i="5"/>
  <c r="F49" i="5"/>
  <c r="G49" i="5"/>
  <c r="H49" i="5"/>
  <c r="I49" i="5"/>
  <c r="J49" i="5"/>
  <c r="K49" i="5"/>
  <c r="L49" i="5"/>
  <c r="M49" i="5"/>
  <c r="N49" i="5"/>
  <c r="D50" i="5"/>
  <c r="E50" i="5"/>
  <c r="F50" i="5"/>
  <c r="G50" i="5"/>
  <c r="H50" i="5"/>
  <c r="I50" i="5"/>
  <c r="J50" i="5"/>
  <c r="K50" i="5"/>
  <c r="L50" i="5"/>
  <c r="M50" i="5"/>
  <c r="N50" i="5"/>
  <c r="D51" i="5"/>
  <c r="E51" i="5"/>
  <c r="F51" i="5"/>
  <c r="G51" i="5"/>
  <c r="H51" i="5"/>
  <c r="I51" i="5"/>
  <c r="J51" i="5"/>
  <c r="K51" i="5"/>
  <c r="L51" i="5"/>
  <c r="M51" i="5"/>
  <c r="N51" i="5"/>
  <c r="D53" i="5"/>
  <c r="E53" i="5"/>
  <c r="F53" i="5"/>
  <c r="G53" i="5"/>
  <c r="H53" i="5"/>
  <c r="I53" i="5"/>
  <c r="J53" i="5"/>
  <c r="K53" i="5"/>
  <c r="L53" i="5"/>
  <c r="M53" i="5"/>
  <c r="N53" i="5"/>
  <c r="D54" i="5"/>
  <c r="E54" i="5"/>
  <c r="F54" i="5"/>
  <c r="G54" i="5"/>
  <c r="H54" i="5"/>
  <c r="I54" i="5"/>
  <c r="J54" i="5"/>
  <c r="K54" i="5"/>
  <c r="L54" i="5"/>
  <c r="M54" i="5"/>
  <c r="N54" i="5"/>
  <c r="D55" i="5"/>
  <c r="E55" i="5"/>
  <c r="F55" i="5"/>
  <c r="G55" i="5"/>
  <c r="H55" i="5"/>
  <c r="I55" i="5"/>
  <c r="J55" i="5"/>
  <c r="K55" i="5"/>
  <c r="L55" i="5"/>
  <c r="M55" i="5"/>
  <c r="N55" i="5"/>
  <c r="D56" i="5"/>
  <c r="E56" i="5"/>
  <c r="F56" i="5"/>
  <c r="G56" i="5"/>
  <c r="H56" i="5"/>
  <c r="I56" i="5"/>
  <c r="J56" i="5"/>
  <c r="K56" i="5"/>
  <c r="L56" i="5"/>
  <c r="M56" i="5"/>
  <c r="N56" i="5"/>
  <c r="D58" i="5"/>
  <c r="E58" i="5"/>
  <c r="F58" i="5"/>
  <c r="G58" i="5"/>
  <c r="H58" i="5"/>
  <c r="I58" i="5"/>
  <c r="J58" i="5"/>
  <c r="K58" i="5"/>
  <c r="L58" i="5"/>
  <c r="M58" i="5"/>
  <c r="N58" i="5"/>
  <c r="D59" i="5"/>
  <c r="E59" i="5"/>
  <c r="F59" i="5"/>
  <c r="G59" i="5"/>
  <c r="H59" i="5"/>
  <c r="I59" i="5"/>
  <c r="J59" i="5"/>
  <c r="K59" i="5"/>
  <c r="L59" i="5"/>
  <c r="M59" i="5"/>
  <c r="N59" i="5"/>
  <c r="D60" i="5"/>
  <c r="E60" i="5"/>
  <c r="F60" i="5"/>
  <c r="G60" i="5"/>
  <c r="H60" i="5"/>
  <c r="I60" i="5"/>
  <c r="J60" i="5"/>
  <c r="K60" i="5"/>
  <c r="L60" i="5"/>
  <c r="M60" i="5"/>
  <c r="N60" i="5"/>
  <c r="D61" i="5"/>
  <c r="E61" i="5"/>
  <c r="F61" i="5"/>
  <c r="G61" i="5"/>
  <c r="H61" i="5"/>
  <c r="I61" i="5"/>
  <c r="J61" i="5"/>
  <c r="K61" i="5"/>
  <c r="L61" i="5"/>
  <c r="M61" i="5"/>
  <c r="N61" i="5"/>
  <c r="D63" i="5"/>
  <c r="E63" i="5"/>
  <c r="F63" i="5"/>
  <c r="G63" i="5"/>
  <c r="H63" i="5"/>
  <c r="I63" i="5"/>
  <c r="J63" i="5"/>
  <c r="K63" i="5"/>
  <c r="L63" i="5"/>
  <c r="M63" i="5"/>
  <c r="N63" i="5"/>
  <c r="D64" i="5"/>
  <c r="E64" i="5"/>
  <c r="F64" i="5"/>
  <c r="G64" i="5"/>
  <c r="H64" i="5"/>
  <c r="I64" i="5"/>
  <c r="J64" i="5"/>
  <c r="K64" i="5"/>
  <c r="L64" i="5"/>
  <c r="M64" i="5"/>
  <c r="N64" i="5"/>
  <c r="D65" i="5"/>
  <c r="E65" i="5"/>
  <c r="F65" i="5"/>
  <c r="G65" i="5"/>
  <c r="H65" i="5"/>
  <c r="I65" i="5"/>
  <c r="J65" i="5"/>
  <c r="K65" i="5"/>
  <c r="L65" i="5"/>
  <c r="M65" i="5"/>
  <c r="N65" i="5"/>
  <c r="D66" i="5"/>
  <c r="E66" i="5"/>
  <c r="F66" i="5"/>
  <c r="G66" i="5"/>
  <c r="H66" i="5"/>
  <c r="I66" i="5"/>
  <c r="J66" i="5"/>
  <c r="K66" i="5"/>
  <c r="L66" i="5"/>
  <c r="M66" i="5"/>
  <c r="N66" i="5"/>
  <c r="D68" i="5"/>
  <c r="E68" i="5"/>
  <c r="F68" i="5"/>
  <c r="G68" i="5"/>
  <c r="H68" i="5"/>
  <c r="I68" i="5"/>
  <c r="J68" i="5"/>
  <c r="K68" i="5"/>
  <c r="L68" i="5"/>
  <c r="M68" i="5"/>
  <c r="N68" i="5"/>
  <c r="D69" i="5"/>
  <c r="E69" i="5"/>
  <c r="F69" i="5"/>
  <c r="G69" i="5"/>
  <c r="H69" i="5"/>
  <c r="I69" i="5"/>
  <c r="J69" i="5"/>
  <c r="K69" i="5"/>
  <c r="L69" i="5"/>
  <c r="M69" i="5"/>
  <c r="N69" i="5"/>
  <c r="D70" i="5"/>
  <c r="E70" i="5"/>
  <c r="F70" i="5"/>
  <c r="G70" i="5"/>
  <c r="H70" i="5"/>
  <c r="I70" i="5"/>
  <c r="J70" i="5"/>
  <c r="K70" i="5"/>
  <c r="L70" i="5"/>
  <c r="M70" i="5"/>
  <c r="N70" i="5"/>
  <c r="D71" i="5"/>
  <c r="E71" i="5"/>
  <c r="F71" i="5"/>
  <c r="G71" i="5"/>
  <c r="H71" i="5"/>
  <c r="I71" i="5"/>
  <c r="J71" i="5"/>
  <c r="K71" i="5"/>
  <c r="L71" i="5"/>
  <c r="M71" i="5"/>
  <c r="N71" i="5"/>
  <c r="D73" i="5"/>
  <c r="E73" i="5"/>
  <c r="F73" i="5"/>
  <c r="G73" i="5"/>
  <c r="H73" i="5"/>
  <c r="I73" i="5"/>
  <c r="J73" i="5"/>
  <c r="K73" i="5"/>
  <c r="L73" i="5"/>
  <c r="M73" i="5"/>
  <c r="N73" i="5"/>
  <c r="D74" i="5"/>
  <c r="E74" i="5"/>
  <c r="F74" i="5"/>
  <c r="G74" i="5"/>
  <c r="H74" i="5"/>
  <c r="I74" i="5"/>
  <c r="J74" i="5"/>
  <c r="K74" i="5"/>
  <c r="L74" i="5"/>
  <c r="M74" i="5"/>
  <c r="N74" i="5"/>
  <c r="D75" i="5"/>
  <c r="E75" i="5"/>
  <c r="F75" i="5"/>
  <c r="G75" i="5"/>
  <c r="H75" i="5"/>
  <c r="I75" i="5"/>
  <c r="J75" i="5"/>
  <c r="K75" i="5"/>
  <c r="L75" i="5"/>
  <c r="M75" i="5"/>
  <c r="N75" i="5"/>
  <c r="D76" i="5"/>
  <c r="E76" i="5"/>
  <c r="F76" i="5"/>
  <c r="G76" i="5"/>
  <c r="H76" i="5"/>
  <c r="I76" i="5"/>
  <c r="J76" i="5"/>
  <c r="K76" i="5"/>
  <c r="L76" i="5"/>
  <c r="M76" i="5"/>
  <c r="N76" i="5"/>
  <c r="G77" i="5"/>
  <c r="D78" i="5"/>
  <c r="E78" i="5"/>
  <c r="F78" i="5"/>
  <c r="G78" i="5"/>
  <c r="H78" i="5"/>
  <c r="I78" i="5"/>
  <c r="J78" i="5"/>
  <c r="K78" i="5"/>
  <c r="L78" i="5"/>
  <c r="M78" i="5"/>
  <c r="N78" i="5"/>
  <c r="D79" i="5"/>
  <c r="E79" i="5"/>
  <c r="F79" i="5"/>
  <c r="G79" i="5"/>
  <c r="H79" i="5"/>
  <c r="I79" i="5"/>
  <c r="J79" i="5"/>
  <c r="K79" i="5"/>
  <c r="L79" i="5"/>
  <c r="M79" i="5"/>
  <c r="N79" i="5"/>
  <c r="D80" i="5"/>
  <c r="E80" i="5"/>
  <c r="F80" i="5"/>
  <c r="G80" i="5"/>
  <c r="H80" i="5"/>
  <c r="I80" i="5"/>
  <c r="J80" i="5"/>
  <c r="K80" i="5"/>
  <c r="L80" i="5"/>
  <c r="M80" i="5"/>
  <c r="N80" i="5"/>
  <c r="D81" i="5"/>
  <c r="E81" i="5"/>
  <c r="F81" i="5"/>
  <c r="G81" i="5"/>
  <c r="H81" i="5"/>
  <c r="I81" i="5"/>
  <c r="J81" i="5"/>
  <c r="K81" i="5"/>
  <c r="L81" i="5"/>
  <c r="M81" i="5"/>
  <c r="N81" i="5"/>
  <c r="E70" i="9" l="1"/>
  <c r="E68" i="9"/>
  <c r="E57" i="9"/>
  <c r="I55" i="9"/>
  <c r="I57" i="9" s="1"/>
  <c r="I70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<sst xmlns="http://schemas.openxmlformats.org/spreadsheetml/2006/main" count="501" uniqueCount="129">
  <si>
    <t>Event ID</t>
  </si>
  <si>
    <t>No</t>
  </si>
  <si>
    <t>Nama Kegiatan</t>
  </si>
  <si>
    <t>s/d</t>
  </si>
  <si>
    <t>Akomodasi</t>
  </si>
  <si>
    <t>Cost Center</t>
  </si>
  <si>
    <t>T752K25</t>
  </si>
  <si>
    <t>Akun Beban Anggaran</t>
  </si>
  <si>
    <t>T752E25</t>
  </si>
  <si>
    <t>INGAT YA!</t>
  </si>
  <si>
    <t>RENCARA BIAYA ANGGARAN (RAB) EVENT</t>
  </si>
  <si>
    <t>NORMA BIAYA</t>
  </si>
  <si>
    <r>
      <rPr>
        <sz val="20"/>
        <color rgb="FF000000"/>
        <rFont val="Aptos Narrow"/>
      </rPr>
      <t xml:space="preserve">Selalu klik </t>
    </r>
    <r>
      <rPr>
        <b/>
        <sz val="20"/>
        <color rgb="FF000000"/>
        <rFont val="Aptos Narrow"/>
      </rPr>
      <t>"Trust Workbook Link"</t>
    </r>
    <r>
      <rPr>
        <sz val="20"/>
        <color rgb="FF000000"/>
        <rFont val="Aptos Narrow"/>
      </rPr>
      <t xml:space="preserve"> jika muncul notifikasi tersebut diatas layar</t>
    </r>
  </si>
  <si>
    <r>
      <rPr>
        <sz val="20"/>
        <color rgb="FF000000"/>
        <rFont val="Aptos Narrow"/>
      </rPr>
      <t xml:space="preserve">Hanya Cell warna </t>
    </r>
    <r>
      <rPr>
        <b/>
        <sz val="20"/>
        <color rgb="FF000000"/>
        <rFont val="Aptos Narrow"/>
      </rPr>
      <t>putih</t>
    </r>
    <r>
      <rPr>
        <sz val="20"/>
        <color rgb="FF000000"/>
        <rFont val="Aptos Narrow"/>
      </rPr>
      <t xml:space="preserve"> yang perlu </t>
    </r>
    <r>
      <rPr>
        <b/>
        <sz val="20"/>
        <color rgb="FF000000"/>
        <rFont val="Aptos Narrow"/>
      </rPr>
      <t>diinput</t>
    </r>
    <r>
      <rPr>
        <sz val="20"/>
        <color rgb="FF000000"/>
        <rFont val="Aptos Narrow"/>
      </rPr>
      <t xml:space="preserve"> ✅️</t>
    </r>
  </si>
  <si>
    <t>Kategori Event</t>
  </si>
  <si>
    <t>L2</t>
  </si>
  <si>
    <r>
      <rPr>
        <sz val="20"/>
        <color rgb="FF000000"/>
        <rFont val="Aptos Narrow"/>
      </rPr>
      <t xml:space="preserve">Cell warna </t>
    </r>
    <r>
      <rPr>
        <b/>
        <sz val="20"/>
        <color rgb="FF000000"/>
        <rFont val="Aptos Narrow"/>
      </rPr>
      <t xml:space="preserve">Abu-Abu terkunci </t>
    </r>
    <r>
      <rPr>
        <sz val="20"/>
        <color rgb="FF000000"/>
        <rFont val="Aptos Narrow"/>
      </rPr>
      <t>&amp; tidak bisa diubah❌</t>
    </r>
  </si>
  <si>
    <r>
      <rPr>
        <sz val="20"/>
        <color rgb="FF000000"/>
        <rFont val="Aptos Narrow"/>
      </rPr>
      <t xml:space="preserve">Jika "Dropdown" pada cell tertentu tidak muncul semua list nya --&gt; 
</t>
    </r>
    <r>
      <rPr>
        <b/>
        <sz val="20"/>
        <color rgb="FF000000"/>
        <rFont val="Aptos Narrow"/>
      </rPr>
      <t xml:space="preserve">Resfresh laman </t>
    </r>
    <r>
      <rPr>
        <sz val="20"/>
        <color rgb="FF000000"/>
        <rFont val="Aptos Narrow"/>
      </rPr>
      <t>🔄️</t>
    </r>
  </si>
  <si>
    <t>Nama Training Support (TS)</t>
  </si>
  <si>
    <r>
      <rPr>
        <sz val="20"/>
        <color rgb="FF000000"/>
        <rFont val="Calibri"/>
        <scheme val="minor"/>
      </rPr>
      <t>Jika</t>
    </r>
    <r>
      <rPr>
        <b/>
        <sz val="20"/>
        <color rgb="FF000000"/>
        <rFont val="Calibri"/>
        <scheme val="minor"/>
      </rPr>
      <t xml:space="preserve"> urgent perlu edit cell yang terkunci-</t>
    </r>
    <r>
      <rPr>
        <sz val="20"/>
        <color rgb="FF000000"/>
        <rFont val="Calibri"/>
        <scheme val="minor"/>
      </rPr>
      <t>-&gt; hubungi Koordinator TS dan konfirmasi ke Manager TCU Area</t>
    </r>
  </si>
  <si>
    <t>Tanggal Kegiatan (kelas offline)</t>
  </si>
  <si>
    <r>
      <rPr>
        <sz val="20"/>
        <color rgb="FF000000"/>
        <rFont val="Calibri"/>
        <scheme val="minor"/>
      </rPr>
      <t xml:space="preserve">Jika </t>
    </r>
    <r>
      <rPr>
        <b/>
        <sz val="20"/>
        <color rgb="FF000000"/>
        <rFont val="Calibri"/>
        <scheme val="minor"/>
      </rPr>
      <t>Nama Event dan Nama TS  tidak ditemukan</t>
    </r>
    <r>
      <rPr>
        <sz val="20"/>
        <color rgb="FF000000"/>
        <rFont val="Calibri"/>
        <scheme val="minor"/>
      </rPr>
      <t xml:space="preserve"> --&gt; 
Request update Database Event ke Koordinator TS</t>
    </r>
  </si>
  <si>
    <t>Tidak ditanggung penyelenggara</t>
  </si>
  <si>
    <t xml:space="preserve">Lokasi </t>
  </si>
  <si>
    <t>Jakarta</t>
  </si>
  <si>
    <t>⭐Kolom Paket Biaya</t>
  </si>
  <si>
    <t>Indeks Lokasi</t>
  </si>
  <si>
    <t>Semarang (LA-3)</t>
  </si>
  <si>
    <r>
      <rPr>
        <sz val="14"/>
        <color rgb="FF000000"/>
        <rFont val="Nunito"/>
      </rPr>
      <t xml:space="preserve">Jika Paket Biaya yang diminta di FK/JK  </t>
    </r>
    <r>
      <rPr>
        <b/>
        <sz val="14"/>
        <color rgb="FF000000"/>
        <rFont val="Nunito"/>
      </rPr>
      <t>punya Norma Biaya</t>
    </r>
    <r>
      <rPr>
        <sz val="14"/>
        <color rgb="FF000000"/>
        <rFont val="Nunito"/>
      </rPr>
      <t xml:space="preserve">  --&gt; </t>
    </r>
    <r>
      <rPr>
        <b/>
        <sz val="14"/>
        <color rgb="FF000000"/>
        <rFont val="Nunito"/>
      </rPr>
      <t xml:space="preserve">Isi di tabel "PAKET BIAYA SESUAI NORMA BIAYA" </t>
    </r>
  </si>
  <si>
    <r>
      <rPr>
        <sz val="14"/>
        <color rgb="FF000000"/>
        <rFont val="Nunito"/>
      </rPr>
      <t>Jika Paket Biaya yang diminta di FK/JK</t>
    </r>
    <r>
      <rPr>
        <b/>
        <sz val="14"/>
        <color rgb="FF000000"/>
        <rFont val="Nunito"/>
      </rPr>
      <t xml:space="preserve"> tidak punya Norma Biaya </t>
    </r>
    <r>
      <rPr>
        <sz val="14"/>
        <color rgb="FF000000"/>
        <rFont val="Nunito"/>
      </rPr>
      <t xml:space="preserve">(Paket Custom) --&gt; </t>
    </r>
    <r>
      <rPr>
        <b/>
        <sz val="14"/>
        <color rgb="FF000000"/>
        <rFont val="Nunito"/>
      </rPr>
      <t>Input manual di 
tabel "PAKET BIAYA DILUAR NORMA BIAYA"</t>
    </r>
  </si>
  <si>
    <t>⭐Kolom VOL/FREQ</t>
  </si>
  <si>
    <r>
      <rPr>
        <sz val="14"/>
        <color rgb="FF000000"/>
        <rFont val="Nunito"/>
      </rPr>
      <t xml:space="preserve">Paket Biaya dengan satuan </t>
    </r>
    <r>
      <rPr>
        <b/>
        <sz val="14"/>
        <color rgb="FF000000"/>
        <rFont val="Nunito"/>
      </rPr>
      <t>bukan "Event"</t>
    </r>
    <r>
      <rPr>
        <sz val="14"/>
        <color rgb="FF000000"/>
        <rFont val="Nunito"/>
      </rPr>
      <t xml:space="preserve"> otomatis terisi </t>
    </r>
    <r>
      <rPr>
        <b/>
        <sz val="14"/>
        <color rgb="FF000000"/>
        <rFont val="Nunito"/>
      </rPr>
      <t xml:space="preserve">"0" </t>
    </r>
    <r>
      <rPr>
        <sz val="14"/>
        <color rgb="FF000000"/>
        <rFont val="Nunito"/>
      </rPr>
      <t xml:space="preserve">dan </t>
    </r>
    <r>
      <rPr>
        <b/>
        <sz val="14"/>
        <color rgb="FF000000"/>
        <rFont val="Nunito"/>
      </rPr>
      <t>wajib input manual sesuai FK/JK.</t>
    </r>
  </si>
  <si>
    <t>PAKET BIAYA STANDAR</t>
  </si>
  <si>
    <r>
      <rPr>
        <sz val="14"/>
        <color rgb="FF000000"/>
        <rFont val="Nunito"/>
      </rPr>
      <t xml:space="preserve">Paket Biaya dengan </t>
    </r>
    <r>
      <rPr>
        <b/>
        <sz val="14"/>
        <color rgb="FF000000"/>
        <rFont val="Nunito"/>
      </rPr>
      <t>satuan "Event"</t>
    </r>
    <r>
      <rPr>
        <sz val="14"/>
        <color rgb="FF000000"/>
        <rFont val="Nunito"/>
      </rPr>
      <t xml:space="preserve"> otomatis terisi angka</t>
    </r>
    <r>
      <rPr>
        <b/>
        <sz val="14"/>
        <color rgb="FF000000"/>
        <rFont val="Nunito"/>
      </rPr>
      <t xml:space="preserve"> "1" </t>
    </r>
    <r>
      <rPr>
        <sz val="14"/>
        <color rgb="FF000000"/>
        <rFont val="Nunito"/>
      </rPr>
      <t xml:space="preserve">dan </t>
    </r>
    <r>
      <rPr>
        <b/>
        <sz val="14"/>
        <color rgb="FF000000"/>
        <rFont val="Nunito"/>
      </rPr>
      <t>tidak boleh diedit.</t>
    </r>
  </si>
  <si>
    <t xml:space="preserve">Vendor  </t>
  </si>
  <si>
    <t>Koperasi Konsumen Karyawan PT. Telkom Saraswati</t>
  </si>
  <si>
    <t>Paket Biaya</t>
  </si>
  <si>
    <t>SATUAN</t>
  </si>
  <si>
    <t>QTY</t>
  </si>
  <si>
    <t>VOL/FREQ</t>
  </si>
  <si>
    <t>HARGA FINAL</t>
  </si>
  <si>
    <t>TOTAL</t>
  </si>
  <si>
    <t>KETERANGAN</t>
  </si>
  <si>
    <t>⭐Kolom HARGA FINAL</t>
  </si>
  <si>
    <t>Training Kit (Note Book, Pena, Name Tag)</t>
  </si>
  <si>
    <r>
      <rPr>
        <sz val="14"/>
        <color rgb="FF000000"/>
        <rFont val="Nunito"/>
      </rPr>
      <t xml:space="preserve">Jika harga satuan di FK/JK </t>
    </r>
    <r>
      <rPr>
        <b/>
        <sz val="14"/>
        <color rgb="FF000000"/>
        <rFont val="Nunito"/>
      </rPr>
      <t xml:space="preserve">lebih kecil atau sama dengan </t>
    </r>
    <r>
      <rPr>
        <sz val="14"/>
        <color rgb="FF000000"/>
        <rFont val="Nunito"/>
      </rPr>
      <t xml:space="preserve">Norma Biaya =&gt; Input </t>
    </r>
    <r>
      <rPr>
        <b/>
        <sz val="14"/>
        <color rgb="FF000000"/>
        <rFont val="Nunito"/>
      </rPr>
      <t>harga final sesuai FK/JK</t>
    </r>
  </si>
  <si>
    <t>Konsumsi (Makan 1x, Snack 2x)</t>
  </si>
  <si>
    <r>
      <rPr>
        <sz val="14"/>
        <color rgb="FF000000"/>
        <rFont val="Nunito"/>
      </rPr>
      <t>Jika harga satuan di FK/JK</t>
    </r>
    <r>
      <rPr>
        <b/>
        <sz val="14"/>
        <color rgb="FF000000"/>
        <rFont val="Nunito"/>
      </rPr>
      <t xml:space="preserve"> lebih besar dari </t>
    </r>
    <r>
      <rPr>
        <sz val="14"/>
        <color rgb="FF000000"/>
        <rFont val="Nunito"/>
      </rPr>
      <t xml:space="preserve">Norma Biaya =&gt; Input </t>
    </r>
    <r>
      <rPr>
        <b/>
        <sz val="14"/>
        <color rgb="FF000000"/>
        <rFont val="Nunito"/>
      </rPr>
      <t>harga final sesuai Norma Biaya</t>
    </r>
  </si>
  <si>
    <t>Akomodasi Hotel Fasilitator (2 org/kamar sd BP3 &amp; 1 org/kamar BP2 &amp; 1)</t>
  </si>
  <si>
    <t>Akomodasi Hotel Peserta (R1&amp; L1= 2 org/kamar, R2 &amp; L2= 1 org/kamar)</t>
  </si>
  <si>
    <t>⭐CELL VENDOR</t>
  </si>
  <si>
    <t>Perlengkapan Kelas (Flipchart, Spidol, Baterai, Kertas, dll)</t>
  </si>
  <si>
    <t>Input manual sesuai Vendor yang diminta pada FK/JK.</t>
  </si>
  <si>
    <t>Alat dan Bahan untuk Praktikum/Game (Bila diperlukan)</t>
  </si>
  <si>
    <t xml:space="preserve">Learning Gift </t>
  </si>
  <si>
    <t>Apresiasi (Best Participant)</t>
  </si>
  <si>
    <t>Recording/Dokumentasi Event</t>
  </si>
  <si>
    <t>Cek ulang jika satuan paket biaya adalah  "Event" = maka  Vol/Freq nya wajib "1"</t>
  </si>
  <si>
    <t xml:space="preserve"> Kendaraan sewa utk ALP/Site Visit</t>
  </si>
  <si>
    <t>Makan Malam Fasilitator</t>
  </si>
  <si>
    <t>Makan Malam Peserta</t>
  </si>
  <si>
    <t>SUB TOTAL I</t>
  </si>
  <si>
    <t>PAKET BIAYA TAMBAHAN</t>
  </si>
  <si>
    <t>cetak sertifikat</t>
  </si>
  <si>
    <t>SUB TOTAL II</t>
  </si>
  <si>
    <t>TOTAL PENYELENGGARAAN</t>
  </si>
  <si>
    <t>PAKET BIAYA AKOMODASI</t>
  </si>
  <si>
    <t xml:space="preserve">Vendor </t>
  </si>
  <si>
    <t>Hotel ....</t>
  </si>
  <si>
    <t>TOTAL AKOMODASI</t>
  </si>
  <si>
    <t>TOTAL RAB</t>
  </si>
  <si>
    <t>KODE</t>
  </si>
  <si>
    <t>LOKASI</t>
  </si>
  <si>
    <t>NILAI INDEKS</t>
  </si>
  <si>
    <t>LA-1</t>
  </si>
  <si>
    <t>Sumatera</t>
  </si>
  <si>
    <t>Sumatera (LA-1)</t>
  </si>
  <si>
    <t>Jakarta, DKI Jakarta</t>
  </si>
  <si>
    <t>Jakarta (LA-1)</t>
  </si>
  <si>
    <t>LA-2</t>
  </si>
  <si>
    <t>Bandung, Jawa Barat</t>
  </si>
  <si>
    <t>Bandung (LA-2)</t>
  </si>
  <si>
    <t>LA-3</t>
  </si>
  <si>
    <t>Semarang, Jawa Tengah</t>
  </si>
  <si>
    <t>Surabaya, Jawa Timur</t>
  </si>
  <si>
    <t>Surabaya (LA-3)</t>
  </si>
  <si>
    <t>Bali</t>
  </si>
  <si>
    <t>Bali (LA-3)</t>
  </si>
  <si>
    <t>Nusa Tenggara</t>
  </si>
  <si>
    <t>Nusa Tenggara (LA-3)</t>
  </si>
  <si>
    <t>LA-4</t>
  </si>
  <si>
    <t>Kalimantan</t>
  </si>
  <si>
    <t>Kalimantan (LA-4)</t>
  </si>
  <si>
    <t>Sulawesi</t>
  </si>
  <si>
    <t>Sulawesi (LA-4)</t>
  </si>
  <si>
    <t>Maluku</t>
  </si>
  <si>
    <t>Maluku (LA-4)</t>
  </si>
  <si>
    <t>Papua</t>
  </si>
  <si>
    <t>Papua (LA-4)</t>
  </si>
  <si>
    <t>KODE ANGGARAN</t>
  </si>
  <si>
    <t>AKUN BEBAN ANGGARAN</t>
  </si>
  <si>
    <t>NAMA AKUN</t>
  </si>
  <si>
    <t>SoGTM</t>
  </si>
  <si>
    <t>Beban Pelatihan Dalam Negeri</t>
  </si>
  <si>
    <t>T752F25</t>
  </si>
  <si>
    <t>SoECT</t>
  </si>
  <si>
    <t>Beban Peralatan Diklat</t>
  </si>
  <si>
    <t>T752G25</t>
  </si>
  <si>
    <t>SoDSNP</t>
  </si>
  <si>
    <t>Beban Pembekalan Purnabakti</t>
  </si>
  <si>
    <t>T752H25</t>
  </si>
  <si>
    <t>SoDI</t>
  </si>
  <si>
    <t>Beban Non Usaha</t>
  </si>
  <si>
    <t>LIRF</t>
  </si>
  <si>
    <t>HARGA SATUAN MAKSIMAL RAB EVENT</t>
  </si>
  <si>
    <t>KATEGORI</t>
  </si>
  <si>
    <t>ITEM</t>
  </si>
  <si>
    <t xml:space="preserve">Kelas </t>
  </si>
  <si>
    <t>R1</t>
  </si>
  <si>
    <t>Pax</t>
  </si>
  <si>
    <t xml:space="preserve">training </t>
  </si>
  <si>
    <t>R2</t>
  </si>
  <si>
    <t>L1</t>
  </si>
  <si>
    <t>Hari</t>
  </si>
  <si>
    <t>Goody Bag (Buku/Makanan Sehat/Oleh-oleh)</t>
  </si>
  <si>
    <t>Pcs</t>
  </si>
  <si>
    <t>Event</t>
  </si>
  <si>
    <t>Setting Kelas dan Lembur MItra Non TS (Bila diperlukan)</t>
  </si>
  <si>
    <t>Setting Kelas dan Lembur TS (Bila diperlukan)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</si>
</sst>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p-421]* #,##0.00_-;\-[$Rp-421]* #,##0.00_-;_-[$Rp-421]* &quot;-&quot;??_-;_-@_-"/>
    <numFmt numFmtId="165" formatCode="[$-409]d\-mmm\-yy;@"/>
    <numFmt numFmtId="166" formatCode="_-[$Rp-421]* #,##0_-;\-[$Rp-421]* #,##0_-;_-[$Rp-421]* &quot;-&quot;??_-;_-@_-"/>
    <numFmt numFmtId="167" formatCode="_-[$Rp-421]* #,##0_-;\-[$Rp-421]* #,##0_-;_-[$Rp-421]* &quot;-&quot;_-;_-@_-"/>
  </numFmts>
  <fonts count="28">
    <font>
      <sz val="11"/>
      <color theme="1"/>
      <name val="Calibri"/>
      <family val="2"/>
      <scheme val="minor"/>
    </font>
    <font>
      <b/>
      <sz val="12"/>
      <color theme="1"/>
      <name val="Aptos Narrow"/>
    </font>
    <font>
      <b/>
      <sz val="30"/>
      <color theme="1"/>
      <name val="Aptos Narrow"/>
    </font>
    <font>
      <b/>
      <sz val="12"/>
      <color theme="0"/>
      <name val="Aptos Narrow"/>
    </font>
    <font>
      <sz val="12"/>
      <color theme="0"/>
      <name val="Aptos Narrow"/>
    </font>
    <font>
      <sz val="50"/>
      <color rgb="FF000000"/>
      <name val="Nunito"/>
    </font>
    <font>
      <b/>
      <sz val="28"/>
      <color theme="1"/>
      <name val="Nunito"/>
    </font>
    <font>
      <b/>
      <sz val="20"/>
      <color theme="1"/>
      <name val="Calibri"/>
      <family val="2"/>
      <scheme val="minor"/>
    </font>
    <font>
      <b/>
      <sz val="50"/>
      <color rgb="FF000000"/>
      <name val="Calibri"/>
      <scheme val="minor"/>
    </font>
    <font>
      <b/>
      <sz val="28"/>
      <color theme="1"/>
      <name val="Calibri"/>
      <family val="2"/>
      <scheme val="minor"/>
    </font>
    <font>
      <sz val="20"/>
      <color rgb="FF000000"/>
      <name val="Aptos Narrow"/>
    </font>
    <font>
      <b/>
      <sz val="20"/>
      <color rgb="FF000000"/>
      <name val="Aptos Narrow"/>
    </font>
    <font>
      <b/>
      <sz val="16"/>
      <color theme="1"/>
      <name val="Nunito"/>
    </font>
    <font>
      <sz val="16"/>
      <color theme="1"/>
      <name val="Nunito"/>
    </font>
    <font>
      <sz val="16"/>
      <color rgb="FF000000"/>
      <name val="Nunito"/>
    </font>
    <font>
      <sz val="12"/>
      <color theme="1"/>
      <name val="Nunito"/>
    </font>
    <font>
      <sz val="20"/>
      <color rgb="FF000000"/>
      <name val="Calibri"/>
      <scheme val="minor"/>
    </font>
    <font>
      <b/>
      <sz val="20"/>
      <color rgb="FF000000"/>
      <name val="Calibri"/>
      <scheme val="minor"/>
    </font>
    <font>
      <b/>
      <sz val="20"/>
      <color rgb="FF000000"/>
      <name val="Nunito"/>
    </font>
    <font>
      <sz val="14"/>
      <color rgb="FF000000"/>
      <name val="Nunito"/>
    </font>
    <font>
      <b/>
      <sz val="14"/>
      <color rgb="FF000000"/>
      <name val="Nunito"/>
    </font>
    <font>
      <b/>
      <sz val="12"/>
      <color theme="1"/>
      <name val="Nunito"/>
    </font>
    <font>
      <sz val="16"/>
      <color theme="1"/>
      <name val="Calibri"/>
      <family val="2"/>
      <scheme val="minor"/>
    </font>
    <font>
      <b/>
      <sz val="14"/>
      <color theme="1"/>
      <name val="Nunito"/>
    </font>
    <font>
      <b/>
      <sz val="20"/>
      <color theme="0"/>
      <name val="Nunito"/>
    </font>
    <font>
      <sz val="12"/>
      <color theme="0"/>
      <name val="Nunito"/>
    </font>
    <font>
      <b/>
      <sz val="14"/>
      <color theme="0"/>
      <name val="Nunito"/>
    </font>
    <font>
      <b/>
      <sz val="16"/>
      <color theme="0"/>
      <name val="Nunito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0C4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164" fontId="4" fillId="4" borderId="1" xfId="0" applyNumberFormat="1" applyFont="1" applyFill="1" applyBorder="1"/>
    <xf numFmtId="164" fontId="4" fillId="4" borderId="11" xfId="0" applyNumberFormat="1" applyFont="1" applyFill="1" applyBorder="1"/>
    <xf numFmtId="0" fontId="1" fillId="0" borderId="1" xfId="0" applyFont="1" applyBorder="1" applyAlignment="1">
      <alignment horizontal="center"/>
    </xf>
    <xf numFmtId="0" fontId="3" fillId="4" borderId="12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horizontal="center"/>
    </xf>
    <xf numFmtId="9" fontId="4" fillId="4" borderId="11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1" xfId="0" applyFill="1" applyBorder="1"/>
    <xf numFmtId="164" fontId="0" fillId="8" borderId="1" xfId="0" applyNumberFormat="1" applyFill="1" applyBorder="1"/>
    <xf numFmtId="164" fontId="0" fillId="8" borderId="1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164" fontId="0" fillId="3" borderId="1" xfId="0" applyNumberFormat="1" applyFill="1" applyBorder="1"/>
    <xf numFmtId="164" fontId="0" fillId="3" borderId="11" xfId="0" applyNumberFormat="1" applyFill="1" applyBorder="1"/>
    <xf numFmtId="0" fontId="0" fillId="10" borderId="1" xfId="0" applyFill="1" applyBorder="1"/>
    <xf numFmtId="164" fontId="0" fillId="10" borderId="1" xfId="0" applyNumberFormat="1" applyFill="1" applyBorder="1"/>
    <xf numFmtId="164" fontId="0" fillId="10" borderId="11" xfId="0" applyNumberFormat="1" applyFill="1" applyBorder="1"/>
    <xf numFmtId="0" fontId="0" fillId="7" borderId="1" xfId="0" applyFill="1" applyBorder="1"/>
    <xf numFmtId="0" fontId="0" fillId="8" borderId="1" xfId="0" applyFill="1" applyBorder="1" applyAlignment="1">
      <alignment vertical="center"/>
    </xf>
    <xf numFmtId="164" fontId="0" fillId="9" borderId="11" xfId="0" applyNumberFormat="1" applyFill="1" applyBorder="1"/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/>
    <xf numFmtId="0" fontId="0" fillId="0" borderId="12" xfId="0" applyBorder="1"/>
    <xf numFmtId="0" fontId="0" fillId="0" borderId="15" xfId="0" applyBorder="1" applyAlignment="1">
      <alignment horizontal="left"/>
    </xf>
    <xf numFmtId="0" fontId="0" fillId="7" borderId="0" xfId="0" applyFill="1"/>
    <xf numFmtId="0" fontId="7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2" fillId="14" borderId="16" xfId="0" applyFont="1" applyFill="1" applyBorder="1" applyAlignment="1">
      <alignment horizontal="left" vertical="center"/>
    </xf>
    <xf numFmtId="0" fontId="13" fillId="14" borderId="19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3" fillId="7" borderId="14" xfId="0" applyFont="1" applyFill="1" applyBorder="1" applyAlignment="1">
      <alignment horizontal="left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14" borderId="14" xfId="0" applyFont="1" applyFill="1" applyBorder="1" applyAlignment="1">
      <alignment horizontal="left" vertical="center"/>
    </xf>
    <xf numFmtId="0" fontId="13" fillId="14" borderId="15" xfId="0" applyFont="1" applyFill="1" applyBorder="1" applyAlignment="1">
      <alignment horizontal="left" vertical="center"/>
    </xf>
    <xf numFmtId="0" fontId="10" fillId="0" borderId="0" xfId="0" applyFont="1" applyAlignment="1">
      <alignment horizontal="left" wrapText="1"/>
    </xf>
    <xf numFmtId="0" fontId="13" fillId="14" borderId="11" xfId="0" applyFont="1" applyFill="1" applyBorder="1" applyAlignment="1">
      <alignment horizontal="left" vertical="center"/>
    </xf>
    <xf numFmtId="0" fontId="16" fillId="0" borderId="0" xfId="0" applyFont="1" applyAlignment="1">
      <alignment horizontal="left" wrapText="1"/>
    </xf>
    <xf numFmtId="165" fontId="13" fillId="7" borderId="19" xfId="0" applyNumberFormat="1" applyFont="1" applyFill="1" applyBorder="1" applyAlignment="1">
      <alignment horizontal="left" vertical="center"/>
    </xf>
    <xf numFmtId="0" fontId="13" fillId="14" borderId="2" xfId="0" applyFont="1" applyFill="1" applyBorder="1" applyAlignment="1">
      <alignment horizontal="center" vertical="center"/>
    </xf>
    <xf numFmtId="165" fontId="13" fillId="7" borderId="2" xfId="0" applyNumberFormat="1" applyFont="1" applyFill="1" applyBorder="1" applyAlignment="1">
      <alignment horizontal="left" vertical="center"/>
    </xf>
    <xf numFmtId="0" fontId="13" fillId="7" borderId="15" xfId="0" applyFont="1" applyFill="1" applyBorder="1" applyAlignment="1">
      <alignment horizontal="left" vertical="center"/>
    </xf>
    <xf numFmtId="0" fontId="15" fillId="0" borderId="0" xfId="0" applyFont="1" applyAlignment="1">
      <alignment horizontal="left"/>
    </xf>
    <xf numFmtId="0" fontId="18" fillId="0" borderId="0" xfId="0" applyFont="1"/>
    <xf numFmtId="0" fontId="13" fillId="7" borderId="14" xfId="0" applyFont="1" applyFill="1" applyBorder="1" applyAlignment="1">
      <alignment vertical="center"/>
    </xf>
    <xf numFmtId="0" fontId="19" fillId="2" borderId="0" xfId="0" applyFont="1" applyFill="1" applyAlignment="1">
      <alignment wrapText="1"/>
    </xf>
    <xf numFmtId="0" fontId="12" fillId="14" borderId="11" xfId="0" applyFont="1" applyFill="1" applyBorder="1" applyAlignment="1">
      <alignment horizontal="left" vertical="center"/>
    </xf>
    <xf numFmtId="0" fontId="13" fillId="14" borderId="15" xfId="0" applyFont="1" applyFill="1" applyBorder="1" applyAlignment="1">
      <alignment vertical="center"/>
    </xf>
    <xf numFmtId="0" fontId="19" fillId="13" borderId="0" xfId="0" applyFont="1" applyFill="1" applyAlignment="1">
      <alignment wrapText="1"/>
    </xf>
    <xf numFmtId="0" fontId="12" fillId="14" borderId="13" xfId="0" applyFont="1" applyFill="1" applyBorder="1" applyAlignment="1">
      <alignment horizontal="left" vertical="center"/>
    </xf>
    <xf numFmtId="0" fontId="13" fillId="14" borderId="20" xfId="0" applyFont="1" applyFill="1" applyBorder="1" applyAlignment="1">
      <alignment vertical="center"/>
    </xf>
    <xf numFmtId="0" fontId="19" fillId="15" borderId="0" xfId="0" applyFont="1" applyFill="1" applyAlignment="1">
      <alignment wrapText="1"/>
    </xf>
    <xf numFmtId="0" fontId="19" fillId="12" borderId="0" xfId="0" applyFont="1" applyFill="1"/>
    <xf numFmtId="0" fontId="12" fillId="7" borderId="0" xfId="0" applyFont="1" applyFill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1" fillId="16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vertical="center"/>
    </xf>
    <xf numFmtId="166" fontId="21" fillId="16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11" xfId="0" applyFont="1" applyFill="1" applyBorder="1" applyAlignment="1">
      <alignment vertical="center"/>
    </xf>
    <xf numFmtId="0" fontId="15" fillId="14" borderId="1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167" fontId="15" fillId="14" borderId="1" xfId="0" applyNumberFormat="1" applyFont="1" applyFill="1" applyBorder="1" applyAlignment="1">
      <alignment vertical="center"/>
    </xf>
    <xf numFmtId="167" fontId="15" fillId="7" borderId="12" xfId="0" applyNumberFormat="1" applyFont="1" applyFill="1" applyBorder="1" applyAlignment="1">
      <alignment vertical="center"/>
    </xf>
    <xf numFmtId="166" fontId="15" fillId="14" borderId="12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19" fillId="2" borderId="0" xfId="0" applyFont="1" applyFill="1"/>
    <xf numFmtId="0" fontId="22" fillId="7" borderId="0" xfId="0" applyFont="1" applyFill="1"/>
    <xf numFmtId="0" fontId="13" fillId="0" borderId="0" xfId="0" applyFont="1"/>
    <xf numFmtId="0" fontId="22" fillId="0" borderId="0" xfId="0" applyFont="1"/>
    <xf numFmtId="0" fontId="19" fillId="10" borderId="0" xfId="0" applyFont="1" applyFill="1"/>
    <xf numFmtId="0" fontId="21" fillId="7" borderId="1" xfId="0" applyFont="1" applyFill="1" applyBorder="1" applyAlignment="1">
      <alignment vertical="center"/>
    </xf>
    <xf numFmtId="0" fontId="20" fillId="0" borderId="0" xfId="0" applyFont="1"/>
    <xf numFmtId="0" fontId="15" fillId="7" borderId="2" xfId="0" applyFont="1" applyFill="1" applyBorder="1" applyAlignment="1">
      <alignment horizontal="center" vertical="center"/>
    </xf>
    <xf numFmtId="0" fontId="15" fillId="7" borderId="19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vertical="center"/>
    </xf>
    <xf numFmtId="0" fontId="17" fillId="3" borderId="0" xfId="0" applyFont="1" applyFill="1"/>
    <xf numFmtId="0" fontId="12" fillId="16" borderId="21" xfId="0" applyFont="1" applyFill="1" applyBorder="1" applyAlignment="1">
      <alignment horizontal="center"/>
    </xf>
    <xf numFmtId="166" fontId="12" fillId="16" borderId="10" xfId="0" applyNumberFormat="1" applyFont="1" applyFill="1" applyBorder="1"/>
    <xf numFmtId="0" fontId="12" fillId="0" borderId="0" xfId="0" applyFont="1" applyAlignment="1">
      <alignment horizontal="center"/>
    </xf>
    <xf numFmtId="166" fontId="12" fillId="0" borderId="0" xfId="0" applyNumberFormat="1" applyFont="1"/>
    <xf numFmtId="0" fontId="15" fillId="7" borderId="1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7" borderId="12" xfId="0" applyFont="1" applyFill="1" applyBorder="1" applyAlignment="1">
      <alignment vertical="center"/>
    </xf>
    <xf numFmtId="0" fontId="15" fillId="14" borderId="12" xfId="0" applyFont="1" applyFill="1" applyBorder="1" applyAlignment="1">
      <alignment horizontal="center" vertical="center"/>
    </xf>
    <xf numFmtId="0" fontId="15" fillId="7" borderId="12" xfId="0" applyFont="1" applyFill="1" applyBorder="1" applyAlignment="1">
      <alignment horizontal="center" vertical="center"/>
    </xf>
    <xf numFmtId="167" fontId="15" fillId="14" borderId="12" xfId="0" applyNumberFormat="1" applyFont="1" applyFill="1" applyBorder="1" applyAlignment="1">
      <alignment vertical="center"/>
    </xf>
    <xf numFmtId="167" fontId="15" fillId="3" borderId="12" xfId="0" applyNumberFormat="1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1" fillId="0" borderId="0" xfId="0" applyFont="1" applyAlignment="1">
      <alignment horizontal="center"/>
    </xf>
    <xf numFmtId="166" fontId="21" fillId="0" borderId="0" xfId="0" applyNumberFormat="1" applyFont="1"/>
    <xf numFmtId="0" fontId="23" fillId="0" borderId="23" xfId="0" applyFont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4" fillId="17" borderId="0" xfId="0" applyFont="1" applyFill="1"/>
    <xf numFmtId="0" fontId="25" fillId="17" borderId="0" xfId="0" applyFont="1" applyFill="1"/>
    <xf numFmtId="0" fontId="25" fillId="17" borderId="0" xfId="0" applyFont="1" applyFill="1" applyAlignment="1">
      <alignment horizontal="center"/>
    </xf>
    <xf numFmtId="0" fontId="25" fillId="17" borderId="0" xfId="0" applyFont="1" applyFill="1" applyAlignment="1">
      <alignment horizontal="left"/>
    </xf>
    <xf numFmtId="0" fontId="23" fillId="0" borderId="18" xfId="0" applyFont="1" applyBorder="1"/>
    <xf numFmtId="166" fontId="27" fillId="17" borderId="18" xfId="0" applyNumberFormat="1" applyFont="1" applyFill="1" applyBorder="1"/>
    <xf numFmtId="0" fontId="23" fillId="0" borderId="0" xfId="0" applyFont="1"/>
    <xf numFmtId="166" fontId="27" fillId="18" borderId="10" xfId="0" applyNumberFormat="1" applyFont="1" applyFill="1" applyBorder="1"/>
    <xf numFmtId="0" fontId="12" fillId="5" borderId="22" xfId="0" applyFont="1" applyFill="1" applyBorder="1" applyAlignment="1">
      <alignment horizontal="center"/>
    </xf>
    <xf numFmtId="166" fontId="12" fillId="5" borderId="18" xfId="0" applyNumberFormat="1" applyFont="1" applyFill="1" applyBorder="1"/>
    <xf numFmtId="166" fontId="27" fillId="5" borderId="22" xfId="0" applyNumberFormat="1" applyFont="1" applyFill="1" applyBorder="1"/>
    <xf numFmtId="0" fontId="24" fillId="5" borderId="0" xfId="0" applyFont="1" applyFill="1" applyAlignment="1">
      <alignment horizontal="left"/>
    </xf>
    <xf numFmtId="0" fontId="26" fillId="17" borderId="6" xfId="0" applyFont="1" applyFill="1" applyBorder="1" applyAlignment="1">
      <alignment horizontal="center"/>
    </xf>
    <xf numFmtId="0" fontId="26" fillId="17" borderId="0" xfId="0" applyFont="1" applyFill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26" fillId="18" borderId="17" xfId="0" applyFont="1" applyFill="1" applyBorder="1" applyAlignment="1">
      <alignment horizontal="center"/>
    </xf>
    <xf numFmtId="0" fontId="26" fillId="18" borderId="18" xfId="0" applyFont="1" applyFill="1" applyBorder="1" applyAlignment="1">
      <alignment horizontal="center"/>
    </xf>
    <xf numFmtId="9" fontId="13" fillId="14" borderId="11" xfId="0" applyNumberFormat="1" applyFont="1" applyFill="1" applyBorder="1" applyAlignment="1">
      <alignment horizontal="left" vertical="center"/>
    </xf>
    <xf numFmtId="9" fontId="13" fillId="14" borderId="15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22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</xdr:row>
      <xdr:rowOff>19050</xdr:rowOff>
    </xdr:from>
    <xdr:to>
      <xdr:col>3</xdr:col>
      <xdr:colOff>495300</xdr:colOff>
      <xdr:row>5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32722-668B-427A-8ACB-A44F87788993}"/>
            </a:ext>
            <a:ext uri="{147F2762-F138-4A5C-976F-8EAC2B608ADB}">
              <a16:predDERef xmlns:a16="http://schemas.microsoft.com/office/drawing/2014/main" pred="{9A9F84B8-9CAD-4D85-BCE4-2F5553E9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3650" y="400050"/>
          <a:ext cx="1476375" cy="771525"/>
        </a:xfrm>
        <a:prstGeom prst="rect">
          <a:avLst/>
        </a:prstGeom>
      </xdr:spPr>
    </xdr:pic>
    <xdr:clientData/>
  </xdr:twoCellAnchor>
  <xdr:twoCellAnchor>
    <xdr:from>
      <xdr:col>2</xdr:col>
      <xdr:colOff>95250</xdr:colOff>
      <xdr:row>5</xdr:row>
      <xdr:rowOff>152400</xdr:rowOff>
    </xdr:from>
    <xdr:to>
      <xdr:col>3</xdr:col>
      <xdr:colOff>1895475</xdr:colOff>
      <xdr:row>7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EABA22-8472-439F-B785-93E23EFD96B0}"/>
            </a:ext>
            <a:ext uri="{147F2762-F138-4A5C-976F-8EAC2B608ADB}">
              <a16:predDERef xmlns:a16="http://schemas.microsoft.com/office/drawing/2014/main" pred="{3B732722-668B-427A-8ACB-A44F87788993}"/>
            </a:ext>
          </a:extLst>
        </xdr:cNvPr>
        <xdr:cNvSpPr txBox="1"/>
      </xdr:nvSpPr>
      <xdr:spPr>
        <a:xfrm>
          <a:off x="10058400" y="1133475"/>
          <a:ext cx="2971800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Telkom Corporate University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0</xdr:col>
      <xdr:colOff>1562100</xdr:colOff>
      <xdr:row>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63220A-9C12-4A0C-BC54-83A562966B91}"/>
            </a:ext>
            <a:ext uri="{147F2762-F138-4A5C-976F-8EAC2B608ADB}">
              <a16:predDERef xmlns:a16="http://schemas.microsoft.com/office/drawing/2014/main" pred="{94EABA22-8472-439F-B785-93E23EFD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0"/>
          <a:ext cx="1543050" cy="1533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1371600</xdr:colOff>
      <xdr:row>13</xdr:row>
      <xdr:rowOff>19050</xdr:rowOff>
    </xdr:from>
    <xdr:to>
      <xdr:col>34</xdr:col>
      <xdr:colOff>657225</xdr:colOff>
      <xdr:row>47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DF817E-F7A2-4577-8A7B-5ECE67B37D05}"/>
            </a:ext>
            <a:ext uri="{147F2762-F138-4A5C-976F-8EAC2B608ADB}">
              <a16:predDERef xmlns:a16="http://schemas.microsoft.com/office/drawing/2014/main" pred="{0263220A-9C12-4A0C-BC54-83A56296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487" r="25867"/>
        <a:stretch>
          <a:fillRect/>
        </a:stretch>
      </xdr:blipFill>
      <xdr:spPr>
        <a:xfrm>
          <a:off x="29794200" y="3933825"/>
          <a:ext cx="19545300" cy="10382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155575</xdr:colOff>
      <xdr:row>2</xdr:row>
      <xdr:rowOff>6350</xdr:rowOff>
    </xdr:from>
    <xdr:to>
      <xdr:col>14</xdr:col>
      <xdr:colOff>60325</xdr:colOff>
      <xdr:row>12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8F772-F03B-45D0-8C41-445B21237BAE}"/>
            </a:ext>
            <a:ext uri="{147F2762-F138-4A5C-976F-8EAC2B608ADB}">
              <a16:predDERef xmlns:a16="http://schemas.microsoft.com/office/drawing/2014/main" pred="{914BE829-8EAD-41AB-A759-61ECD657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1725" y="387350"/>
          <a:ext cx="3562350" cy="1924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igo_putra_telkom_co_id/Documents/TCU%202026/TCU%20Area/Dashboard%20TCU%20Area/Form%20RAB%20Pelatihan/2026_JKT_Form%20RAB%20Pelatih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EVENT"/>
      <sheetName val="📒DAFTAR ISI (Input by TS)"/>
      <sheetName val="TEMPLATE (Event ID - Nama TS)"/>
      <sheetName val="TEMPLATE RAB TERBARU (COPY)"/>
      <sheetName val="HARGA SATUAN MAX"/>
      <sheetName val="KODE &amp; AKUN ANGGARAN"/>
      <sheetName val="INDEKS RAB"/>
      <sheetName val="PELATIHAN INTEGRITY 4 HARI "/>
      <sheetName val="PELATIHAN INTEGRITY 5 HARI"/>
      <sheetName val="603 -  Faras"/>
      <sheetName val="559 - Faras"/>
      <sheetName val="593-Ambar"/>
      <sheetName val="584 - Ambar"/>
      <sheetName val="578 - Isman"/>
      <sheetName val="577 - Rozi"/>
      <sheetName val="REKON BUDGET"/>
      <sheetName val="605 - Rozi"/>
      <sheetName val="613 - Hariadi"/>
      <sheetName val="606-Pri"/>
      <sheetName val="REDESIGN RAB"/>
    </sheetNames>
    <sheetDataSet>
      <sheetData sheetId="0"/>
      <sheetData sheetId="1"/>
      <sheetData sheetId="2"/>
      <sheetData sheetId="3"/>
      <sheetData sheetId="4">
        <row r="61">
          <cell r="B61" t="str">
            <v>L2</v>
          </cell>
          <cell r="C61" t="str">
            <v>Setting Kelas dan Lembur MItra Non TS (Bila diperlukan)</v>
          </cell>
          <cell r="D61">
            <v>471600</v>
          </cell>
          <cell r="E61">
            <v>543600</v>
          </cell>
          <cell r="F61">
            <v>460800</v>
          </cell>
          <cell r="G61">
            <v>360000</v>
          </cell>
          <cell r="H61">
            <v>522000</v>
          </cell>
          <cell r="I61">
            <v>522000</v>
          </cell>
          <cell r="J61">
            <v>522000</v>
          </cell>
          <cell r="K61">
            <v>450000</v>
          </cell>
          <cell r="L61">
            <v>536400</v>
          </cell>
          <cell r="M61">
            <v>536400</v>
          </cell>
          <cell r="N61">
            <v>536400</v>
          </cell>
        </row>
        <row r="67">
          <cell r="B67"/>
          <cell r="C67"/>
          <cell r="D67" t="str">
            <v>Sumatera (LA-1)</v>
          </cell>
          <cell r="E67" t="str">
            <v>Jakarta (LA-1)</v>
          </cell>
          <cell r="F67" t="str">
            <v>Bandung (LA-2)</v>
          </cell>
          <cell r="G67" t="str">
            <v>Semarang (LA-3)</v>
          </cell>
          <cell r="H67" t="str">
            <v>Surabaya (LA-3)</v>
          </cell>
          <cell r="I67" t="str">
            <v>Bali (LA-3)</v>
          </cell>
          <cell r="J67" t="str">
            <v>Nusa Tenggara (LA-3)</v>
          </cell>
          <cell r="K67" t="str">
            <v>Kalimantan (LA-4)</v>
          </cell>
          <cell r="L67" t="str">
            <v>Sulawesi (LA-4)</v>
          </cell>
          <cell r="M67" t="str">
            <v>Maluku (LA-4)</v>
          </cell>
          <cell r="N67" t="str">
            <v>Papua (LA-4)</v>
          </cell>
        </row>
        <row r="68">
          <cell r="B68" t="str">
            <v>R1</v>
          </cell>
          <cell r="C68" t="str">
            <v>Recording/Dokumentasi Event</v>
          </cell>
          <cell r="D68">
            <v>1965000</v>
          </cell>
          <cell r="E68">
            <v>2265000</v>
          </cell>
          <cell r="F68">
            <v>1920000</v>
          </cell>
          <cell r="G68">
            <v>1500000</v>
          </cell>
          <cell r="H68">
            <v>2175000</v>
          </cell>
          <cell r="I68">
            <v>2175000</v>
          </cell>
          <cell r="J68">
            <v>2175000</v>
          </cell>
          <cell r="K68">
            <v>1875000</v>
          </cell>
          <cell r="L68">
            <v>2235000</v>
          </cell>
          <cell r="M68">
            <v>2235000</v>
          </cell>
          <cell r="N68">
            <v>2235000</v>
          </cell>
        </row>
        <row r="69">
          <cell r="B69" t="str">
            <v>R2</v>
          </cell>
          <cell r="C69" t="str">
            <v>Recording/Dokumentasi Event</v>
          </cell>
          <cell r="D69">
            <v>1965000</v>
          </cell>
          <cell r="E69">
            <v>2265000</v>
          </cell>
          <cell r="F69">
            <v>1920000</v>
          </cell>
          <cell r="G69">
            <v>1500000</v>
          </cell>
          <cell r="H69">
            <v>2175000</v>
          </cell>
          <cell r="I69">
            <v>2175000</v>
          </cell>
          <cell r="J69">
            <v>2175000</v>
          </cell>
          <cell r="K69">
            <v>1875000</v>
          </cell>
          <cell r="L69">
            <v>2235000</v>
          </cell>
          <cell r="M69">
            <v>2235000</v>
          </cell>
          <cell r="N69">
            <v>2235000</v>
          </cell>
        </row>
        <row r="70">
          <cell r="B70" t="str">
            <v>L1</v>
          </cell>
          <cell r="C70" t="str">
            <v>Recording/Dokumentasi Event</v>
          </cell>
          <cell r="D70">
            <v>1572000</v>
          </cell>
          <cell r="E70">
            <v>1812000</v>
          </cell>
          <cell r="F70">
            <v>1536000</v>
          </cell>
          <cell r="G70">
            <v>1200000</v>
          </cell>
          <cell r="H70">
            <v>1740000</v>
          </cell>
          <cell r="I70">
            <v>1740000</v>
          </cell>
          <cell r="J70">
            <v>1740000</v>
          </cell>
          <cell r="K70">
            <v>1500000</v>
          </cell>
          <cell r="L70">
            <v>1788000</v>
          </cell>
          <cell r="M70">
            <v>1788000</v>
          </cell>
          <cell r="N70">
            <v>1788000</v>
          </cell>
        </row>
        <row r="71">
          <cell r="B71" t="str">
            <v>L2</v>
          </cell>
          <cell r="C71" t="str">
            <v>Recording/Dokumentasi Event</v>
          </cell>
          <cell r="D71">
            <v>2358000</v>
          </cell>
          <cell r="E71">
            <v>2718000</v>
          </cell>
          <cell r="F71">
            <v>2304000</v>
          </cell>
          <cell r="G71">
            <v>1800000</v>
          </cell>
          <cell r="H71">
            <v>2610000</v>
          </cell>
          <cell r="I71">
            <v>2610000</v>
          </cell>
          <cell r="J71">
            <v>2610000</v>
          </cell>
          <cell r="K71">
            <v>2250000</v>
          </cell>
          <cell r="L71">
            <v>2682000</v>
          </cell>
          <cell r="M71">
            <v>2682000</v>
          </cell>
          <cell r="N71">
            <v>2682000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2952-530A-42E5-BCCA-C86AF26C7597}">
  <sheetPr>
    <tabColor theme="5" tint="0.39997558519241921"/>
    <pageSetUpPr fitToPage="1"/>
  </sheetPr>
  <dimension ref="A2:AI77"/>
  <sheetViews>
    <sheetView zoomScale="70" zoomScaleNormal="70" workbookViewId="0">
      <selection activeCell="C3" sqref="C3:K70"/>
    </sheetView>
  </sheetViews>
  <sheetFormatPr defaultColWidth="12.54296875" defaultRowHeight="14.5"/>
  <cols>
    <col min="1" max="1" width="131.1796875" customWidth="1"/>
    <col min="2" max="2" width="18.26953125" style="50" customWidth="1"/>
    <col min="3" max="3" width="17.54296875" customWidth="1"/>
    <col min="4" max="4" width="77.81640625" customWidth="1"/>
    <col min="5" max="5" width="32.453125" style="3" customWidth="1"/>
    <col min="6" max="6" width="22.26953125" style="3" customWidth="1"/>
    <col min="7" max="7" width="22.26953125" style="44" customWidth="1"/>
    <col min="8" max="8" width="22.26953125" style="3" bestFit="1" customWidth="1"/>
    <col min="9" max="9" width="22.26953125" style="3" customWidth="1"/>
    <col min="10" max="10" width="26.54296875" style="3" customWidth="1"/>
    <col min="11" max="11" width="62.54296875" style="3" customWidth="1"/>
    <col min="12" max="12" width="16.1796875" customWidth="1"/>
    <col min="13" max="13" width="39.81640625" customWidth="1"/>
  </cols>
  <sheetData>
    <row r="2" spans="1:35">
      <c r="A2" s="146" t="s">
        <v>9</v>
      </c>
    </row>
    <row r="3" spans="1:35" ht="15.75" customHeight="1">
      <c r="A3" s="147"/>
      <c r="C3" s="148" t="s">
        <v>10</v>
      </c>
      <c r="D3" s="149"/>
      <c r="E3" s="149"/>
      <c r="F3" s="149"/>
      <c r="G3" s="149"/>
      <c r="H3" s="149"/>
      <c r="I3" s="149"/>
      <c r="J3" s="149"/>
      <c r="K3" s="150"/>
      <c r="L3" s="51"/>
      <c r="M3" s="51"/>
    </row>
    <row r="4" spans="1:35" ht="15.75" customHeight="1">
      <c r="A4" s="147"/>
      <c r="C4" s="151"/>
      <c r="D4" s="152"/>
      <c r="E4" s="152"/>
      <c r="F4" s="152"/>
      <c r="G4" s="152"/>
      <c r="H4" s="152"/>
      <c r="I4" s="152"/>
      <c r="J4" s="152"/>
      <c r="K4" s="153"/>
      <c r="L4" s="51"/>
      <c r="M4" s="157" t="s">
        <v>11</v>
      </c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</row>
    <row r="5" spans="1:35" ht="15.75" customHeight="1">
      <c r="A5" s="147"/>
      <c r="C5" s="151"/>
      <c r="D5" s="152"/>
      <c r="E5" s="152"/>
      <c r="F5" s="152"/>
      <c r="G5" s="152"/>
      <c r="H5" s="152"/>
      <c r="I5" s="152"/>
      <c r="J5" s="152"/>
      <c r="K5" s="153"/>
      <c r="L5" s="51"/>
      <c r="M5" s="159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</row>
    <row r="6" spans="1:35" ht="15.75" customHeight="1">
      <c r="A6" s="147"/>
      <c r="C6" s="151"/>
      <c r="D6" s="152"/>
      <c r="E6" s="152"/>
      <c r="F6" s="152"/>
      <c r="G6" s="152"/>
      <c r="H6" s="152"/>
      <c r="I6" s="152"/>
      <c r="J6" s="152"/>
      <c r="K6" s="153"/>
      <c r="L6" s="51"/>
      <c r="M6" s="159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</row>
    <row r="7" spans="1:35" ht="15.75" customHeight="1">
      <c r="A7" s="147"/>
      <c r="C7" s="154"/>
      <c r="D7" s="155"/>
      <c r="E7" s="155"/>
      <c r="F7" s="155"/>
      <c r="G7" s="155"/>
      <c r="H7" s="155"/>
      <c r="I7" s="155"/>
      <c r="J7" s="155"/>
      <c r="K7" s="156"/>
      <c r="L7" s="51"/>
      <c r="M7" s="159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</row>
    <row r="8" spans="1:35" ht="15.75" customHeight="1">
      <c r="A8" s="147"/>
      <c r="M8" s="159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</row>
    <row r="9" spans="1:35" ht="25">
      <c r="A9" s="52" t="s">
        <v>12</v>
      </c>
      <c r="C9" s="53" t="s">
        <v>0</v>
      </c>
      <c r="D9" s="54"/>
      <c r="E9" s="160">
        <v>244</v>
      </c>
      <c r="F9" s="161"/>
      <c r="G9" s="162"/>
      <c r="H9" s="55"/>
      <c r="I9" s="55"/>
      <c r="J9" s="55"/>
      <c r="K9" s="55"/>
      <c r="L9" s="56"/>
    </row>
    <row r="10" spans="1:35" ht="25">
      <c r="A10" s="52" t="s">
        <v>13</v>
      </c>
      <c r="C10" s="53" t="s">
        <v>14</v>
      </c>
      <c r="D10" s="54"/>
      <c r="E10" s="57" t="s">
        <v>15</v>
      </c>
      <c r="F10" s="58"/>
      <c r="G10" s="59"/>
      <c r="H10" s="55"/>
      <c r="I10" s="55"/>
      <c r="J10" s="55"/>
      <c r="K10" s="55"/>
      <c r="L10" s="56"/>
    </row>
    <row r="11" spans="1:35" ht="25">
      <c r="A11" s="52" t="s">
        <v>16</v>
      </c>
      <c r="C11" s="53" t="s">
        <v>2</v>
      </c>
      <c r="D11" s="54"/>
      <c r="E11" s="60" t="str">
        <f>IFERROR(VLOOKUP(E9,#REF!, 3, FALSE), "Data Tidak Ditemukan")</f>
        <v>Data Tidak Ditemukan</v>
      </c>
      <c r="F11" s="60"/>
      <c r="G11" s="61"/>
      <c r="H11" s="55"/>
      <c r="I11" s="55"/>
      <c r="J11" s="55"/>
      <c r="K11" s="55"/>
      <c r="L11" s="56"/>
    </row>
    <row r="12" spans="1:35" ht="50">
      <c r="A12" s="62" t="s">
        <v>17</v>
      </c>
      <c r="C12" s="53" t="s">
        <v>18</v>
      </c>
      <c r="D12" s="54"/>
      <c r="E12" s="63" t="str">
        <f>IFERROR(VLOOKUP(E9,#REF!, 7, FALSE), "Data Tidak Ditemukan")</f>
        <v>Data Tidak Ditemukan</v>
      </c>
      <c r="F12" s="60"/>
      <c r="G12" s="61"/>
      <c r="H12" s="55"/>
      <c r="I12" s="55"/>
      <c r="J12" s="55"/>
      <c r="K12" s="55"/>
      <c r="L12" s="56"/>
    </row>
    <row r="13" spans="1:35" ht="52">
      <c r="A13" s="64" t="s">
        <v>19</v>
      </c>
      <c r="C13" s="53" t="s">
        <v>20</v>
      </c>
      <c r="D13" s="54"/>
      <c r="E13" s="65">
        <v>45961</v>
      </c>
      <c r="F13" s="66" t="s">
        <v>3</v>
      </c>
      <c r="G13" s="67">
        <v>45961</v>
      </c>
      <c r="H13" s="55"/>
      <c r="I13" s="55"/>
      <c r="J13" s="55"/>
      <c r="K13" s="55"/>
      <c r="L13" s="56"/>
    </row>
    <row r="14" spans="1:35" ht="52">
      <c r="A14" s="64" t="s">
        <v>21</v>
      </c>
      <c r="C14" s="53" t="s">
        <v>4</v>
      </c>
      <c r="D14" s="54"/>
      <c r="E14" s="57" t="s">
        <v>22</v>
      </c>
      <c r="F14" s="57"/>
      <c r="G14" s="68"/>
      <c r="H14" s="69"/>
      <c r="I14" s="69"/>
      <c r="J14" s="55"/>
      <c r="K14" s="55"/>
      <c r="L14" s="56"/>
    </row>
    <row r="15" spans="1:35" ht="23.5">
      <c r="C15" s="53" t="s">
        <v>23</v>
      </c>
      <c r="D15" s="54"/>
      <c r="E15" s="163" t="s">
        <v>24</v>
      </c>
      <c r="F15" s="164"/>
      <c r="G15" s="165"/>
      <c r="H15" s="69"/>
      <c r="I15" s="69"/>
      <c r="J15" s="55"/>
      <c r="K15" s="55"/>
      <c r="L15" s="56"/>
    </row>
    <row r="16" spans="1:35" ht="29.5">
      <c r="A16" s="70" t="s">
        <v>25</v>
      </c>
      <c r="C16" s="53" t="s">
        <v>26</v>
      </c>
      <c r="D16" s="54"/>
      <c r="E16" s="71" t="s">
        <v>27</v>
      </c>
      <c r="F16" s="144">
        <f>VLOOKUP(E16, 'INDEKS RAB'!$G$3:$H$13, 2, FALSE)</f>
        <v>1</v>
      </c>
      <c r="G16" s="145"/>
      <c r="H16" s="55"/>
      <c r="I16" s="55"/>
      <c r="J16" s="55"/>
      <c r="K16" s="55"/>
      <c r="L16" s="56"/>
    </row>
    <row r="17" spans="1:12" ht="41">
      <c r="A17" s="72" t="s">
        <v>28</v>
      </c>
      <c r="C17" s="73" t="s">
        <v>5</v>
      </c>
      <c r="D17" s="74"/>
      <c r="E17" s="71" t="s">
        <v>8</v>
      </c>
      <c r="F17" s="144" t="str">
        <f>VLOOKUP(E17, 'COST CENTER &amp; BEBAN ANGGARAN'!$B$4:$C$8, 2, FALSE)</f>
        <v>SoGTM</v>
      </c>
      <c r="G17" s="145"/>
      <c r="H17" s="55"/>
      <c r="I17" s="55"/>
      <c r="J17" s="55"/>
      <c r="K17" s="55"/>
      <c r="L17" s="56"/>
    </row>
    <row r="18" spans="1:12" ht="41">
      <c r="A18" s="75" t="s">
        <v>29</v>
      </c>
      <c r="C18" s="76" t="s">
        <v>7</v>
      </c>
      <c r="D18" s="77"/>
      <c r="E18" s="57">
        <v>51505007</v>
      </c>
      <c r="F18" s="144" t="str">
        <f>VLOOKUP(E18, 'COST CENTER &amp; BEBAN ANGGARAN'!$E$4:$F$7, 2, FALSE)</f>
        <v>Beban Peralatan Diklat</v>
      </c>
      <c r="G18" s="145"/>
      <c r="H18" s="55"/>
      <c r="I18" s="55"/>
      <c r="J18" s="55"/>
      <c r="K18" s="55"/>
      <c r="L18" s="56"/>
    </row>
    <row r="19" spans="1:12" ht="18">
      <c r="H19" s="55"/>
      <c r="I19" s="55"/>
      <c r="J19" s="55"/>
      <c r="K19" s="55"/>
      <c r="L19" s="56"/>
    </row>
    <row r="20" spans="1:12" ht="29.5">
      <c r="A20" s="70" t="s">
        <v>30</v>
      </c>
      <c r="H20" s="55"/>
      <c r="I20" s="55"/>
      <c r="J20" s="55"/>
      <c r="K20" s="55"/>
      <c r="L20" s="56"/>
    </row>
    <row r="21" spans="1:12" ht="29.5">
      <c r="A21" s="78" t="s">
        <v>31</v>
      </c>
      <c r="C21" s="126" t="s">
        <v>32</v>
      </c>
      <c r="D21" s="127"/>
      <c r="E21" s="128"/>
      <c r="F21" s="128"/>
      <c r="G21" s="129"/>
      <c r="H21" s="128"/>
      <c r="I21" s="128"/>
      <c r="J21" s="128"/>
      <c r="K21" s="128"/>
      <c r="L21" s="56"/>
    </row>
    <row r="22" spans="1:12" ht="23.5">
      <c r="A22" s="79" t="s">
        <v>33</v>
      </c>
      <c r="C22" s="80" t="s">
        <v>34</v>
      </c>
      <c r="D22" s="81" t="s">
        <v>35</v>
      </c>
      <c r="E22" s="82"/>
      <c r="F22" s="82"/>
      <c r="G22" s="83"/>
      <c r="H22" s="82"/>
      <c r="I22" s="82"/>
      <c r="J22" s="82"/>
      <c r="K22" s="82"/>
      <c r="L22" s="56"/>
    </row>
    <row r="23" spans="1:12" ht="18">
      <c r="C23" s="84" t="s">
        <v>1</v>
      </c>
      <c r="D23" s="85" t="s">
        <v>36</v>
      </c>
      <c r="E23" s="84" t="s">
        <v>37</v>
      </c>
      <c r="F23" s="84" t="s">
        <v>38</v>
      </c>
      <c r="G23" s="84" t="s">
        <v>39</v>
      </c>
      <c r="H23" s="86" t="s">
        <v>11</v>
      </c>
      <c r="I23" s="86" t="s">
        <v>40</v>
      </c>
      <c r="J23" s="84" t="s">
        <v>41</v>
      </c>
      <c r="K23" s="84" t="s">
        <v>42</v>
      </c>
      <c r="L23" s="56"/>
    </row>
    <row r="24" spans="1:12" ht="29.5">
      <c r="A24" s="70" t="s">
        <v>43</v>
      </c>
      <c r="C24" s="87">
        <v>1</v>
      </c>
      <c r="D24" s="88" t="s">
        <v>44</v>
      </c>
      <c r="E24" s="89" t="str">
        <f>IFERROR(
 INDEX('NORMA BIAYA'!$O$8:$O$81,
  MATCH(D24, 'NORMA BIAYA'!$C$8:$C$81, 0)
 ),
""
)</f>
        <v>Pax</v>
      </c>
      <c r="F24" s="90"/>
      <c r="G24" s="87">
        <f>IF(D24="","",IF(E24
="Event",1,0))</f>
        <v>0</v>
      </c>
      <c r="H24" s="91" cm="1">
        <f t="array" ref="H24">IFERROR(
 INDEX('NORMA BIAYA'!$D$8:$N$81,
  MATCH(1,('NORMA BIAYA'!$B$8:$B$81=$E$10)*('NORMA BIAYA'!$C$8:$C$81=D24),0),
  MATCH($E$16,'NORMA BIAYA'!$D$6:$N$6,0)
 ),
""
)</f>
        <v>50000</v>
      </c>
      <c r="I24" s="92"/>
      <c r="J24" s="93" t="str">
        <f>IF(OR(F24="",G24="",I24=""),"",F24*G24*I24)</f>
        <v/>
      </c>
      <c r="K24" s="94"/>
      <c r="L24" s="56"/>
    </row>
    <row r="25" spans="1:12" s="98" customFormat="1" ht="23.5">
      <c r="A25" s="95" t="s">
        <v>45</v>
      </c>
      <c r="B25" s="96"/>
      <c r="C25" s="87">
        <v>2</v>
      </c>
      <c r="D25" s="88" t="s">
        <v>46</v>
      </c>
      <c r="E25" s="89" t="str">
        <f>IFERROR(
 INDEX('NORMA BIAYA'!$O$8:$O$81,
  MATCH(D25, 'NORMA BIAYA'!$C$8:$C$81, 0)
 ),
""
)</f>
        <v>Hari</v>
      </c>
      <c r="F25" s="90"/>
      <c r="G25" s="87">
        <f t="shared" ref="G25:G36" si="0">IF(D25="","",IF(E25
="Event",1,0))</f>
        <v>0</v>
      </c>
      <c r="H25" s="91" cm="1">
        <f t="array" ref="H25">IFERROR(
 INDEX('NORMA BIAYA'!$D$8:$N$81,
  MATCH(1,('NORMA BIAYA'!$B$8:$B$81=$E$10)*('NORMA BIAYA'!$C$8:$C$81=D25),0),
  MATCH($E$16,'NORMA BIAYA'!$D$6:$N$6,0)
 ),
""
)</f>
        <v>216000</v>
      </c>
      <c r="I25" s="92"/>
      <c r="J25" s="93" t="str">
        <f t="shared" ref="J25:J35" si="1">IF(OR(F25="",G25="",I25=""),"",F25*G25*I25)</f>
        <v/>
      </c>
      <c r="K25" s="94"/>
      <c r="L25" s="97"/>
    </row>
    <row r="26" spans="1:12" ht="20.5">
      <c r="A26" s="99" t="s">
        <v>47</v>
      </c>
      <c r="C26" s="87">
        <v>3</v>
      </c>
      <c r="D26" s="88" t="s">
        <v>48</v>
      </c>
      <c r="E26" s="89" t="str">
        <f>IFERROR(
 INDEX('NORMA BIAYA'!$O$8:$O$81,
  MATCH(D26, 'NORMA BIAYA'!$C$8:$C$81, 0)
 ),
""
)</f>
        <v>Hari</v>
      </c>
      <c r="F26" s="90"/>
      <c r="G26" s="87">
        <f t="shared" si="0"/>
        <v>0</v>
      </c>
      <c r="H26" s="91" cm="1">
        <f t="array" ref="H26">IFERROR(
 INDEX('NORMA BIAYA'!$D$8:$N$81,
  MATCH(1,('NORMA BIAYA'!$B$8:$B$81=$E$10)*('NORMA BIAYA'!$C$8:$C$81=D26),0),
  MATCH($E$16,'NORMA BIAYA'!$D$6:$N$6,0)
 ),
""
)</f>
        <v>960000</v>
      </c>
      <c r="I26" s="92"/>
      <c r="J26" s="93" t="str">
        <f t="shared" si="1"/>
        <v/>
      </c>
      <c r="K26" s="94"/>
      <c r="L26" s="56"/>
    </row>
    <row r="27" spans="1:12" ht="18">
      <c r="C27" s="87">
        <v>4</v>
      </c>
      <c r="D27" s="88" t="s">
        <v>49</v>
      </c>
      <c r="E27" s="89" t="str">
        <f>IFERROR(
 INDEX('NORMA BIAYA'!$O$8:$O$81,
  MATCH(D27, 'NORMA BIAYA'!$C$8:$C$81, 0)
 ),
""
)</f>
        <v>Hari</v>
      </c>
      <c r="F27" s="90"/>
      <c r="G27" s="87">
        <f t="shared" si="0"/>
        <v>0</v>
      </c>
      <c r="H27" s="91" cm="1">
        <f t="array" ref="H27">IFERROR(
 INDEX('NORMA BIAYA'!$D$8:$N$81,
  MATCH(1,('NORMA BIAYA'!$B$8:$B$81=$E$10)*('NORMA BIAYA'!$C$8:$C$81=D27),0),
  MATCH($E$16,'NORMA BIAYA'!$D$6:$N$6,0)
 ),
""
)</f>
        <v>840000</v>
      </c>
      <c r="I27" s="92"/>
      <c r="J27" s="93" t="str">
        <f t="shared" si="1"/>
        <v/>
      </c>
      <c r="K27" s="94"/>
      <c r="L27" s="56"/>
    </row>
    <row r="28" spans="1:12" ht="29.5">
      <c r="A28" s="70" t="s">
        <v>50</v>
      </c>
      <c r="C28" s="87">
        <v>7</v>
      </c>
      <c r="D28" s="88" t="s">
        <v>51</v>
      </c>
      <c r="E28" s="89" t="str">
        <f>IFERROR(
 INDEX('NORMA BIAYA'!$O$8:$O$81,
  MATCH(D28, 'NORMA BIAYA'!$C$8:$C$81, 0)
 ),
""
)</f>
        <v>Event</v>
      </c>
      <c r="F28" s="90"/>
      <c r="G28" s="87">
        <f t="shared" si="0"/>
        <v>1</v>
      </c>
      <c r="H28" s="91" cm="1">
        <f t="array" ref="H28">IFERROR(
 INDEX('NORMA BIAYA'!$D$8:$N$81,
  MATCH(1,('NORMA BIAYA'!$B$8:$B$81=$E$10)*('NORMA BIAYA'!$C$8:$C$81=D28),0),
  MATCH($E$16,'NORMA BIAYA'!$D$6:$N$6,0)
 ),
""
)</f>
        <v>500000</v>
      </c>
      <c r="I28" s="92"/>
      <c r="J28" s="93" t="str">
        <f t="shared" si="1"/>
        <v/>
      </c>
      <c r="K28" s="100"/>
      <c r="L28" s="56"/>
    </row>
    <row r="29" spans="1:12" ht="20.5">
      <c r="A29" s="101" t="s">
        <v>52</v>
      </c>
      <c r="C29" s="87">
        <v>8</v>
      </c>
      <c r="D29" s="88" t="s">
        <v>53</v>
      </c>
      <c r="E29" s="89" t="str">
        <f>IFERROR(
 INDEX('NORMA BIAYA'!$O$8:$O$81,
  MATCH(D29, 'NORMA BIAYA'!$C$8:$C$81, 0)
 ),
""
)</f>
        <v>Pax</v>
      </c>
      <c r="F29" s="90"/>
      <c r="G29" s="87">
        <f t="shared" si="0"/>
        <v>0</v>
      </c>
      <c r="H29" s="91" cm="1">
        <f t="array" ref="H29">IFERROR(
 INDEX('NORMA BIAYA'!$D$8:$N$81,
  MATCH(1,('NORMA BIAYA'!$B$8:$B$81=$E$10)*('NORMA BIAYA'!$C$8:$C$81=D29),0),
  MATCH($E$16,'NORMA BIAYA'!$D$6:$N$6,0)
 ),
""
)</f>
        <v>1800000</v>
      </c>
      <c r="I29" s="92"/>
      <c r="J29" s="93" t="str">
        <f t="shared" si="1"/>
        <v/>
      </c>
      <c r="K29" s="94"/>
      <c r="L29" s="56"/>
    </row>
    <row r="30" spans="1:12" ht="18">
      <c r="C30" s="87">
        <v>9</v>
      </c>
      <c r="D30" s="88" t="s">
        <v>54</v>
      </c>
      <c r="E30" s="89" t="str">
        <f>IFERROR(
 INDEX('NORMA BIAYA'!$O$8:$O$81,
  MATCH(D30, 'NORMA BIAYA'!$C$8:$C$81, 0)
 ),
""
)</f>
        <v>Event</v>
      </c>
      <c r="F30" s="90"/>
      <c r="G30" s="87">
        <f>IF(D30="","",IF(E30
="Event",1,0))</f>
        <v>1</v>
      </c>
      <c r="H30" s="91" cm="1">
        <f t="array" ref="H30">IFERROR(
 INDEX('NORMA BIAYA'!$D$8:$N$81,
  MATCH(1,('NORMA BIAYA'!$B$8:$B$81=$E$10)*('NORMA BIAYA'!$C$8:$C$81=D30),0),
  MATCH($E$16,'NORMA BIAYA'!$D$6:$N$6,0)
 ),
""
)</f>
        <v>1200000</v>
      </c>
      <c r="I30" s="92"/>
      <c r="J30" s="93" t="str">
        <f t="shared" si="1"/>
        <v/>
      </c>
      <c r="K30" s="94"/>
      <c r="L30" s="56"/>
    </row>
    <row r="31" spans="1:12" ht="18">
      <c r="C31" s="87">
        <v>10</v>
      </c>
      <c r="D31" s="88" t="s">
        <v>55</v>
      </c>
      <c r="E31" s="89" t="str">
        <f>IFERROR(
 INDEX('NORMA BIAYA'!$O$8:$O$81,
  MATCH(D31, 'NORMA BIAYA'!$C$8:$C$81, 0)
 ),
""
)</f>
        <v>Event</v>
      </c>
      <c r="F31" s="90"/>
      <c r="G31" s="87">
        <f>IF(D31="","",IF(E31
="Event",1,0))</f>
        <v>1</v>
      </c>
      <c r="H31" s="91" cm="1">
        <f t="array" ref="H31">IFERROR(
 INDEX('NORMA BIAYA'!$D$8:$N$81,
  MATCH(1,('NORMA BIAYA'!$B$8:$B$81=$E$10)*('NORMA BIAYA'!$C$8:$C$81=D31),0),
  MATCH($E$16,'NORMA BIAYA'!$D$6:$N$6,0)
 ),
""
)</f>
        <v>3000000</v>
      </c>
      <c r="I31" s="92"/>
      <c r="J31" s="93" t="str">
        <f t="shared" si="1"/>
        <v/>
      </c>
      <c r="K31" s="94"/>
      <c r="L31" s="56"/>
    </row>
    <row r="32" spans="1:12" ht="18">
      <c r="C32" s="102">
        <v>11</v>
      </c>
      <c r="D32" s="88" t="s">
        <v>56</v>
      </c>
      <c r="E32" s="89" t="str">
        <f>IFERROR(
 INDEX('NORMA BIAYA'!$O$8:$O$81,
  MATCH(D32, 'NORMA BIAYA'!$C$8:$C$81, 0)
 ),
""
)</f>
        <v>Event</v>
      </c>
      <c r="F32" s="103"/>
      <c r="G32" s="87">
        <f t="shared" si="0"/>
        <v>1</v>
      </c>
      <c r="H32" s="91" cm="1">
        <f t="array" ref="H32">IFERROR(
 INDEX('NORMA BIAYA'!$D$8:$N$81,
  MATCH(1,('NORMA BIAYA'!$B$8:$B$81=$E$10)*('NORMA BIAYA'!$C$8:$C$81=D32),0),
  MATCH($E$16,'NORMA BIAYA'!$D$6:$N$6,0)
 ),
""
)</f>
        <v>1800000</v>
      </c>
      <c r="I32" s="92"/>
      <c r="J32" s="93" t="str">
        <f t="shared" si="1"/>
        <v/>
      </c>
      <c r="K32" s="104"/>
      <c r="L32" s="56"/>
    </row>
    <row r="33" spans="1:12" ht="26">
      <c r="A33" s="105" t="s">
        <v>57</v>
      </c>
      <c r="C33" s="87">
        <v>12</v>
      </c>
      <c r="D33" s="88" t="s">
        <v>58</v>
      </c>
      <c r="E33" s="89" t="str">
        <f>IFERROR(
 INDEX('NORMA BIAYA'!$O$8:$O$81,
  MATCH(D33, 'NORMA BIAYA'!$C$8:$C$81, 0)
 ),
""
)</f>
        <v>Event</v>
      </c>
      <c r="F33" s="90"/>
      <c r="G33" s="87">
        <f t="shared" si="0"/>
        <v>1</v>
      </c>
      <c r="H33" s="91" cm="1">
        <f t="array" ref="H33">IFERROR(
 INDEX('NORMA BIAYA'!$D$8:$N$81,
  MATCH(1,('NORMA BIAYA'!$B$8:$B$81=$E$10)*('NORMA BIAYA'!$C$8:$C$81=D33),0),
  MATCH($E$16,'NORMA BIAYA'!$D$6:$N$6,0)
 ),
""
)</f>
        <v>4440000</v>
      </c>
      <c r="I33" s="92"/>
      <c r="J33" s="93" t="str">
        <f>IF(OR(F33="",G33="",I33=""),"",F33*G33*I33)</f>
        <v/>
      </c>
      <c r="K33" s="94"/>
      <c r="L33" s="56"/>
    </row>
    <row r="34" spans="1:12" ht="18">
      <c r="C34" s="87">
        <v>13</v>
      </c>
      <c r="D34" s="88" t="s">
        <v>59</v>
      </c>
      <c r="E34" s="89" t="str">
        <f>IFERROR(
 INDEX('NORMA BIAYA'!$O$8:$O$81,
  MATCH(D34, 'NORMA BIAYA'!$C$8:$C$81, 0)
 ),
""
)</f>
        <v>Hari</v>
      </c>
      <c r="F34" s="90"/>
      <c r="G34" s="87">
        <f t="shared" si="0"/>
        <v>0</v>
      </c>
      <c r="H34" s="91" cm="1">
        <f t="array" ref="H34">IFERROR(
 INDEX('NORMA BIAYA'!$D$8:$N$81,
  MATCH(1,('NORMA BIAYA'!$B$8:$B$81=$E$10)*('NORMA BIAYA'!$C$8:$C$81=D34),0),
  MATCH($E$16,'NORMA BIAYA'!$D$6:$N$6,0)
 ),
""
)</f>
        <v>180000</v>
      </c>
      <c r="I34" s="92"/>
      <c r="J34" s="93" t="str">
        <f t="shared" si="1"/>
        <v/>
      </c>
      <c r="K34" s="94"/>
      <c r="L34" s="56"/>
    </row>
    <row r="35" spans="1:12" ht="18">
      <c r="C35" s="87">
        <v>14</v>
      </c>
      <c r="D35" s="88" t="s">
        <v>60</v>
      </c>
      <c r="E35" s="89" t="str">
        <f>IFERROR(
 INDEX('NORMA BIAYA'!$O$8:$O$81,
  MATCH(D35, 'NORMA BIAYA'!$C$8:$C$81, 0)
 ),
""
)</f>
        <v>Hari</v>
      </c>
      <c r="F35" s="90"/>
      <c r="G35" s="87">
        <f t="shared" si="0"/>
        <v>0</v>
      </c>
      <c r="H35" s="91" cm="1">
        <f t="array" ref="H35">IFERROR(
 INDEX('NORMA BIAYA'!$D$8:$N$81,
  MATCH(1,('NORMA BIAYA'!$B$8:$B$81=$E$10)*('NORMA BIAYA'!$C$8:$C$81=D35),0),
  MATCH($E$16,'NORMA BIAYA'!$D$6:$N$6,0)
 ),
""
)</f>
        <v>180000</v>
      </c>
      <c r="I35" s="92"/>
      <c r="J35" s="93" t="str">
        <f t="shared" si="1"/>
        <v/>
      </c>
      <c r="K35" s="94"/>
      <c r="L35" s="56"/>
    </row>
    <row r="36" spans="1:12" ht="18">
      <c r="C36" s="87">
        <v>15</v>
      </c>
      <c r="D36" s="88"/>
      <c r="E36" s="89" t="str">
        <f>IFERROR(
 INDEX('NORMA BIAYA'!$O$8:$O$81,
  MATCH(D36, 'NORMA BIAYA'!$C$8:$C$81, 0)
 ),
""
)</f>
        <v/>
      </c>
      <c r="F36" s="90"/>
      <c r="G36" s="87" t="str">
        <f t="shared" si="0"/>
        <v/>
      </c>
      <c r="H36" s="91" t="str" cm="1">
        <f t="array" ref="H36">IFERROR(
 INDEX(#REF!,
  MATCH(1,(#REF!=$E$10)*(#REF!=D36),0),
  MATCH($E$16,#REF!,0)
 ),
""
)</f>
        <v/>
      </c>
      <c r="I36" s="92"/>
      <c r="J36" s="93" t="str">
        <f>IF(OR(F36="",G36="",I36=""),"",F36*G36*I36)</f>
        <v/>
      </c>
      <c r="K36" s="94"/>
      <c r="L36" s="56"/>
    </row>
    <row r="37" spans="1:12" ht="23.5">
      <c r="C37" s="56"/>
      <c r="D37" s="56"/>
      <c r="E37" s="56"/>
      <c r="F37" s="55"/>
      <c r="G37" s="55"/>
      <c r="H37" s="55"/>
      <c r="I37" s="106" t="s">
        <v>61</v>
      </c>
      <c r="J37" s="107">
        <f>SUM(J24:J36)</f>
        <v>0</v>
      </c>
      <c r="K37" s="55"/>
      <c r="L37" s="56"/>
    </row>
    <row r="38" spans="1:12" ht="23.5">
      <c r="C38" s="56"/>
      <c r="D38" s="56"/>
      <c r="E38" s="56"/>
      <c r="F38" s="55"/>
      <c r="G38" s="55"/>
      <c r="H38" s="108"/>
      <c r="I38" s="108"/>
      <c r="J38" s="109"/>
      <c r="K38" s="55"/>
      <c r="L38" s="56"/>
    </row>
    <row r="39" spans="1:12" ht="29.5">
      <c r="C39" s="126" t="s">
        <v>62</v>
      </c>
      <c r="D39" s="127"/>
      <c r="E39" s="128"/>
      <c r="F39" s="128"/>
      <c r="G39" s="129"/>
      <c r="H39" s="128"/>
      <c r="I39" s="128"/>
      <c r="J39" s="128"/>
      <c r="K39" s="128"/>
      <c r="L39" s="56"/>
    </row>
    <row r="40" spans="1:12" ht="23.5">
      <c r="C40" s="80" t="s">
        <v>34</v>
      </c>
      <c r="D40" s="81"/>
      <c r="E40" s="82"/>
      <c r="F40" s="82"/>
      <c r="G40" s="83"/>
      <c r="H40" s="82"/>
      <c r="I40" s="82"/>
      <c r="J40" s="82"/>
      <c r="K40" s="82"/>
      <c r="L40" s="56"/>
    </row>
    <row r="41" spans="1:12" ht="18">
      <c r="C41" s="84" t="s">
        <v>1</v>
      </c>
      <c r="D41" s="85" t="s">
        <v>36</v>
      </c>
      <c r="E41" s="84" t="s">
        <v>37</v>
      </c>
      <c r="F41" s="84" t="s">
        <v>38</v>
      </c>
      <c r="G41" s="84" t="s">
        <v>39</v>
      </c>
      <c r="H41" s="86" t="s">
        <v>40</v>
      </c>
      <c r="I41" s="84" t="s">
        <v>41</v>
      </c>
      <c r="J41" s="84" t="s">
        <v>42</v>
      </c>
      <c r="K41" s="55"/>
      <c r="L41" s="56"/>
    </row>
    <row r="42" spans="1:12" ht="18">
      <c r="C42" s="87">
        <v>1</v>
      </c>
      <c r="D42" s="88" t="s">
        <v>63</v>
      </c>
      <c r="E42" s="110"/>
      <c r="F42" s="90"/>
      <c r="G42" s="87"/>
      <c r="H42" s="110"/>
      <c r="I42" s="93" t="str">
        <f t="shared" ref="I42:I54" si="2">IF(OR(F42="",G42="",H42=""),"",F42*G42*H42)</f>
        <v/>
      </c>
      <c r="J42" s="94"/>
      <c r="K42" s="55"/>
      <c r="L42" s="56"/>
    </row>
    <row r="43" spans="1:12" ht="18">
      <c r="C43" s="87">
        <v>2</v>
      </c>
      <c r="D43" s="88"/>
      <c r="E43" s="110"/>
      <c r="F43" s="90"/>
      <c r="G43" s="111"/>
      <c r="H43" s="110"/>
      <c r="I43" s="93" t="str">
        <f t="shared" si="2"/>
        <v/>
      </c>
      <c r="J43" s="94"/>
      <c r="K43" s="55"/>
      <c r="L43" s="56"/>
    </row>
    <row r="44" spans="1:12" ht="18">
      <c r="C44" s="87">
        <v>3</v>
      </c>
      <c r="D44" s="88"/>
      <c r="E44" s="110"/>
      <c r="F44" s="90"/>
      <c r="G44" s="111"/>
      <c r="H44" s="110"/>
      <c r="I44" s="93" t="str">
        <f t="shared" si="2"/>
        <v/>
      </c>
      <c r="J44" s="94"/>
      <c r="K44" s="55"/>
      <c r="L44" s="56"/>
    </row>
    <row r="45" spans="1:12" ht="18">
      <c r="C45" s="87">
        <v>4</v>
      </c>
      <c r="D45" s="88"/>
      <c r="E45" s="110"/>
      <c r="F45" s="90"/>
      <c r="G45" s="111"/>
      <c r="H45" s="110"/>
      <c r="I45" s="93" t="str">
        <f t="shared" si="2"/>
        <v/>
      </c>
      <c r="J45" s="94"/>
      <c r="K45" s="55"/>
      <c r="L45" s="56"/>
    </row>
    <row r="46" spans="1:12" ht="18">
      <c r="C46" s="87">
        <v>7</v>
      </c>
      <c r="D46" s="88"/>
      <c r="E46" s="110"/>
      <c r="F46" s="90"/>
      <c r="G46" s="111"/>
      <c r="H46" s="110"/>
      <c r="I46" s="93" t="str">
        <f t="shared" si="2"/>
        <v/>
      </c>
      <c r="J46" s="100"/>
      <c r="K46" s="55"/>
      <c r="L46" s="56"/>
    </row>
    <row r="47" spans="1:12" ht="18">
      <c r="C47" s="87">
        <v>8</v>
      </c>
      <c r="D47" s="88"/>
      <c r="E47" s="110"/>
      <c r="F47" s="90"/>
      <c r="G47" s="111"/>
      <c r="H47" s="110"/>
      <c r="I47" s="93" t="str">
        <f t="shared" si="2"/>
        <v/>
      </c>
      <c r="J47" s="94"/>
      <c r="K47" s="55"/>
      <c r="L47" s="56"/>
    </row>
    <row r="48" spans="1:12" ht="18">
      <c r="C48" s="87">
        <v>9</v>
      </c>
      <c r="D48" s="88"/>
      <c r="E48" s="110"/>
      <c r="F48" s="90"/>
      <c r="G48" s="111"/>
      <c r="H48" s="110"/>
      <c r="I48" s="93" t="str">
        <f t="shared" si="2"/>
        <v/>
      </c>
      <c r="J48" s="94"/>
      <c r="K48" s="55"/>
      <c r="L48" s="56"/>
    </row>
    <row r="49" spans="3:15" ht="18">
      <c r="C49" s="87">
        <v>10</v>
      </c>
      <c r="D49" s="88"/>
      <c r="E49" s="110"/>
      <c r="F49" s="90"/>
      <c r="G49" s="111"/>
      <c r="H49" s="110"/>
      <c r="I49" s="93" t="str">
        <f t="shared" si="2"/>
        <v/>
      </c>
      <c r="J49" s="94"/>
      <c r="K49" s="55"/>
      <c r="L49" s="56"/>
    </row>
    <row r="50" spans="3:15" ht="18">
      <c r="C50" s="102">
        <v>11</v>
      </c>
      <c r="D50" s="88"/>
      <c r="E50" s="110"/>
      <c r="F50" s="103"/>
      <c r="G50" s="112"/>
      <c r="H50" s="110"/>
      <c r="I50" s="93" t="str">
        <f t="shared" si="2"/>
        <v/>
      </c>
      <c r="J50" s="104"/>
      <c r="K50" s="55"/>
      <c r="L50" s="56"/>
    </row>
    <row r="51" spans="3:15" ht="18">
      <c r="C51" s="87">
        <v>12</v>
      </c>
      <c r="D51" s="88"/>
      <c r="E51" s="110"/>
      <c r="F51" s="90"/>
      <c r="G51" s="87"/>
      <c r="H51" s="110"/>
      <c r="I51" s="93" t="str">
        <f t="shared" si="2"/>
        <v/>
      </c>
      <c r="J51" s="94"/>
      <c r="K51" s="55"/>
      <c r="L51" s="56"/>
    </row>
    <row r="52" spans="3:15" ht="18">
      <c r="C52" s="87">
        <v>13</v>
      </c>
      <c r="D52" s="88"/>
      <c r="E52" s="110"/>
      <c r="F52" s="90"/>
      <c r="G52" s="87"/>
      <c r="H52" s="110"/>
      <c r="I52" s="93" t="str">
        <f t="shared" si="2"/>
        <v/>
      </c>
      <c r="J52" s="94"/>
      <c r="K52" s="55"/>
      <c r="L52" s="56"/>
    </row>
    <row r="53" spans="3:15" ht="18">
      <c r="C53" s="87">
        <v>14</v>
      </c>
      <c r="D53" s="88"/>
      <c r="E53" s="110"/>
      <c r="F53" s="90"/>
      <c r="G53" s="87"/>
      <c r="H53" s="110"/>
      <c r="I53" s="93" t="str">
        <f t="shared" si="2"/>
        <v/>
      </c>
      <c r="J53" s="94"/>
      <c r="K53" s="55"/>
      <c r="L53" s="56"/>
    </row>
    <row r="54" spans="3:15" ht="18">
      <c r="C54" s="87">
        <v>15</v>
      </c>
      <c r="D54" s="88"/>
      <c r="E54" s="110"/>
      <c r="F54" s="90"/>
      <c r="G54" s="87"/>
      <c r="H54" s="110"/>
      <c r="I54" s="93" t="str">
        <f t="shared" si="2"/>
        <v/>
      </c>
      <c r="J54" s="94"/>
      <c r="K54" s="55"/>
      <c r="L54" s="56"/>
    </row>
    <row r="55" spans="3:15" ht="23.5">
      <c r="C55" s="56"/>
      <c r="D55" s="56"/>
      <c r="E55" s="56"/>
      <c r="F55" s="55"/>
      <c r="G55" s="55"/>
      <c r="H55" s="106" t="s">
        <v>64</v>
      </c>
      <c r="I55" s="107">
        <f>SUM(I42:I54)</f>
        <v>0</v>
      </c>
      <c r="J55" s="55"/>
      <c r="K55" s="55"/>
      <c r="L55" s="56"/>
    </row>
    <row r="56" spans="3:15" ht="23.5">
      <c r="C56" s="56"/>
      <c r="D56" s="56"/>
      <c r="E56" s="56"/>
      <c r="F56" s="55"/>
      <c r="G56" s="55"/>
      <c r="H56" s="108"/>
      <c r="I56" s="109"/>
      <c r="J56" s="55"/>
      <c r="K56" s="55"/>
      <c r="L56" s="56"/>
    </row>
    <row r="57" spans="3:15" ht="23.5">
      <c r="C57" s="138" t="s">
        <v>65</v>
      </c>
      <c r="D57" s="139"/>
      <c r="E57" s="123" t="str">
        <f>$E$11</f>
        <v>Data Tidak Ditemukan</v>
      </c>
      <c r="F57" s="123"/>
      <c r="G57" s="123"/>
      <c r="H57" s="130"/>
      <c r="I57" s="131">
        <f>$J$37+$I$55</f>
        <v>0</v>
      </c>
      <c r="J57" s="55"/>
      <c r="K57" s="55"/>
      <c r="L57" s="56"/>
    </row>
    <row r="58" spans="3:15" ht="23.5">
      <c r="C58" s="56"/>
      <c r="D58" s="56"/>
      <c r="E58" s="56"/>
      <c r="F58" s="55"/>
      <c r="G58" s="55"/>
      <c r="H58" s="108"/>
      <c r="I58" s="108"/>
      <c r="J58" s="109"/>
      <c r="K58" s="55"/>
      <c r="L58" s="56"/>
    </row>
    <row r="59" spans="3:15" ht="29.5">
      <c r="C59" s="137" t="s">
        <v>66</v>
      </c>
      <c r="D59" s="137"/>
      <c r="E59" s="137"/>
      <c r="F59" s="137"/>
      <c r="G59" s="137"/>
      <c r="H59" s="137"/>
      <c r="I59" s="137"/>
      <c r="J59" s="137"/>
      <c r="K59" s="137"/>
      <c r="L59" s="56"/>
    </row>
    <row r="60" spans="3:15" ht="23.5">
      <c r="C60" s="80" t="s">
        <v>67</v>
      </c>
      <c r="D60" s="81" t="s">
        <v>68</v>
      </c>
      <c r="E60" s="82"/>
      <c r="F60" s="82"/>
      <c r="G60" s="83"/>
      <c r="H60" s="82"/>
      <c r="I60" s="82"/>
      <c r="J60" s="82"/>
      <c r="K60" s="82"/>
      <c r="L60" s="56"/>
    </row>
    <row r="61" spans="3:15" ht="18">
      <c r="C61" s="84" t="s">
        <v>1</v>
      </c>
      <c r="D61" s="85" t="s">
        <v>36</v>
      </c>
      <c r="E61" s="84" t="s">
        <v>37</v>
      </c>
      <c r="F61" s="84" t="s">
        <v>38</v>
      </c>
      <c r="G61" s="84" t="s">
        <v>39</v>
      </c>
      <c r="H61" s="86" t="s">
        <v>11</v>
      </c>
      <c r="I61" s="86" t="s">
        <v>40</v>
      </c>
      <c r="J61" s="84" t="s">
        <v>41</v>
      </c>
      <c r="K61" s="84" t="s">
        <v>42</v>
      </c>
      <c r="L61" s="56"/>
    </row>
    <row r="62" spans="3:15" ht="18">
      <c r="C62" s="113">
        <v>1</v>
      </c>
      <c r="D62" s="114" t="s">
        <v>49</v>
      </c>
      <c r="E62" s="115" t="str">
        <f>IFERROR(
 INDEX('NORMA BIAYA'!$O$8:$O$81,
  MATCH(D62, 'NORMA BIAYA'!$C$8:$C$81, 0)
 ),
""
)</f>
        <v>Hari</v>
      </c>
      <c r="F62" s="116"/>
      <c r="G62" s="116">
        <f>IF(D62="","",IF(E62
="Event",1,0))</f>
        <v>0</v>
      </c>
      <c r="H62" s="117" cm="1">
        <f t="array" ref="H62">IFERROR(
 INDEX('NORMA BIAYA'!$D$8:$N$81,
  MATCH(1,('NORMA BIAYA'!$B$8:$B$81=$E$10)*('NORMA BIAYA'!$C$8:$C$81=D62),0),
  MATCH($E$16,'NORMA BIAYA'!$D$6:$N$6,0)
 ),
""
)</f>
        <v>840000</v>
      </c>
      <c r="I62" s="118"/>
      <c r="J62" s="93" t="str">
        <f>IF(OR(F62="",G62="",I62=""),"",F62*G62*I62)</f>
        <v/>
      </c>
      <c r="K62" s="114"/>
      <c r="L62" s="56"/>
    </row>
    <row r="63" spans="3:15" ht="23.5">
      <c r="C63" s="119">
        <v>2</v>
      </c>
      <c r="D63" s="114" t="s">
        <v>60</v>
      </c>
      <c r="E63" s="115" t="str">
        <f>IFERROR(
 INDEX('NORMA BIAYA'!$O$8:$O$81,
  MATCH(D63, 'NORMA BIAYA'!$C$8:$C$81, 0)
 ),
""
)</f>
        <v>Hari</v>
      </c>
      <c r="F63" s="116"/>
      <c r="G63" s="116">
        <f t="shared" ref="G63:G65" si="3">IF(D63="","",IF(E63
="Event",1,0))</f>
        <v>0</v>
      </c>
      <c r="H63" s="117" cm="1">
        <f t="array" ref="H63">IFERROR(
 INDEX('NORMA BIAYA'!$D$8:$N$81,
  MATCH(1,('NORMA BIAYA'!$B$8:$B$81=$E$10)*('NORMA BIAYA'!$C$8:$C$81=D63),0),
  MATCH($E$16,'NORMA BIAYA'!$D$6:$N$6,0)
 ),
""
)</f>
        <v>180000</v>
      </c>
      <c r="I63" s="118"/>
      <c r="J63" s="93" t="str">
        <f t="shared" ref="J63:J65" si="4">IF(OR(F63="",G63="",I63=""),"",F63*G63*I63)</f>
        <v/>
      </c>
      <c r="K63" s="120"/>
      <c r="L63" s="97"/>
      <c r="M63" s="98"/>
      <c r="N63" s="98"/>
      <c r="O63" s="98"/>
    </row>
    <row r="64" spans="3:15" ht="18">
      <c r="C64" s="119">
        <v>3</v>
      </c>
      <c r="D64" s="114" t="s">
        <v>48</v>
      </c>
      <c r="E64" s="115" t="str">
        <f>IFERROR(
 INDEX('NORMA BIAYA'!$O$8:$O$81,
  MATCH(D64, 'NORMA BIAYA'!$C$8:$C$81, 0)
 ),
""
)</f>
        <v>Hari</v>
      </c>
      <c r="F64" s="116"/>
      <c r="G64" s="116">
        <f t="shared" si="3"/>
        <v>0</v>
      </c>
      <c r="H64" s="117" cm="1">
        <f t="array" ref="H64">IFERROR(
 INDEX('NORMA BIAYA'!$D$8:$N$81,
  MATCH(1,('NORMA BIAYA'!$B$8:$B$81=$E$10)*('NORMA BIAYA'!$C$8:$C$81=D64),0),
  MATCH($E$16,'NORMA BIAYA'!$D$6:$N$6,0)
 ),
""
)</f>
        <v>960000</v>
      </c>
      <c r="I64" s="118"/>
      <c r="J64" s="93" t="str">
        <f t="shared" si="4"/>
        <v/>
      </c>
      <c r="K64" s="120"/>
      <c r="L64" s="56"/>
    </row>
    <row r="65" spans="3:12" ht="18">
      <c r="C65" s="119">
        <v>4</v>
      </c>
      <c r="D65" s="114" t="s">
        <v>59</v>
      </c>
      <c r="E65" s="115" t="str">
        <f>IFERROR(
 INDEX('NORMA BIAYA'!$O$8:$O$81,
  MATCH(D65, 'NORMA BIAYA'!$C$8:$C$81, 0)
 ),
""
)</f>
        <v>Hari</v>
      </c>
      <c r="F65" s="116"/>
      <c r="G65" s="116">
        <f t="shared" si="3"/>
        <v>0</v>
      </c>
      <c r="H65" s="117" cm="1">
        <f t="array" ref="H65">IFERROR(
 INDEX('NORMA BIAYA'!$D$8:$N$81,
  MATCH(1,('NORMA BIAYA'!$B$8:$B$81=$E$10)*('NORMA BIAYA'!$C$8:$C$81=D65),0),
  MATCH($E$16,'NORMA BIAYA'!$D$6:$N$6,0)
 ),
""
)</f>
        <v>180000</v>
      </c>
      <c r="I65" s="118"/>
      <c r="J65" s="93" t="str">
        <f t="shared" si="4"/>
        <v/>
      </c>
      <c r="K65" s="120"/>
      <c r="L65" s="56"/>
    </row>
    <row r="66" spans="3:12" ht="23.5">
      <c r="C66" s="56"/>
      <c r="D66" s="56"/>
      <c r="E66" s="56"/>
      <c r="F66" s="55"/>
      <c r="G66" s="55"/>
      <c r="H66" s="55"/>
      <c r="I66" s="134" t="s">
        <v>41</v>
      </c>
      <c r="J66" s="135">
        <f>SUM(J62:J65)</f>
        <v>0</v>
      </c>
      <c r="K66" s="55"/>
      <c r="L66" s="56"/>
    </row>
    <row r="67" spans="3:12" ht="18">
      <c r="C67" s="56"/>
      <c r="D67" s="56"/>
      <c r="E67" s="56"/>
      <c r="F67" s="55"/>
      <c r="G67" s="55"/>
      <c r="H67" s="121"/>
      <c r="I67" s="121"/>
      <c r="J67" s="122"/>
      <c r="K67" s="55"/>
      <c r="L67" s="56"/>
    </row>
    <row r="68" spans="3:12" ht="23.5">
      <c r="C68" s="140" t="s">
        <v>69</v>
      </c>
      <c r="D68" s="141"/>
      <c r="E68" s="123" t="str">
        <f>$E$11</f>
        <v>Data Tidak Ditemukan</v>
      </c>
      <c r="F68" s="123"/>
      <c r="G68" s="123"/>
      <c r="H68" s="123"/>
      <c r="I68" s="136">
        <f>J66</f>
        <v>0</v>
      </c>
      <c r="J68" s="55"/>
      <c r="K68" s="55"/>
      <c r="L68" s="56"/>
    </row>
    <row r="69" spans="3:12" customFormat="1" ht="23.5">
      <c r="C69" s="132"/>
      <c r="D69" s="132"/>
      <c r="E69" s="55"/>
      <c r="F69" s="55"/>
      <c r="G69" s="69"/>
      <c r="H69" s="108"/>
      <c r="I69" s="109"/>
      <c r="J69" s="3"/>
      <c r="K69" s="55"/>
      <c r="L69" s="56"/>
    </row>
    <row r="70" spans="3:12" ht="23.5">
      <c r="C70" s="142" t="s">
        <v>70</v>
      </c>
      <c r="D70" s="143"/>
      <c r="E70" s="123" t="str">
        <f>$E$11</f>
        <v>Data Tidak Ditemukan</v>
      </c>
      <c r="F70" s="123"/>
      <c r="G70" s="123"/>
      <c r="H70" s="130"/>
      <c r="I70" s="133">
        <f>I57+I68</f>
        <v>0</v>
      </c>
      <c r="L70" s="56"/>
    </row>
    <row r="71" spans="3:12" ht="18">
      <c r="L71" s="56"/>
    </row>
    <row r="72" spans="3:12" ht="18">
      <c r="L72" s="56"/>
    </row>
    <row r="73" spans="3:12" ht="18">
      <c r="C73" s="56"/>
      <c r="D73" s="56"/>
      <c r="E73" s="55"/>
      <c r="F73" s="55"/>
      <c r="G73" s="69"/>
      <c r="H73" s="55"/>
      <c r="I73" s="55"/>
      <c r="J73" s="55"/>
      <c r="K73" s="55"/>
      <c r="L73" s="56"/>
    </row>
    <row r="74" spans="3:12">
      <c r="D74" s="124"/>
    </row>
    <row r="75" spans="3:12">
      <c r="D75" s="125"/>
    </row>
    <row r="76" spans="3:12">
      <c r="D76" s="124"/>
    </row>
    <row r="77" spans="3:12">
      <c r="D77" s="124"/>
    </row>
  </sheetData>
  <protectedRanges>
    <protectedRange sqref="E9:G9" name="Event ID"/>
    <protectedRange sqref="E10" name="Kategori Event"/>
    <protectedRange sqref="E13" name="Tanggal Awal"/>
    <protectedRange sqref="G13" name="Tanggal Akhir"/>
    <protectedRange sqref="E14:G14" name="Akomodasi"/>
    <protectedRange sqref="E16" name="Indeks Lokasi"/>
    <protectedRange sqref="E17" name="Cost Center"/>
    <protectedRange sqref="F42:G54 F24:G36" name="QTY dan FREQ 1"/>
    <protectedRange sqref="E18" name="Akun Beban Anggaran_1"/>
    <protectedRange sqref="E15" name="Lokasi_1"/>
    <protectedRange sqref="I24:I36" name="Harga Final"/>
    <protectedRange sqref="K24:K36 J42:J54" name="Keterangan"/>
    <protectedRange sqref="D42:D54 D24:D36" name="Paket Biaya"/>
    <protectedRange sqref="D62:D65" name="Paket Biaya 2"/>
    <protectedRange sqref="F62:F65" name="QTY 2"/>
    <protectedRange sqref="G62:G65" name="Freq 2"/>
    <protectedRange sqref="I62:I65" name="Harga Final 2"/>
    <protectedRange sqref="K62:K65" name="Keterangan 2"/>
    <protectedRange sqref="D22 D40" name="Vendor I"/>
    <protectedRange sqref="D60" name="Vendor 2"/>
    <protectedRange sqref="D42:H54" name="PAKET BIAYA TAMBAHAN"/>
  </protectedRanges>
  <mergeCells count="12">
    <mergeCell ref="F16:G16"/>
    <mergeCell ref="A2:A8"/>
    <mergeCell ref="C3:K7"/>
    <mergeCell ref="M4:AI8"/>
    <mergeCell ref="E9:G9"/>
    <mergeCell ref="E15:G15"/>
    <mergeCell ref="C59:K59"/>
    <mergeCell ref="C57:D57"/>
    <mergeCell ref="C68:D68"/>
    <mergeCell ref="C70:D70"/>
    <mergeCell ref="F17:G17"/>
    <mergeCell ref="F18:G18"/>
  </mergeCells>
  <conditionalFormatting sqref="I24">
    <cfRule type="cellIs" dxfId="37" priority="38" operator="greaterThan">
      <formula>$H$24</formula>
    </cfRule>
  </conditionalFormatting>
  <conditionalFormatting sqref="I24">
    <cfRule type="cellIs" dxfId="36" priority="37" operator="lessThanOrEqual">
      <formula>$H$24</formula>
    </cfRule>
  </conditionalFormatting>
  <conditionalFormatting sqref="I25">
    <cfRule type="cellIs" dxfId="35" priority="36" operator="greaterThan">
      <formula>$H$25</formula>
    </cfRule>
  </conditionalFormatting>
  <conditionalFormatting sqref="I25">
    <cfRule type="cellIs" dxfId="34" priority="35" operator="lessThanOrEqual">
      <formula>$H$25</formula>
    </cfRule>
  </conditionalFormatting>
  <conditionalFormatting sqref="I26">
    <cfRule type="cellIs" dxfId="33" priority="34" operator="greaterThan">
      <formula>$H$26</formula>
    </cfRule>
  </conditionalFormatting>
  <conditionalFormatting sqref="I26">
    <cfRule type="cellIs" dxfId="32" priority="33" operator="lessThanOrEqual">
      <formula>$H$26</formula>
    </cfRule>
  </conditionalFormatting>
  <conditionalFormatting sqref="I62">
    <cfRule type="cellIs" dxfId="31" priority="32" operator="greaterThan">
      <formula>$H$62</formula>
    </cfRule>
  </conditionalFormatting>
  <conditionalFormatting sqref="I62">
    <cfRule type="cellIs" dxfId="30" priority="31" operator="lessThanOrEqual">
      <formula>$H$62</formula>
    </cfRule>
  </conditionalFormatting>
  <conditionalFormatting sqref="I63">
    <cfRule type="cellIs" dxfId="29" priority="30" operator="greaterThan">
      <formula>$H$63</formula>
    </cfRule>
  </conditionalFormatting>
  <conditionalFormatting sqref="I64">
    <cfRule type="cellIs" dxfId="28" priority="29" operator="greaterThan">
      <formula>$H$64</formula>
    </cfRule>
  </conditionalFormatting>
  <conditionalFormatting sqref="I64">
    <cfRule type="cellIs" dxfId="27" priority="28" operator="lessThanOrEqual">
      <formula>$H$64</formula>
    </cfRule>
  </conditionalFormatting>
  <conditionalFormatting sqref="I63">
    <cfRule type="cellIs" dxfId="26" priority="27" operator="lessThanOrEqual">
      <formula>$H$63</formula>
    </cfRule>
  </conditionalFormatting>
  <conditionalFormatting sqref="I65">
    <cfRule type="cellIs" dxfId="25" priority="26" operator="greaterThan">
      <formula>$H$65</formula>
    </cfRule>
  </conditionalFormatting>
  <conditionalFormatting sqref="I65">
    <cfRule type="cellIs" dxfId="24" priority="25" operator="lessThanOrEqual">
      <formula>$H$65</formula>
    </cfRule>
  </conditionalFormatting>
  <conditionalFormatting sqref="G24:G36">
    <cfRule type="cellIs" dxfId="23" priority="24" operator="equal">
      <formula>0</formula>
    </cfRule>
  </conditionalFormatting>
  <conditionalFormatting sqref="G24:G36">
    <cfRule type="cellIs" dxfId="22" priority="23" operator="equal">
      <formula>1</formula>
    </cfRule>
  </conditionalFormatting>
  <conditionalFormatting sqref="I27">
    <cfRule type="cellIs" dxfId="21" priority="22" operator="greaterThan">
      <formula>$H$27</formula>
    </cfRule>
  </conditionalFormatting>
  <conditionalFormatting sqref="I27">
    <cfRule type="cellIs" dxfId="20" priority="21" operator="lessThanOrEqual">
      <formula>$H$27</formula>
    </cfRule>
  </conditionalFormatting>
  <conditionalFormatting sqref="I28">
    <cfRule type="cellIs" dxfId="19" priority="20" operator="greaterThan">
      <formula>$H$28</formula>
    </cfRule>
  </conditionalFormatting>
  <conditionalFormatting sqref="I28">
    <cfRule type="cellIs" dxfId="18" priority="19" operator="lessThanOrEqual">
      <formula>$H$28</formula>
    </cfRule>
  </conditionalFormatting>
  <conditionalFormatting sqref="I29">
    <cfRule type="cellIs" dxfId="17" priority="18" operator="greaterThan">
      <formula>$H$29</formula>
    </cfRule>
  </conditionalFormatting>
  <conditionalFormatting sqref="I29">
    <cfRule type="cellIs" dxfId="16" priority="17" operator="lessThanOrEqual">
      <formula>$H$29</formula>
    </cfRule>
  </conditionalFormatting>
  <conditionalFormatting sqref="I30">
    <cfRule type="cellIs" dxfId="15" priority="16" operator="greaterThan">
      <formula>$H$30</formula>
    </cfRule>
  </conditionalFormatting>
  <conditionalFormatting sqref="I30">
    <cfRule type="cellIs" dxfId="14" priority="15" operator="lessThanOrEqual">
      <formula>$H$30</formula>
    </cfRule>
  </conditionalFormatting>
  <conditionalFormatting sqref="I31">
    <cfRule type="cellIs" dxfId="13" priority="14" operator="greaterThan">
      <formula>$H$31</formula>
    </cfRule>
  </conditionalFormatting>
  <conditionalFormatting sqref="I31">
    <cfRule type="cellIs" dxfId="12" priority="13" operator="lessThanOrEqual">
      <formula>$H$31</formula>
    </cfRule>
  </conditionalFormatting>
  <conditionalFormatting sqref="I32">
    <cfRule type="cellIs" dxfId="11" priority="12" operator="greaterThan">
      <formula>$H$32</formula>
    </cfRule>
  </conditionalFormatting>
  <conditionalFormatting sqref="I32">
    <cfRule type="cellIs" dxfId="10" priority="11" operator="lessThanOrEqual">
      <formula>$H$32</formula>
    </cfRule>
  </conditionalFormatting>
  <conditionalFormatting sqref="I33">
    <cfRule type="cellIs" dxfId="9" priority="10" operator="greaterThan">
      <formula>$H$33</formula>
    </cfRule>
  </conditionalFormatting>
  <conditionalFormatting sqref="I33">
    <cfRule type="cellIs" dxfId="8" priority="9" operator="lessThanOrEqual">
      <formula>$H$33</formula>
    </cfRule>
  </conditionalFormatting>
  <conditionalFormatting sqref="I34">
    <cfRule type="cellIs" dxfId="7" priority="8" operator="greaterThan">
      <formula>$H$34</formula>
    </cfRule>
  </conditionalFormatting>
  <conditionalFormatting sqref="I34">
    <cfRule type="cellIs" dxfId="6" priority="7" operator="lessThanOrEqual">
      <formula>$H$34</formula>
    </cfRule>
  </conditionalFormatting>
  <conditionalFormatting sqref="I35">
    <cfRule type="cellIs" dxfId="5" priority="6" operator="greaterThan">
      <formula>$H$35</formula>
    </cfRule>
  </conditionalFormatting>
  <conditionalFormatting sqref="I35">
    <cfRule type="cellIs" dxfId="4" priority="5" operator="lessThanOrEqual">
      <formula>$H$35</formula>
    </cfRule>
  </conditionalFormatting>
  <conditionalFormatting sqref="I36">
    <cfRule type="cellIs" dxfId="3" priority="4" operator="greaterThan">
      <formula>$H$36</formula>
    </cfRule>
  </conditionalFormatting>
  <conditionalFormatting sqref="I36">
    <cfRule type="cellIs" dxfId="2" priority="3" operator="lessThanOrEqual">
      <formula>$H$36</formula>
    </cfRule>
  </conditionalFormatting>
  <conditionalFormatting sqref="G62:G65">
    <cfRule type="cellIs" dxfId="1" priority="2" operator="equal">
      <formula>0</formula>
    </cfRule>
  </conditionalFormatting>
  <conditionalFormatting sqref="G62:G65">
    <cfRule type="cellIs" dxfId="0" priority="1" operator="equal">
      <formula>1</formula>
    </cfRule>
  </conditionalFormatting>
  <dataValidations count="10">
    <dataValidation allowBlank="1" showInputMessage="1" showErrorMessage="1" prompt="Silahkan isi Event ID terlebih dahulu!" sqref="E11:G11 E12" xr:uid="{2427F322-3FE6-4263-AEA5-D551379A5C82}"/>
    <dataValidation type="list" allowBlank="1" showInputMessage="1" showErrorMessage="1" prompt="Silahkan pilih tipe akomodasi yang sesuai!_x000a_" sqref="E14:G14" xr:uid="{D7D22D2F-D266-4662-9C3E-AFBECFFCA070}">
      <formula1>"Ditanggung penyelenggara, Tidak ditanggung penyelenggara"</formula1>
    </dataValidation>
    <dataValidation type="date" allowBlank="1" showInputMessage="1" showErrorMessage="1" sqref="E13" xr:uid="{7F6121B6-324A-49BF-98DB-1834C4257F34}">
      <formula1>45658</formula1>
      <formula2>69399</formula2>
    </dataValidation>
    <dataValidation type="list" allowBlank="1" showInputMessage="1" showErrorMessage="1" sqref="E62:E65" xr:uid="{ABDF47D6-8242-4824-B38B-134FBFF66665}">
      <formula1>"Hari, Pax, Pcs, Jam, Event"</formula1>
    </dataValidation>
    <dataValidation type="date" allowBlank="1" showInputMessage="1" showErrorMessage="1" prompt="_x000a_" sqref="G13" xr:uid="{AB754CB7-6FFF-495D-8544-BCDB367F8A3B}">
      <formula1>45658</formula1>
      <formula2>69399</formula2>
    </dataValidation>
    <dataValidation type="list" allowBlank="1" showInputMessage="1" showErrorMessage="1" prompt="Silahkan pilih kategori Event yang sesuai!_x000a_" sqref="E10" xr:uid="{F36741DE-86D0-42D2-A097-744D60DED5A3}">
      <formula1>"R1, R2, L1, L2"</formula1>
    </dataValidation>
    <dataValidation allowBlank="1" showInputMessage="1" showErrorMessage="1" sqref="F16:F18 D42:D54 E15:G15" xr:uid="{B0C6EB04-F511-4437-AF8C-47367BFB6AB2}"/>
    <dataValidation type="list" allowBlank="1" showInputMessage="1" showErrorMessage="1" prompt="Silahkan pilih Cost Center yang sesuai!" sqref="E17" xr:uid="{4859F451-1819-4667-9CDC-0ED40048A804}">
      <formula1>"T752E25,T752F25,T752G25,T752H25,T752K25"</formula1>
    </dataValidation>
    <dataValidation type="list" allowBlank="1" showInputMessage="1" showErrorMessage="1" prompt="Silahkan pilih akun yang sesuai!" sqref="E18" xr:uid="{DC869BE0-543B-4E2C-8049-8A78A7EF3B74}">
      <formula1>"51505001,51505007,51505015,52100904"</formula1>
    </dataValidation>
    <dataValidation type="list" allowBlank="1" showInputMessage="1" showErrorMessage="1" sqref="D24:D36 D62:D65" xr:uid="{228F8BC9-E7A9-428E-899D-AAF4785483E4}">
      <formula1>$C$89:$C$100</formula1>
    </dataValidation>
  </dataValidations>
  <pageMargins left="0.7" right="0.7" top="0.75" bottom="0.75" header="0.3" footer="0.3"/>
  <pageSetup paperSize="9" fitToWidth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Silahkan pilih lokasi yang sesuai!" xr:uid="{9788706D-FEB5-442C-A115-ED6B5A5B4794}">
          <x14:formula1>
            <xm:f>'NORMA BIAYA'!$D$6:$N$6</xm:f>
          </x14:formula1>
          <xm:sqref>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4B98-6394-4CBA-91BC-704965722D7E}">
  <sheetPr>
    <tabColor theme="8" tint="0.39997558519241921"/>
  </sheetPr>
  <dimension ref="C2:H13"/>
  <sheetViews>
    <sheetView workbookViewId="0">
      <selection activeCell="J16" sqref="J16"/>
    </sheetView>
  </sheetViews>
  <sheetFormatPr defaultRowHeight="14.5"/>
  <cols>
    <col min="4" max="4" width="23.81640625" customWidth="1"/>
    <col min="5" max="5" width="17.7265625" style="3" customWidth="1"/>
    <col min="6" max="6" width="9.1796875" bestFit="1" customWidth="1"/>
    <col min="7" max="7" width="25.453125" customWidth="1"/>
    <col min="8" max="8" width="20.26953125" customWidth="1"/>
  </cols>
  <sheetData>
    <row r="2" spans="3:8" ht="15.5">
      <c r="C2" s="4" t="s">
        <v>71</v>
      </c>
      <c r="D2" s="4" t="s">
        <v>72</v>
      </c>
      <c r="E2" s="4" t="s">
        <v>73</v>
      </c>
      <c r="G2" s="4" t="s">
        <v>72</v>
      </c>
      <c r="H2" s="4" t="s">
        <v>73</v>
      </c>
    </row>
    <row r="3" spans="3:8">
      <c r="C3" s="166" t="s">
        <v>74</v>
      </c>
      <c r="D3" s="2" t="s">
        <v>75</v>
      </c>
      <c r="E3" s="5">
        <v>1.31</v>
      </c>
      <c r="G3" s="2" t="s">
        <v>76</v>
      </c>
      <c r="H3" s="5">
        <v>1.31</v>
      </c>
    </row>
    <row r="4" spans="3:8">
      <c r="C4" s="166"/>
      <c r="D4" s="2" t="s">
        <v>77</v>
      </c>
      <c r="E4" s="5">
        <v>1.51</v>
      </c>
      <c r="G4" s="2" t="s">
        <v>78</v>
      </c>
      <c r="H4" s="5">
        <v>1.51</v>
      </c>
    </row>
    <row r="5" spans="3:8">
      <c r="C5" s="6" t="s">
        <v>79</v>
      </c>
      <c r="D5" s="2" t="s">
        <v>80</v>
      </c>
      <c r="E5" s="5">
        <v>1.28</v>
      </c>
      <c r="G5" s="2" t="s">
        <v>81</v>
      </c>
      <c r="H5" s="5">
        <v>1.28</v>
      </c>
    </row>
    <row r="6" spans="3:8">
      <c r="C6" s="166" t="s">
        <v>82</v>
      </c>
      <c r="D6" s="2" t="s">
        <v>83</v>
      </c>
      <c r="E6" s="5">
        <v>1</v>
      </c>
      <c r="G6" s="2" t="s">
        <v>27</v>
      </c>
      <c r="H6" s="5">
        <v>1</v>
      </c>
    </row>
    <row r="7" spans="3:8">
      <c r="C7" s="166"/>
      <c r="D7" s="2" t="s">
        <v>84</v>
      </c>
      <c r="E7" s="5">
        <v>1.45</v>
      </c>
      <c r="G7" s="2" t="s">
        <v>85</v>
      </c>
      <c r="H7" s="5">
        <v>1.45</v>
      </c>
    </row>
    <row r="8" spans="3:8">
      <c r="C8" s="166"/>
      <c r="D8" s="2" t="s">
        <v>86</v>
      </c>
      <c r="E8" s="5">
        <v>1.45</v>
      </c>
      <c r="G8" s="2" t="s">
        <v>87</v>
      </c>
      <c r="H8" s="5">
        <v>1.45</v>
      </c>
    </row>
    <row r="9" spans="3:8">
      <c r="C9" s="166"/>
      <c r="D9" s="2" t="s">
        <v>88</v>
      </c>
      <c r="E9" s="5">
        <v>1.45</v>
      </c>
      <c r="G9" s="2" t="s">
        <v>89</v>
      </c>
      <c r="H9" s="5">
        <v>1.45</v>
      </c>
    </row>
    <row r="10" spans="3:8">
      <c r="C10" s="166" t="s">
        <v>90</v>
      </c>
      <c r="D10" s="2" t="s">
        <v>91</v>
      </c>
      <c r="E10" s="5">
        <v>1.25</v>
      </c>
      <c r="G10" s="2" t="s">
        <v>92</v>
      </c>
      <c r="H10" s="5">
        <v>1.25</v>
      </c>
    </row>
    <row r="11" spans="3:8">
      <c r="C11" s="166"/>
      <c r="D11" s="2" t="s">
        <v>93</v>
      </c>
      <c r="E11" s="5">
        <v>1.49</v>
      </c>
      <c r="G11" s="2" t="s">
        <v>94</v>
      </c>
      <c r="H11" s="5">
        <v>1.49</v>
      </c>
    </row>
    <row r="12" spans="3:8">
      <c r="C12" s="166"/>
      <c r="D12" s="2" t="s">
        <v>95</v>
      </c>
      <c r="E12" s="5">
        <v>1.49</v>
      </c>
      <c r="G12" s="2" t="s">
        <v>96</v>
      </c>
      <c r="H12" s="5">
        <v>1.49</v>
      </c>
    </row>
    <row r="13" spans="3:8">
      <c r="C13" s="166"/>
      <c r="D13" s="2" t="s">
        <v>97</v>
      </c>
      <c r="E13" s="5">
        <v>1.49</v>
      </c>
      <c r="G13" s="2" t="s">
        <v>98</v>
      </c>
      <c r="H13" s="5">
        <v>1.49</v>
      </c>
    </row>
  </sheetData>
  <mergeCells count="3">
    <mergeCell ref="C3:C4"/>
    <mergeCell ref="C6:C9"/>
    <mergeCell ref="C10:C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A07C-987B-46FC-828C-FCA03BABD51B}">
  <sheetPr>
    <tabColor rgb="FFFFFF00"/>
  </sheetPr>
  <dimension ref="B2:F8"/>
  <sheetViews>
    <sheetView workbookViewId="0">
      <selection sqref="A1:G10"/>
    </sheetView>
  </sheetViews>
  <sheetFormatPr defaultRowHeight="14.5"/>
  <cols>
    <col min="2" max="2" width="17" customWidth="1"/>
    <col min="3" max="3" width="15.26953125" customWidth="1"/>
    <col min="4" max="4" width="9.1796875" bestFit="1" customWidth="1"/>
    <col min="5" max="5" width="13.26953125" customWidth="1"/>
    <col min="6" max="6" width="30.26953125" customWidth="1"/>
  </cols>
  <sheetData>
    <row r="2" spans="2:6" ht="15.5">
      <c r="B2" s="167" t="s">
        <v>99</v>
      </c>
      <c r="C2" s="168"/>
      <c r="E2" s="169" t="s">
        <v>100</v>
      </c>
      <c r="F2" s="169"/>
    </row>
    <row r="3" spans="2:6" ht="15.5">
      <c r="B3" s="7" t="s">
        <v>71</v>
      </c>
      <c r="C3" s="47" t="s">
        <v>5</v>
      </c>
      <c r="E3" s="46" t="s">
        <v>71</v>
      </c>
      <c r="F3" s="46" t="s">
        <v>101</v>
      </c>
    </row>
    <row r="4" spans="2:6">
      <c r="B4" s="48" t="s">
        <v>8</v>
      </c>
      <c r="C4" s="2" t="s">
        <v>102</v>
      </c>
      <c r="E4" s="8">
        <v>51505001</v>
      </c>
      <c r="F4" s="8" t="s">
        <v>103</v>
      </c>
    </row>
    <row r="5" spans="2:6">
      <c r="B5" s="2" t="s">
        <v>104</v>
      </c>
      <c r="C5" s="2" t="s">
        <v>105</v>
      </c>
      <c r="E5" s="8">
        <v>51505007</v>
      </c>
      <c r="F5" s="8" t="s">
        <v>106</v>
      </c>
    </row>
    <row r="6" spans="2:6">
      <c r="B6" s="2" t="s">
        <v>107</v>
      </c>
      <c r="C6" s="2" t="s">
        <v>108</v>
      </c>
      <c r="E6" s="8">
        <v>51505015</v>
      </c>
      <c r="F6" s="8" t="s">
        <v>109</v>
      </c>
    </row>
    <row r="7" spans="2:6">
      <c r="B7" s="2" t="s">
        <v>110</v>
      </c>
      <c r="C7" s="2" t="s">
        <v>111</v>
      </c>
      <c r="E7" s="45">
        <v>52100904</v>
      </c>
      <c r="F7" s="8" t="s">
        <v>112</v>
      </c>
    </row>
    <row r="8" spans="2:6">
      <c r="B8" s="2" t="s">
        <v>6</v>
      </c>
      <c r="C8" s="2" t="s">
        <v>113</v>
      </c>
      <c r="E8" s="8"/>
      <c r="F8" s="49"/>
    </row>
  </sheetData>
  <mergeCells count="2">
    <mergeCell ref="B2:C2"/>
    <mergeCell ref="E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FB64-8D04-4E11-A77E-F50F7EF7455D}">
  <sheetPr>
    <tabColor theme="8" tint="0.39997558519241921"/>
    <pageSetUpPr fitToPage="1"/>
  </sheetPr>
  <dimension ref="B2:AJ99"/>
  <sheetViews>
    <sheetView tabSelected="1" topLeftCell="A89" workbookViewId="0">
      <selection activeCell="D104" sqref="D104"/>
    </sheetView>
  </sheetViews>
  <sheetFormatPr defaultRowHeight="14.5"/>
  <cols>
    <col min="2" max="2" width="10.81640625" bestFit="1" customWidth="1"/>
    <col min="3" max="3" width="68" bestFit="1" customWidth="1"/>
    <col min="4" max="6" width="16.81640625" style="9" bestFit="1" customWidth="1"/>
    <col min="7" max="7" width="18" style="9" customWidth="1"/>
    <col min="8" max="9" width="16.81640625" style="9" bestFit="1" customWidth="1"/>
    <col min="10" max="10" width="20.81640625" style="9" bestFit="1" customWidth="1"/>
    <col min="11" max="11" width="17.54296875" style="9" bestFit="1" customWidth="1"/>
    <col min="12" max="14" width="16.81640625" style="9" bestFit="1" customWidth="1"/>
    <col min="15" max="15" width="20.81640625" bestFit="1" customWidth="1"/>
    <col min="16" max="16" width="17.54296875" bestFit="1" customWidth="1"/>
    <col min="17" max="17" width="15.453125" bestFit="1" customWidth="1"/>
    <col min="18" max="18" width="13.7265625" bestFit="1" customWidth="1"/>
    <col min="19" max="19" width="12.81640625" bestFit="1" customWidth="1"/>
    <col min="20" max="21" width="9.1796875" bestFit="1" customWidth="1"/>
    <col min="22" max="22" width="21.7265625" customWidth="1"/>
    <col min="23" max="23" width="23.1796875" customWidth="1"/>
  </cols>
  <sheetData>
    <row r="2" spans="2:36" ht="15" customHeight="1">
      <c r="B2" s="170" t="s">
        <v>114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2"/>
    </row>
    <row r="3" spans="2:36" ht="15" customHeight="1">
      <c r="B3" s="173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5"/>
    </row>
    <row r="4" spans="2:36" ht="15" customHeight="1">
      <c r="B4" s="176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8"/>
    </row>
    <row r="5" spans="2:36" ht="15.5">
      <c r="B5" s="10"/>
      <c r="C5" s="10"/>
    </row>
    <row r="6" spans="2:36" ht="15.5">
      <c r="B6" s="11" t="s">
        <v>115</v>
      </c>
      <c r="C6" s="11" t="s">
        <v>116</v>
      </c>
      <c r="D6" s="12" t="s">
        <v>76</v>
      </c>
      <c r="E6" s="12" t="s">
        <v>78</v>
      </c>
      <c r="F6" s="12" t="s">
        <v>81</v>
      </c>
      <c r="G6" s="12" t="s">
        <v>27</v>
      </c>
      <c r="H6" s="12" t="s">
        <v>85</v>
      </c>
      <c r="I6" s="12" t="s">
        <v>87</v>
      </c>
      <c r="J6" s="12" t="s">
        <v>89</v>
      </c>
      <c r="K6" s="12" t="s">
        <v>92</v>
      </c>
      <c r="L6" s="12" t="s">
        <v>94</v>
      </c>
      <c r="M6" s="12" t="s">
        <v>96</v>
      </c>
      <c r="N6" s="13" t="s">
        <v>98</v>
      </c>
      <c r="O6" s="40" t="s">
        <v>37</v>
      </c>
      <c r="P6" s="14" t="s">
        <v>39</v>
      </c>
    </row>
    <row r="7" spans="2:36" ht="15.5">
      <c r="B7" s="15"/>
      <c r="C7" s="15"/>
      <c r="D7" s="16">
        <v>1.31</v>
      </c>
      <c r="E7" s="16">
        <v>1.51</v>
      </c>
      <c r="F7" s="16">
        <v>1.28</v>
      </c>
      <c r="G7" s="16">
        <v>1</v>
      </c>
      <c r="H7" s="16">
        <v>1.45</v>
      </c>
      <c r="I7" s="16">
        <v>1.45</v>
      </c>
      <c r="J7" s="16">
        <v>1.45</v>
      </c>
      <c r="K7" s="16">
        <v>1.25</v>
      </c>
      <c r="L7" s="16">
        <v>1.49</v>
      </c>
      <c r="M7" s="16">
        <v>1.49</v>
      </c>
      <c r="N7" s="17">
        <v>1.49</v>
      </c>
      <c r="O7" s="41"/>
      <c r="P7" s="38"/>
      <c r="Q7" s="18"/>
      <c r="AI7" t="s">
        <v>117</v>
      </c>
      <c r="AJ7">
        <v>500</v>
      </c>
    </row>
    <row r="8" spans="2:36">
      <c r="B8" s="19" t="s">
        <v>118</v>
      </c>
      <c r="C8" s="19" t="s">
        <v>44</v>
      </c>
      <c r="D8" s="20">
        <v>50000</v>
      </c>
      <c r="E8" s="20">
        <v>50000</v>
      </c>
      <c r="F8" s="20">
        <v>50000</v>
      </c>
      <c r="G8" s="20">
        <v>50000</v>
      </c>
      <c r="H8" s="20">
        <v>50000</v>
      </c>
      <c r="I8" s="20">
        <v>50000</v>
      </c>
      <c r="J8" s="20">
        <v>50000</v>
      </c>
      <c r="K8" s="20">
        <v>50000</v>
      </c>
      <c r="L8" s="20">
        <v>50000</v>
      </c>
      <c r="M8" s="20">
        <v>50000</v>
      </c>
      <c r="N8" s="21">
        <v>50000</v>
      </c>
      <c r="O8" s="41" t="s">
        <v>119</v>
      </c>
      <c r="P8" s="38">
        <v>0</v>
      </c>
      <c r="Q8" s="18"/>
      <c r="AI8" t="s">
        <v>120</v>
      </c>
      <c r="AJ8">
        <v>50</v>
      </c>
    </row>
    <row r="9" spans="2:36">
      <c r="B9" s="22" t="s">
        <v>121</v>
      </c>
      <c r="C9" s="22" t="s">
        <v>44</v>
      </c>
      <c r="D9" s="23">
        <v>50000</v>
      </c>
      <c r="E9" s="23">
        <f>50000*E7</f>
        <v>75500</v>
      </c>
      <c r="F9" s="23">
        <v>50000</v>
      </c>
      <c r="G9" s="23">
        <v>50000</v>
      </c>
      <c r="H9" s="23">
        <v>50000</v>
      </c>
      <c r="I9" s="23">
        <v>50000</v>
      </c>
      <c r="J9" s="23">
        <v>50000</v>
      </c>
      <c r="K9" s="23">
        <v>50000</v>
      </c>
      <c r="L9" s="23">
        <v>50000</v>
      </c>
      <c r="M9" s="23">
        <v>50000</v>
      </c>
      <c r="N9" s="21">
        <v>50000</v>
      </c>
      <c r="O9" s="41" t="s">
        <v>119</v>
      </c>
      <c r="P9" s="38">
        <v>0</v>
      </c>
      <c r="Q9" s="18"/>
    </row>
    <row r="10" spans="2:36">
      <c r="B10" s="1" t="s">
        <v>122</v>
      </c>
      <c r="C10" s="1" t="s">
        <v>44</v>
      </c>
      <c r="D10" s="24">
        <v>50000</v>
      </c>
      <c r="E10" s="24">
        <v>50000</v>
      </c>
      <c r="F10" s="24">
        <v>50000</v>
      </c>
      <c r="G10" s="24">
        <v>50000</v>
      </c>
      <c r="H10" s="24">
        <v>50000</v>
      </c>
      <c r="I10" s="24">
        <v>50000</v>
      </c>
      <c r="J10" s="24">
        <v>50000</v>
      </c>
      <c r="K10" s="24">
        <v>50000</v>
      </c>
      <c r="L10" s="24">
        <v>50000</v>
      </c>
      <c r="M10" s="24">
        <v>50000</v>
      </c>
      <c r="N10" s="25">
        <v>50000</v>
      </c>
      <c r="O10" s="41" t="s">
        <v>119</v>
      </c>
      <c r="P10" s="38">
        <v>0</v>
      </c>
      <c r="Q10" s="18"/>
    </row>
    <row r="11" spans="2:36">
      <c r="B11" s="26" t="s">
        <v>15</v>
      </c>
      <c r="C11" s="26" t="s">
        <v>44</v>
      </c>
      <c r="D11" s="27">
        <v>50000</v>
      </c>
      <c r="E11" s="27">
        <f>50000*E7</f>
        <v>75500</v>
      </c>
      <c r="F11" s="27">
        <v>50000</v>
      </c>
      <c r="G11" s="27">
        <v>50000</v>
      </c>
      <c r="H11" s="27">
        <v>50000</v>
      </c>
      <c r="I11" s="27">
        <v>50000</v>
      </c>
      <c r="J11" s="27">
        <v>50000</v>
      </c>
      <c r="K11" s="27">
        <v>50000</v>
      </c>
      <c r="L11" s="27">
        <v>50000</v>
      </c>
      <c r="M11" s="27">
        <v>50000</v>
      </c>
      <c r="N11" s="28">
        <v>50000</v>
      </c>
      <c r="O11" s="41" t="s">
        <v>119</v>
      </c>
      <c r="P11" s="38">
        <v>0</v>
      </c>
      <c r="Q11" s="18"/>
    </row>
    <row r="12" spans="2:36" ht="15.5">
      <c r="B12" s="29"/>
      <c r="C12" s="29"/>
      <c r="D12" s="12" t="s">
        <v>76</v>
      </c>
      <c r="E12" s="12" t="s">
        <v>78</v>
      </c>
      <c r="F12" s="12" t="s">
        <v>81</v>
      </c>
      <c r="G12" s="12" t="s">
        <v>27</v>
      </c>
      <c r="H12" s="12" t="s">
        <v>85</v>
      </c>
      <c r="I12" s="12" t="s">
        <v>87</v>
      </c>
      <c r="J12" s="12" t="s">
        <v>89</v>
      </c>
      <c r="K12" s="12" t="s">
        <v>92</v>
      </c>
      <c r="L12" s="12" t="s">
        <v>94</v>
      </c>
      <c r="M12" s="12" t="s">
        <v>96</v>
      </c>
      <c r="N12" s="13" t="s">
        <v>98</v>
      </c>
      <c r="O12" s="41"/>
      <c r="P12" s="39"/>
      <c r="Q12" s="18"/>
    </row>
    <row r="13" spans="2:36">
      <c r="B13" s="19" t="s">
        <v>118</v>
      </c>
      <c r="C13" s="30" t="s">
        <v>46</v>
      </c>
      <c r="D13" s="20">
        <f t="shared" ref="D13:N13" si="0">120000*D7</f>
        <v>157200</v>
      </c>
      <c r="E13" s="20">
        <f t="shared" si="0"/>
        <v>181200</v>
      </c>
      <c r="F13" s="20">
        <f t="shared" si="0"/>
        <v>153600</v>
      </c>
      <c r="G13" s="20">
        <f t="shared" si="0"/>
        <v>120000</v>
      </c>
      <c r="H13" s="20">
        <f t="shared" si="0"/>
        <v>174000</v>
      </c>
      <c r="I13" s="20">
        <f t="shared" si="0"/>
        <v>174000</v>
      </c>
      <c r="J13" s="20">
        <f t="shared" si="0"/>
        <v>174000</v>
      </c>
      <c r="K13" s="20">
        <f t="shared" si="0"/>
        <v>150000</v>
      </c>
      <c r="L13" s="20">
        <f t="shared" si="0"/>
        <v>178800</v>
      </c>
      <c r="M13" s="20">
        <f t="shared" si="0"/>
        <v>178800</v>
      </c>
      <c r="N13" s="21">
        <f t="shared" si="0"/>
        <v>178800</v>
      </c>
      <c r="O13" s="42" t="s">
        <v>123</v>
      </c>
      <c r="P13" s="38">
        <v>0</v>
      </c>
      <c r="Q13" s="18"/>
    </row>
    <row r="14" spans="2:36">
      <c r="B14" s="22" t="s">
        <v>121</v>
      </c>
      <c r="C14" s="30" t="s">
        <v>46</v>
      </c>
      <c r="D14" s="23">
        <f t="shared" ref="D14:N14" si="1">180000*D7</f>
        <v>235800</v>
      </c>
      <c r="E14" s="23">
        <f t="shared" si="1"/>
        <v>271800</v>
      </c>
      <c r="F14" s="23">
        <f t="shared" si="1"/>
        <v>230400</v>
      </c>
      <c r="G14" s="23">
        <f t="shared" si="1"/>
        <v>180000</v>
      </c>
      <c r="H14" s="23">
        <f t="shared" si="1"/>
        <v>261000</v>
      </c>
      <c r="I14" s="23">
        <f t="shared" si="1"/>
        <v>261000</v>
      </c>
      <c r="J14" s="23">
        <f t="shared" si="1"/>
        <v>261000</v>
      </c>
      <c r="K14" s="23">
        <f t="shared" si="1"/>
        <v>225000</v>
      </c>
      <c r="L14" s="23">
        <f t="shared" si="1"/>
        <v>268200</v>
      </c>
      <c r="M14" s="23">
        <f t="shared" si="1"/>
        <v>268200</v>
      </c>
      <c r="N14" s="31">
        <f t="shared" si="1"/>
        <v>268200</v>
      </c>
      <c r="O14" s="42" t="s">
        <v>123</v>
      </c>
      <c r="P14" s="38">
        <v>0</v>
      </c>
      <c r="Q14" s="18"/>
    </row>
    <row r="15" spans="2:36">
      <c r="B15" s="1" t="s">
        <v>122</v>
      </c>
      <c r="C15" s="30" t="s">
        <v>46</v>
      </c>
      <c r="D15" s="24">
        <f t="shared" ref="D15:N15" si="2">180000*D7*80%</f>
        <v>188640</v>
      </c>
      <c r="E15" s="24">
        <f t="shared" si="2"/>
        <v>217440</v>
      </c>
      <c r="F15" s="24">
        <f t="shared" si="2"/>
        <v>184320</v>
      </c>
      <c r="G15" s="24">
        <f t="shared" si="2"/>
        <v>144000</v>
      </c>
      <c r="H15" s="24">
        <f t="shared" si="2"/>
        <v>208800</v>
      </c>
      <c r="I15" s="24">
        <f t="shared" si="2"/>
        <v>208800</v>
      </c>
      <c r="J15" s="24">
        <f t="shared" si="2"/>
        <v>208800</v>
      </c>
      <c r="K15" s="24">
        <f t="shared" si="2"/>
        <v>180000</v>
      </c>
      <c r="L15" s="24">
        <f t="shared" si="2"/>
        <v>214560</v>
      </c>
      <c r="M15" s="24">
        <f t="shared" si="2"/>
        <v>214560</v>
      </c>
      <c r="N15" s="25">
        <f t="shared" si="2"/>
        <v>214560</v>
      </c>
      <c r="O15" s="42" t="s">
        <v>123</v>
      </c>
      <c r="P15" s="38">
        <v>0</v>
      </c>
      <c r="Q15" s="18"/>
    </row>
    <row r="16" spans="2:36">
      <c r="B16" s="26" t="s">
        <v>15</v>
      </c>
      <c r="C16" s="30" t="s">
        <v>46</v>
      </c>
      <c r="D16" s="27">
        <f t="shared" ref="D16:N16" si="3">180000*D7*120%</f>
        <v>282960</v>
      </c>
      <c r="E16" s="27">
        <f t="shared" si="3"/>
        <v>326160</v>
      </c>
      <c r="F16" s="27">
        <f t="shared" si="3"/>
        <v>276480</v>
      </c>
      <c r="G16" s="27">
        <f t="shared" si="3"/>
        <v>216000</v>
      </c>
      <c r="H16" s="27">
        <f t="shared" si="3"/>
        <v>313200</v>
      </c>
      <c r="I16" s="27">
        <f t="shared" si="3"/>
        <v>313200</v>
      </c>
      <c r="J16" s="27">
        <f t="shared" si="3"/>
        <v>313200</v>
      </c>
      <c r="K16" s="27">
        <f t="shared" si="3"/>
        <v>270000</v>
      </c>
      <c r="L16" s="27">
        <f t="shared" si="3"/>
        <v>321840</v>
      </c>
      <c r="M16" s="27">
        <f t="shared" si="3"/>
        <v>321840</v>
      </c>
      <c r="N16" s="28">
        <f t="shared" si="3"/>
        <v>321840</v>
      </c>
      <c r="O16" s="42" t="s">
        <v>123</v>
      </c>
      <c r="P16" s="38">
        <v>0</v>
      </c>
      <c r="Q16" s="18"/>
    </row>
    <row r="17" spans="2:16" ht="15.5">
      <c r="B17" s="29"/>
      <c r="C17" s="32"/>
      <c r="D17" s="12" t="s">
        <v>76</v>
      </c>
      <c r="E17" s="12" t="s">
        <v>78</v>
      </c>
      <c r="F17" s="12" t="s">
        <v>81</v>
      </c>
      <c r="G17" s="12" t="s">
        <v>27</v>
      </c>
      <c r="H17" s="12" t="s">
        <v>85</v>
      </c>
      <c r="I17" s="12" t="s">
        <v>87</v>
      </c>
      <c r="J17" s="12" t="s">
        <v>89</v>
      </c>
      <c r="K17" s="12" t="s">
        <v>92</v>
      </c>
      <c r="L17" s="12" t="s">
        <v>94</v>
      </c>
      <c r="M17" s="12" t="s">
        <v>96</v>
      </c>
      <c r="N17" s="13" t="s">
        <v>98</v>
      </c>
      <c r="O17" s="41"/>
      <c r="P17" s="2"/>
    </row>
    <row r="18" spans="2:16">
      <c r="B18" s="19" t="s">
        <v>118</v>
      </c>
      <c r="C18" s="33" t="s">
        <v>49</v>
      </c>
      <c r="D18" s="20">
        <f t="shared" ref="D18:N18" si="4">500000*D7</f>
        <v>655000</v>
      </c>
      <c r="E18" s="20">
        <f t="shared" si="4"/>
        <v>755000</v>
      </c>
      <c r="F18" s="20">
        <f t="shared" si="4"/>
        <v>640000</v>
      </c>
      <c r="G18" s="20">
        <f t="shared" si="4"/>
        <v>500000</v>
      </c>
      <c r="H18" s="20">
        <f t="shared" si="4"/>
        <v>725000</v>
      </c>
      <c r="I18" s="20">
        <f t="shared" si="4"/>
        <v>725000</v>
      </c>
      <c r="J18" s="20">
        <f t="shared" si="4"/>
        <v>725000</v>
      </c>
      <c r="K18" s="20">
        <f t="shared" si="4"/>
        <v>625000</v>
      </c>
      <c r="L18" s="20">
        <f t="shared" si="4"/>
        <v>745000</v>
      </c>
      <c r="M18" s="20">
        <f t="shared" si="4"/>
        <v>745000</v>
      </c>
      <c r="N18" s="21">
        <f t="shared" si="4"/>
        <v>745000</v>
      </c>
      <c r="O18" s="42" t="s">
        <v>123</v>
      </c>
      <c r="P18" s="38">
        <v>0</v>
      </c>
    </row>
    <row r="19" spans="2:16">
      <c r="B19" s="22" t="s">
        <v>121</v>
      </c>
      <c r="C19" s="33" t="s">
        <v>49</v>
      </c>
      <c r="D19" s="23">
        <f t="shared" ref="D19:N19" si="5">700000*D7</f>
        <v>917000</v>
      </c>
      <c r="E19" s="23">
        <f t="shared" si="5"/>
        <v>1057000</v>
      </c>
      <c r="F19" s="23">
        <f t="shared" si="5"/>
        <v>896000</v>
      </c>
      <c r="G19" s="23">
        <f t="shared" si="5"/>
        <v>700000</v>
      </c>
      <c r="H19" s="23">
        <f t="shared" si="5"/>
        <v>1015000</v>
      </c>
      <c r="I19" s="23">
        <f t="shared" si="5"/>
        <v>1015000</v>
      </c>
      <c r="J19" s="23">
        <f t="shared" si="5"/>
        <v>1015000</v>
      </c>
      <c r="K19" s="23">
        <f t="shared" si="5"/>
        <v>875000</v>
      </c>
      <c r="L19" s="23">
        <f t="shared" si="5"/>
        <v>1043000</v>
      </c>
      <c r="M19" s="23">
        <f t="shared" si="5"/>
        <v>1043000</v>
      </c>
      <c r="N19" s="31">
        <f t="shared" si="5"/>
        <v>1043000</v>
      </c>
      <c r="O19" s="42" t="s">
        <v>123</v>
      </c>
      <c r="P19" s="38">
        <v>0</v>
      </c>
    </row>
    <row r="20" spans="2:16">
      <c r="B20" s="1" t="s">
        <v>122</v>
      </c>
      <c r="C20" s="33" t="s">
        <v>49</v>
      </c>
      <c r="D20" s="24">
        <f t="shared" ref="D20:N20" si="6">700000*D7*80%</f>
        <v>733600</v>
      </c>
      <c r="E20" s="24">
        <f t="shared" si="6"/>
        <v>845600</v>
      </c>
      <c r="F20" s="24">
        <f t="shared" si="6"/>
        <v>716800</v>
      </c>
      <c r="G20" s="24">
        <f t="shared" si="6"/>
        <v>560000</v>
      </c>
      <c r="H20" s="24">
        <f t="shared" si="6"/>
        <v>812000</v>
      </c>
      <c r="I20" s="24">
        <f t="shared" si="6"/>
        <v>812000</v>
      </c>
      <c r="J20" s="24">
        <f t="shared" si="6"/>
        <v>812000</v>
      </c>
      <c r="K20" s="24">
        <f t="shared" si="6"/>
        <v>700000</v>
      </c>
      <c r="L20" s="24">
        <f t="shared" si="6"/>
        <v>834400</v>
      </c>
      <c r="M20" s="24">
        <f t="shared" si="6"/>
        <v>834400</v>
      </c>
      <c r="N20" s="25">
        <f t="shared" si="6"/>
        <v>834400</v>
      </c>
      <c r="O20" s="42" t="s">
        <v>123</v>
      </c>
      <c r="P20" s="38">
        <v>0</v>
      </c>
    </row>
    <row r="21" spans="2:16">
      <c r="B21" s="26" t="s">
        <v>15</v>
      </c>
      <c r="C21" s="33" t="s">
        <v>49</v>
      </c>
      <c r="D21" s="27">
        <f t="shared" ref="D21:N21" si="7">700000*D7*120%</f>
        <v>1100400</v>
      </c>
      <c r="E21" s="27">
        <f t="shared" si="7"/>
        <v>1268400</v>
      </c>
      <c r="F21" s="27">
        <f t="shared" si="7"/>
        <v>1075200</v>
      </c>
      <c r="G21" s="27">
        <f t="shared" si="7"/>
        <v>840000</v>
      </c>
      <c r="H21" s="27">
        <f t="shared" si="7"/>
        <v>1218000</v>
      </c>
      <c r="I21" s="27">
        <f t="shared" si="7"/>
        <v>1218000</v>
      </c>
      <c r="J21" s="27">
        <f t="shared" si="7"/>
        <v>1218000</v>
      </c>
      <c r="K21" s="27">
        <f t="shared" si="7"/>
        <v>1050000</v>
      </c>
      <c r="L21" s="27">
        <f t="shared" si="7"/>
        <v>1251600</v>
      </c>
      <c r="M21" s="27">
        <f t="shared" si="7"/>
        <v>1251600</v>
      </c>
      <c r="N21" s="28">
        <f t="shared" si="7"/>
        <v>1251600</v>
      </c>
      <c r="O21" s="42" t="s">
        <v>123</v>
      </c>
      <c r="P21" s="38">
        <v>0</v>
      </c>
    </row>
    <row r="22" spans="2:16" ht="15.5">
      <c r="B22" s="29"/>
      <c r="C22" s="32"/>
      <c r="D22" s="12" t="s">
        <v>76</v>
      </c>
      <c r="E22" s="12" t="s">
        <v>78</v>
      </c>
      <c r="F22" s="12" t="s">
        <v>81</v>
      </c>
      <c r="G22" s="12" t="s">
        <v>27</v>
      </c>
      <c r="H22" s="12" t="s">
        <v>85</v>
      </c>
      <c r="I22" s="12" t="s">
        <v>87</v>
      </c>
      <c r="J22" s="12" t="s">
        <v>89</v>
      </c>
      <c r="K22" s="12" t="s">
        <v>92</v>
      </c>
      <c r="L22" s="12" t="s">
        <v>94</v>
      </c>
      <c r="M22" s="12" t="s">
        <v>96</v>
      </c>
      <c r="N22" s="13" t="s">
        <v>98</v>
      </c>
      <c r="O22" s="41"/>
      <c r="P22" s="2"/>
    </row>
    <row r="23" spans="2:16">
      <c r="B23" s="19" t="s">
        <v>118</v>
      </c>
      <c r="C23" s="33" t="s">
        <v>59</v>
      </c>
      <c r="D23" s="20">
        <f t="shared" ref="D23:N23" si="8">100000*D7</f>
        <v>131000</v>
      </c>
      <c r="E23" s="20">
        <f t="shared" si="8"/>
        <v>151000</v>
      </c>
      <c r="F23" s="20">
        <f t="shared" si="8"/>
        <v>128000</v>
      </c>
      <c r="G23" s="20">
        <f t="shared" si="8"/>
        <v>100000</v>
      </c>
      <c r="H23" s="20">
        <f t="shared" si="8"/>
        <v>145000</v>
      </c>
      <c r="I23" s="20">
        <f t="shared" si="8"/>
        <v>145000</v>
      </c>
      <c r="J23" s="20">
        <f t="shared" si="8"/>
        <v>145000</v>
      </c>
      <c r="K23" s="20">
        <f t="shared" si="8"/>
        <v>125000</v>
      </c>
      <c r="L23" s="20">
        <f t="shared" si="8"/>
        <v>149000</v>
      </c>
      <c r="M23" s="20">
        <f t="shared" si="8"/>
        <v>149000</v>
      </c>
      <c r="N23" s="21">
        <f t="shared" si="8"/>
        <v>149000</v>
      </c>
      <c r="O23" s="42" t="s">
        <v>123</v>
      </c>
      <c r="P23" s="38">
        <v>0</v>
      </c>
    </row>
    <row r="24" spans="2:16">
      <c r="B24" s="22" t="s">
        <v>121</v>
      </c>
      <c r="C24" s="33" t="s">
        <v>59</v>
      </c>
      <c r="D24" s="23">
        <f t="shared" ref="D24:N24" si="9">150000*D7</f>
        <v>196500</v>
      </c>
      <c r="E24" s="23">
        <f t="shared" si="9"/>
        <v>226500</v>
      </c>
      <c r="F24" s="23">
        <f t="shared" si="9"/>
        <v>192000</v>
      </c>
      <c r="G24" s="23">
        <f t="shared" si="9"/>
        <v>150000</v>
      </c>
      <c r="H24" s="23">
        <f t="shared" si="9"/>
        <v>217500</v>
      </c>
      <c r="I24" s="23">
        <f t="shared" si="9"/>
        <v>217500</v>
      </c>
      <c r="J24" s="23">
        <f t="shared" si="9"/>
        <v>217500</v>
      </c>
      <c r="K24" s="23">
        <f t="shared" si="9"/>
        <v>187500</v>
      </c>
      <c r="L24" s="23">
        <f t="shared" si="9"/>
        <v>223500</v>
      </c>
      <c r="M24" s="23">
        <f t="shared" si="9"/>
        <v>223500</v>
      </c>
      <c r="N24" s="31">
        <f t="shared" si="9"/>
        <v>223500</v>
      </c>
      <c r="O24" s="43" t="s">
        <v>123</v>
      </c>
      <c r="P24" s="38">
        <v>0</v>
      </c>
    </row>
    <row r="25" spans="2:16">
      <c r="B25" s="1" t="s">
        <v>122</v>
      </c>
      <c r="C25" s="33" t="s">
        <v>59</v>
      </c>
      <c r="D25" s="24">
        <f t="shared" ref="D25:N25" si="10">150000*D7*80%</f>
        <v>157200</v>
      </c>
      <c r="E25" s="24">
        <f t="shared" si="10"/>
        <v>181200</v>
      </c>
      <c r="F25" s="24">
        <f t="shared" si="10"/>
        <v>153600</v>
      </c>
      <c r="G25" s="24">
        <f t="shared" si="10"/>
        <v>120000</v>
      </c>
      <c r="H25" s="24">
        <f t="shared" si="10"/>
        <v>174000</v>
      </c>
      <c r="I25" s="24">
        <f t="shared" si="10"/>
        <v>174000</v>
      </c>
      <c r="J25" s="24">
        <f t="shared" si="10"/>
        <v>174000</v>
      </c>
      <c r="K25" s="24">
        <f t="shared" si="10"/>
        <v>150000</v>
      </c>
      <c r="L25" s="24">
        <f t="shared" si="10"/>
        <v>178800</v>
      </c>
      <c r="M25" s="24">
        <f t="shared" si="10"/>
        <v>178800</v>
      </c>
      <c r="N25" s="25">
        <f t="shared" si="10"/>
        <v>178800</v>
      </c>
      <c r="O25" s="42" t="s">
        <v>123</v>
      </c>
      <c r="P25" s="38">
        <v>0</v>
      </c>
    </row>
    <row r="26" spans="2:16">
      <c r="B26" s="26" t="s">
        <v>15</v>
      </c>
      <c r="C26" s="33" t="s">
        <v>59</v>
      </c>
      <c r="D26" s="27">
        <f t="shared" ref="D26:N26" si="11">150000*D7*120%</f>
        <v>235800</v>
      </c>
      <c r="E26" s="27">
        <f t="shared" si="11"/>
        <v>271800</v>
      </c>
      <c r="F26" s="27">
        <f t="shared" si="11"/>
        <v>230400</v>
      </c>
      <c r="G26" s="27">
        <f t="shared" si="11"/>
        <v>180000</v>
      </c>
      <c r="H26" s="27">
        <f t="shared" si="11"/>
        <v>261000</v>
      </c>
      <c r="I26" s="27">
        <f t="shared" si="11"/>
        <v>261000</v>
      </c>
      <c r="J26" s="27">
        <f t="shared" si="11"/>
        <v>261000</v>
      </c>
      <c r="K26" s="27">
        <f t="shared" si="11"/>
        <v>225000</v>
      </c>
      <c r="L26" s="27">
        <f t="shared" si="11"/>
        <v>268200</v>
      </c>
      <c r="M26" s="27">
        <f t="shared" si="11"/>
        <v>268200</v>
      </c>
      <c r="N26" s="28">
        <f t="shared" si="11"/>
        <v>268200</v>
      </c>
      <c r="O26" s="42" t="s">
        <v>123</v>
      </c>
      <c r="P26" s="38">
        <v>0</v>
      </c>
    </row>
    <row r="27" spans="2:16" ht="15.5">
      <c r="B27" s="29"/>
      <c r="C27" s="32"/>
      <c r="D27" s="12" t="s">
        <v>76</v>
      </c>
      <c r="E27" s="12" t="s">
        <v>78</v>
      </c>
      <c r="F27" s="12" t="s">
        <v>81</v>
      </c>
      <c r="G27" s="12" t="s">
        <v>27</v>
      </c>
      <c r="H27" s="12" t="s">
        <v>85</v>
      </c>
      <c r="I27" s="12" t="s">
        <v>87</v>
      </c>
      <c r="J27" s="12" t="s">
        <v>89</v>
      </c>
      <c r="K27" s="12" t="s">
        <v>92</v>
      </c>
      <c r="L27" s="12" t="s">
        <v>94</v>
      </c>
      <c r="M27" s="12" t="s">
        <v>96</v>
      </c>
      <c r="N27" s="13" t="s">
        <v>98</v>
      </c>
      <c r="O27" s="41"/>
      <c r="P27" s="2"/>
    </row>
    <row r="28" spans="2:16">
      <c r="B28" s="19" t="s">
        <v>118</v>
      </c>
      <c r="C28" s="33" t="s">
        <v>124</v>
      </c>
      <c r="D28" s="20">
        <f t="shared" ref="D28:N28" si="12">150000*D7</f>
        <v>196500</v>
      </c>
      <c r="E28" s="20">
        <f t="shared" si="12"/>
        <v>226500</v>
      </c>
      <c r="F28" s="20">
        <f t="shared" si="12"/>
        <v>192000</v>
      </c>
      <c r="G28" s="20">
        <f t="shared" si="12"/>
        <v>150000</v>
      </c>
      <c r="H28" s="20">
        <f t="shared" si="12"/>
        <v>217500</v>
      </c>
      <c r="I28" s="20">
        <f t="shared" si="12"/>
        <v>217500</v>
      </c>
      <c r="J28" s="20">
        <f t="shared" si="12"/>
        <v>217500</v>
      </c>
      <c r="K28" s="20">
        <f t="shared" si="12"/>
        <v>187500</v>
      </c>
      <c r="L28" s="20">
        <f t="shared" si="12"/>
        <v>223500</v>
      </c>
      <c r="M28" s="20">
        <f t="shared" si="12"/>
        <v>223500</v>
      </c>
      <c r="N28" s="21">
        <f t="shared" si="12"/>
        <v>223500</v>
      </c>
      <c r="O28" s="41" t="s">
        <v>125</v>
      </c>
      <c r="P28" s="38">
        <v>0</v>
      </c>
    </row>
    <row r="29" spans="2:16">
      <c r="B29" s="22" t="s">
        <v>121</v>
      </c>
      <c r="C29" s="34" t="s">
        <v>124</v>
      </c>
      <c r="D29" s="23">
        <f t="shared" ref="D29:N29" si="13">200000*D7</f>
        <v>262000</v>
      </c>
      <c r="E29" s="23">
        <f t="shared" si="13"/>
        <v>302000</v>
      </c>
      <c r="F29" s="23">
        <f t="shared" si="13"/>
        <v>256000</v>
      </c>
      <c r="G29" s="23">
        <f t="shared" si="13"/>
        <v>200000</v>
      </c>
      <c r="H29" s="23">
        <f t="shared" si="13"/>
        <v>290000</v>
      </c>
      <c r="I29" s="23">
        <f t="shared" si="13"/>
        <v>290000</v>
      </c>
      <c r="J29" s="23">
        <f t="shared" si="13"/>
        <v>290000</v>
      </c>
      <c r="K29" s="23">
        <f t="shared" si="13"/>
        <v>250000</v>
      </c>
      <c r="L29" s="23">
        <f t="shared" si="13"/>
        <v>298000</v>
      </c>
      <c r="M29" s="23">
        <f t="shared" si="13"/>
        <v>298000</v>
      </c>
      <c r="N29" s="31">
        <f t="shared" si="13"/>
        <v>298000</v>
      </c>
      <c r="O29" s="41" t="s">
        <v>125</v>
      </c>
      <c r="P29" s="38">
        <v>0</v>
      </c>
    </row>
    <row r="30" spans="2:16">
      <c r="B30" s="1" t="s">
        <v>122</v>
      </c>
      <c r="C30" s="35" t="s">
        <v>124</v>
      </c>
      <c r="D30" s="24">
        <f t="shared" ref="D30:N30" si="14">200000*D7*80%</f>
        <v>209600</v>
      </c>
      <c r="E30" s="24">
        <f t="shared" si="14"/>
        <v>241600</v>
      </c>
      <c r="F30" s="24">
        <f t="shared" si="14"/>
        <v>204800</v>
      </c>
      <c r="G30" s="24">
        <f t="shared" si="14"/>
        <v>160000</v>
      </c>
      <c r="H30" s="24">
        <f t="shared" si="14"/>
        <v>232000</v>
      </c>
      <c r="I30" s="24">
        <f t="shared" si="14"/>
        <v>232000</v>
      </c>
      <c r="J30" s="24">
        <f t="shared" si="14"/>
        <v>232000</v>
      </c>
      <c r="K30" s="24">
        <f t="shared" si="14"/>
        <v>200000</v>
      </c>
      <c r="L30" s="24">
        <f t="shared" si="14"/>
        <v>238400</v>
      </c>
      <c r="M30" s="24">
        <f t="shared" si="14"/>
        <v>238400</v>
      </c>
      <c r="N30" s="25">
        <f t="shared" si="14"/>
        <v>238400</v>
      </c>
      <c r="O30" s="41" t="s">
        <v>125</v>
      </c>
      <c r="P30" s="38">
        <v>0</v>
      </c>
    </row>
    <row r="31" spans="2:16">
      <c r="B31" s="26" t="s">
        <v>15</v>
      </c>
      <c r="C31" s="36" t="s">
        <v>124</v>
      </c>
      <c r="D31" s="27">
        <f t="shared" ref="D31:N31" si="15">200000*D7*120%</f>
        <v>314400</v>
      </c>
      <c r="E31" s="27">
        <f t="shared" si="15"/>
        <v>362400</v>
      </c>
      <c r="F31" s="27">
        <f t="shared" si="15"/>
        <v>307200</v>
      </c>
      <c r="G31" s="27">
        <f t="shared" si="15"/>
        <v>240000</v>
      </c>
      <c r="H31" s="27">
        <f t="shared" si="15"/>
        <v>348000</v>
      </c>
      <c r="I31" s="27">
        <f t="shared" si="15"/>
        <v>348000</v>
      </c>
      <c r="J31" s="27">
        <f t="shared" si="15"/>
        <v>348000</v>
      </c>
      <c r="K31" s="27">
        <f t="shared" si="15"/>
        <v>300000</v>
      </c>
      <c r="L31" s="27">
        <f t="shared" si="15"/>
        <v>357600</v>
      </c>
      <c r="M31" s="27">
        <f t="shared" si="15"/>
        <v>357600</v>
      </c>
      <c r="N31" s="28">
        <f t="shared" si="15"/>
        <v>357600</v>
      </c>
      <c r="O31" s="41" t="s">
        <v>125</v>
      </c>
      <c r="P31" s="38">
        <v>0</v>
      </c>
    </row>
    <row r="32" spans="2:16" ht="15.5">
      <c r="B32" s="29"/>
      <c r="C32" s="32"/>
      <c r="D32" s="12" t="s">
        <v>76</v>
      </c>
      <c r="E32" s="12" t="s">
        <v>78</v>
      </c>
      <c r="F32" s="12" t="s">
        <v>81</v>
      </c>
      <c r="G32" s="12" t="s">
        <v>27</v>
      </c>
      <c r="H32" s="12" t="s">
        <v>85</v>
      </c>
      <c r="I32" s="12" t="s">
        <v>87</v>
      </c>
      <c r="J32" s="12" t="s">
        <v>89</v>
      </c>
      <c r="K32" s="12" t="s">
        <v>92</v>
      </c>
      <c r="L32" s="12" t="s">
        <v>94</v>
      </c>
      <c r="M32" s="12" t="s">
        <v>96</v>
      </c>
      <c r="N32" s="13" t="s">
        <v>98</v>
      </c>
      <c r="O32" s="41"/>
      <c r="P32" s="2"/>
    </row>
    <row r="33" spans="2:16">
      <c r="B33" s="19" t="s">
        <v>118</v>
      </c>
      <c r="C33" s="33" t="s">
        <v>48</v>
      </c>
      <c r="D33" s="20">
        <f t="shared" ref="D33:N33" si="16">600000*D7</f>
        <v>786000</v>
      </c>
      <c r="E33" s="20">
        <f t="shared" si="16"/>
        <v>906000</v>
      </c>
      <c r="F33" s="20">
        <f t="shared" si="16"/>
        <v>768000</v>
      </c>
      <c r="G33" s="20">
        <f t="shared" si="16"/>
        <v>600000</v>
      </c>
      <c r="H33" s="20">
        <f t="shared" si="16"/>
        <v>870000</v>
      </c>
      <c r="I33" s="20">
        <f t="shared" si="16"/>
        <v>870000</v>
      </c>
      <c r="J33" s="20">
        <f t="shared" si="16"/>
        <v>870000</v>
      </c>
      <c r="K33" s="20">
        <f t="shared" si="16"/>
        <v>750000</v>
      </c>
      <c r="L33" s="20">
        <f t="shared" si="16"/>
        <v>894000</v>
      </c>
      <c r="M33" s="20">
        <f t="shared" si="16"/>
        <v>894000</v>
      </c>
      <c r="N33" s="21">
        <f t="shared" si="16"/>
        <v>894000</v>
      </c>
      <c r="O33" s="42" t="s">
        <v>123</v>
      </c>
      <c r="P33" s="38">
        <v>0</v>
      </c>
    </row>
    <row r="34" spans="2:16">
      <c r="B34" s="22" t="s">
        <v>121</v>
      </c>
      <c r="C34" s="34" t="s">
        <v>48</v>
      </c>
      <c r="D34" s="23">
        <f t="shared" ref="D34:N34" si="17">800000*D7</f>
        <v>1048000</v>
      </c>
      <c r="E34" s="23">
        <f t="shared" si="17"/>
        <v>1208000</v>
      </c>
      <c r="F34" s="23">
        <f t="shared" si="17"/>
        <v>1024000</v>
      </c>
      <c r="G34" s="23">
        <f t="shared" si="17"/>
        <v>800000</v>
      </c>
      <c r="H34" s="23">
        <f t="shared" si="17"/>
        <v>1160000</v>
      </c>
      <c r="I34" s="23">
        <f t="shared" si="17"/>
        <v>1160000</v>
      </c>
      <c r="J34" s="23">
        <f t="shared" si="17"/>
        <v>1160000</v>
      </c>
      <c r="K34" s="23">
        <f t="shared" si="17"/>
        <v>1000000</v>
      </c>
      <c r="L34" s="23">
        <f t="shared" si="17"/>
        <v>1192000</v>
      </c>
      <c r="M34" s="23">
        <f t="shared" si="17"/>
        <v>1192000</v>
      </c>
      <c r="N34" s="31">
        <f t="shared" si="17"/>
        <v>1192000</v>
      </c>
      <c r="O34" s="42" t="s">
        <v>123</v>
      </c>
      <c r="P34" s="38">
        <v>0</v>
      </c>
    </row>
    <row r="35" spans="2:16">
      <c r="B35" s="1" t="s">
        <v>122</v>
      </c>
      <c r="C35" s="35" t="s">
        <v>48</v>
      </c>
      <c r="D35" s="24">
        <f t="shared" ref="D35:N35" si="18">800000*D7*80%</f>
        <v>838400</v>
      </c>
      <c r="E35" s="24">
        <f t="shared" si="18"/>
        <v>966400</v>
      </c>
      <c r="F35" s="24">
        <f t="shared" si="18"/>
        <v>819200</v>
      </c>
      <c r="G35" s="24">
        <f t="shared" si="18"/>
        <v>640000</v>
      </c>
      <c r="H35" s="24">
        <f t="shared" si="18"/>
        <v>928000</v>
      </c>
      <c r="I35" s="24">
        <f t="shared" si="18"/>
        <v>928000</v>
      </c>
      <c r="J35" s="24">
        <f t="shared" si="18"/>
        <v>928000</v>
      </c>
      <c r="K35" s="24">
        <f t="shared" si="18"/>
        <v>800000</v>
      </c>
      <c r="L35" s="24">
        <f t="shared" si="18"/>
        <v>953600</v>
      </c>
      <c r="M35" s="24">
        <f t="shared" si="18"/>
        <v>953600</v>
      </c>
      <c r="N35" s="25">
        <f t="shared" si="18"/>
        <v>953600</v>
      </c>
      <c r="O35" s="42" t="s">
        <v>123</v>
      </c>
      <c r="P35" s="38">
        <v>0</v>
      </c>
    </row>
    <row r="36" spans="2:16">
      <c r="B36" s="26" t="s">
        <v>15</v>
      </c>
      <c r="C36" s="37" t="s">
        <v>48</v>
      </c>
      <c r="D36" s="27">
        <f t="shared" ref="D36:N36" si="19">800000*D7*120%</f>
        <v>1257600</v>
      </c>
      <c r="E36" s="27">
        <f t="shared" si="19"/>
        <v>1449600</v>
      </c>
      <c r="F36" s="27">
        <f t="shared" si="19"/>
        <v>1228800</v>
      </c>
      <c r="G36" s="27">
        <f t="shared" si="19"/>
        <v>960000</v>
      </c>
      <c r="H36" s="27">
        <f t="shared" si="19"/>
        <v>1392000</v>
      </c>
      <c r="I36" s="27">
        <f t="shared" si="19"/>
        <v>1392000</v>
      </c>
      <c r="J36" s="27">
        <f t="shared" si="19"/>
        <v>1392000</v>
      </c>
      <c r="K36" s="27">
        <f t="shared" si="19"/>
        <v>1200000</v>
      </c>
      <c r="L36" s="27">
        <f t="shared" si="19"/>
        <v>1430400</v>
      </c>
      <c r="M36" s="27">
        <f t="shared" si="19"/>
        <v>1430400</v>
      </c>
      <c r="N36" s="28">
        <f t="shared" si="19"/>
        <v>1430400</v>
      </c>
      <c r="O36" s="42" t="s">
        <v>123</v>
      </c>
      <c r="P36" s="38">
        <v>0</v>
      </c>
    </row>
    <row r="37" spans="2:16" ht="15.5">
      <c r="B37" s="29"/>
      <c r="C37" s="32"/>
      <c r="D37" s="12" t="s">
        <v>76</v>
      </c>
      <c r="E37" s="12" t="s">
        <v>78</v>
      </c>
      <c r="F37" s="12" t="s">
        <v>81</v>
      </c>
      <c r="G37" s="12" t="s">
        <v>27</v>
      </c>
      <c r="H37" s="12" t="s">
        <v>85</v>
      </c>
      <c r="I37" s="12" t="s">
        <v>87</v>
      </c>
      <c r="J37" s="12" t="s">
        <v>89</v>
      </c>
      <c r="K37" s="12" t="s">
        <v>92</v>
      </c>
      <c r="L37" s="12" t="s">
        <v>94</v>
      </c>
      <c r="M37" s="12" t="s">
        <v>96</v>
      </c>
      <c r="N37" s="13" t="s">
        <v>98</v>
      </c>
      <c r="O37" s="41"/>
      <c r="P37" s="2"/>
    </row>
    <row r="38" spans="2:16">
      <c r="B38" s="19" t="s">
        <v>118</v>
      </c>
      <c r="C38" s="19" t="s">
        <v>51</v>
      </c>
      <c r="D38" s="20">
        <v>500000</v>
      </c>
      <c r="E38" s="20">
        <v>500000</v>
      </c>
      <c r="F38" s="20">
        <v>500000</v>
      </c>
      <c r="G38" s="20">
        <v>500000</v>
      </c>
      <c r="H38" s="20">
        <v>500000</v>
      </c>
      <c r="I38" s="20">
        <v>500000</v>
      </c>
      <c r="J38" s="20">
        <v>500000</v>
      </c>
      <c r="K38" s="20">
        <v>500000</v>
      </c>
      <c r="L38" s="20">
        <v>500000</v>
      </c>
      <c r="M38" s="20">
        <v>500000</v>
      </c>
      <c r="N38" s="21">
        <v>500000</v>
      </c>
      <c r="O38" s="42" t="s">
        <v>126</v>
      </c>
      <c r="P38" s="38">
        <v>1</v>
      </c>
    </row>
    <row r="39" spans="2:16">
      <c r="B39" s="22" t="s">
        <v>121</v>
      </c>
      <c r="C39" s="22" t="s">
        <v>51</v>
      </c>
      <c r="D39" s="23">
        <v>500000</v>
      </c>
      <c r="E39" s="23">
        <f>500000*E7</f>
        <v>755000</v>
      </c>
      <c r="F39" s="23">
        <v>500000</v>
      </c>
      <c r="G39" s="23">
        <v>500000</v>
      </c>
      <c r="H39" s="23">
        <v>500000</v>
      </c>
      <c r="I39" s="23">
        <v>500000</v>
      </c>
      <c r="J39" s="23">
        <v>500000</v>
      </c>
      <c r="K39" s="23">
        <v>500000</v>
      </c>
      <c r="L39" s="23">
        <v>500000</v>
      </c>
      <c r="M39" s="23">
        <v>500000</v>
      </c>
      <c r="N39" s="31">
        <v>500000</v>
      </c>
      <c r="O39" s="42" t="s">
        <v>126</v>
      </c>
      <c r="P39" s="38">
        <v>1</v>
      </c>
    </row>
    <row r="40" spans="2:16">
      <c r="B40" s="1" t="s">
        <v>122</v>
      </c>
      <c r="C40" s="1" t="s">
        <v>51</v>
      </c>
      <c r="D40" s="24">
        <v>500000</v>
      </c>
      <c r="E40" s="24">
        <v>500000</v>
      </c>
      <c r="F40" s="24">
        <v>500000</v>
      </c>
      <c r="G40" s="24">
        <v>500000</v>
      </c>
      <c r="H40" s="24">
        <v>500000</v>
      </c>
      <c r="I40" s="24">
        <v>500000</v>
      </c>
      <c r="J40" s="24">
        <v>500000</v>
      </c>
      <c r="K40" s="24">
        <v>500000</v>
      </c>
      <c r="L40" s="24">
        <v>500000</v>
      </c>
      <c r="M40" s="24">
        <v>500000</v>
      </c>
      <c r="N40" s="25">
        <v>500000</v>
      </c>
      <c r="O40" s="42" t="s">
        <v>126</v>
      </c>
      <c r="P40" s="38">
        <v>1</v>
      </c>
    </row>
    <row r="41" spans="2:16">
      <c r="B41" s="26" t="s">
        <v>15</v>
      </c>
      <c r="C41" s="26" t="s">
        <v>51</v>
      </c>
      <c r="D41" s="27">
        <v>500000</v>
      </c>
      <c r="E41" s="27">
        <v>500000</v>
      </c>
      <c r="F41" s="27">
        <v>500000</v>
      </c>
      <c r="G41" s="27">
        <v>500000</v>
      </c>
      <c r="H41" s="27">
        <v>500000</v>
      </c>
      <c r="I41" s="27">
        <v>500000</v>
      </c>
      <c r="J41" s="27">
        <v>500000</v>
      </c>
      <c r="K41" s="27">
        <v>500000</v>
      </c>
      <c r="L41" s="27">
        <v>500000</v>
      </c>
      <c r="M41" s="27">
        <v>500000</v>
      </c>
      <c r="N41" s="28">
        <v>500000</v>
      </c>
      <c r="O41" s="42" t="s">
        <v>126</v>
      </c>
      <c r="P41" s="38">
        <v>1</v>
      </c>
    </row>
    <row r="42" spans="2:16" ht="15.5">
      <c r="B42" s="29"/>
      <c r="C42" s="32"/>
      <c r="D42" s="12" t="s">
        <v>76</v>
      </c>
      <c r="E42" s="12" t="s">
        <v>78</v>
      </c>
      <c r="F42" s="12" t="s">
        <v>81</v>
      </c>
      <c r="G42" s="12" t="s">
        <v>27</v>
      </c>
      <c r="H42" s="12" t="s">
        <v>85</v>
      </c>
      <c r="I42" s="12" t="s">
        <v>87</v>
      </c>
      <c r="J42" s="12" t="s">
        <v>89</v>
      </c>
      <c r="K42" s="12" t="s">
        <v>92</v>
      </c>
      <c r="L42" s="12" t="s">
        <v>94</v>
      </c>
      <c r="M42" s="12" t="s">
        <v>96</v>
      </c>
      <c r="N42" s="13" t="s">
        <v>98</v>
      </c>
      <c r="O42" s="41"/>
      <c r="P42" s="2"/>
    </row>
    <row r="43" spans="2:16">
      <c r="B43" s="19" t="s">
        <v>118</v>
      </c>
      <c r="C43" s="19" t="s">
        <v>53</v>
      </c>
      <c r="D43" s="20">
        <f t="shared" ref="D43:N43" si="20">1500000*D7</f>
        <v>1965000</v>
      </c>
      <c r="E43" s="20">
        <f t="shared" si="20"/>
        <v>2265000</v>
      </c>
      <c r="F43" s="20">
        <f t="shared" si="20"/>
        <v>1920000</v>
      </c>
      <c r="G43" s="20">
        <f t="shared" si="20"/>
        <v>1500000</v>
      </c>
      <c r="H43" s="20">
        <f t="shared" si="20"/>
        <v>2175000</v>
      </c>
      <c r="I43" s="20">
        <f t="shared" si="20"/>
        <v>2175000</v>
      </c>
      <c r="J43" s="20">
        <f t="shared" si="20"/>
        <v>2175000</v>
      </c>
      <c r="K43" s="20">
        <f t="shared" si="20"/>
        <v>1875000</v>
      </c>
      <c r="L43" s="20">
        <f t="shared" si="20"/>
        <v>2235000</v>
      </c>
      <c r="M43" s="20">
        <f t="shared" si="20"/>
        <v>2235000</v>
      </c>
      <c r="N43" s="21">
        <f t="shared" si="20"/>
        <v>2235000</v>
      </c>
      <c r="O43" s="42" t="s">
        <v>119</v>
      </c>
      <c r="P43" s="38">
        <v>0</v>
      </c>
    </row>
    <row r="44" spans="2:16">
      <c r="B44" s="22" t="s">
        <v>121</v>
      </c>
      <c r="C44" s="22" t="s">
        <v>53</v>
      </c>
      <c r="D44" s="23">
        <f t="shared" ref="D44:N44" si="21">1500000*D7</f>
        <v>1965000</v>
      </c>
      <c r="E44" s="23">
        <f t="shared" si="21"/>
        <v>2265000</v>
      </c>
      <c r="F44" s="23">
        <f t="shared" si="21"/>
        <v>1920000</v>
      </c>
      <c r="G44" s="23">
        <f t="shared" si="21"/>
        <v>1500000</v>
      </c>
      <c r="H44" s="23">
        <f t="shared" si="21"/>
        <v>2175000</v>
      </c>
      <c r="I44" s="23">
        <f t="shared" si="21"/>
        <v>2175000</v>
      </c>
      <c r="J44" s="23">
        <f t="shared" si="21"/>
        <v>2175000</v>
      </c>
      <c r="K44" s="23">
        <f t="shared" si="21"/>
        <v>1875000</v>
      </c>
      <c r="L44" s="23">
        <f t="shared" si="21"/>
        <v>2235000</v>
      </c>
      <c r="M44" s="23">
        <f t="shared" si="21"/>
        <v>2235000</v>
      </c>
      <c r="N44" s="31">
        <f t="shared" si="21"/>
        <v>2235000</v>
      </c>
      <c r="O44" s="42" t="s">
        <v>119</v>
      </c>
      <c r="P44" s="38">
        <v>0</v>
      </c>
    </row>
    <row r="45" spans="2:16">
      <c r="B45" s="1" t="s">
        <v>122</v>
      </c>
      <c r="C45" s="1" t="s">
        <v>53</v>
      </c>
      <c r="D45" s="24">
        <f t="shared" ref="D45:N45" si="22">1500000*D7*80%</f>
        <v>1572000</v>
      </c>
      <c r="E45" s="24">
        <f t="shared" si="22"/>
        <v>1812000</v>
      </c>
      <c r="F45" s="24">
        <f t="shared" si="22"/>
        <v>1536000</v>
      </c>
      <c r="G45" s="24">
        <f t="shared" si="22"/>
        <v>1200000</v>
      </c>
      <c r="H45" s="24">
        <f t="shared" si="22"/>
        <v>1740000</v>
      </c>
      <c r="I45" s="24">
        <f t="shared" si="22"/>
        <v>1740000</v>
      </c>
      <c r="J45" s="24">
        <f t="shared" si="22"/>
        <v>1740000</v>
      </c>
      <c r="K45" s="24">
        <f t="shared" si="22"/>
        <v>1500000</v>
      </c>
      <c r="L45" s="24">
        <f t="shared" si="22"/>
        <v>1788000</v>
      </c>
      <c r="M45" s="24">
        <f t="shared" si="22"/>
        <v>1788000</v>
      </c>
      <c r="N45" s="25">
        <f t="shared" si="22"/>
        <v>1788000</v>
      </c>
      <c r="O45" s="42" t="s">
        <v>119</v>
      </c>
      <c r="P45" s="38">
        <v>0</v>
      </c>
    </row>
    <row r="46" spans="2:16">
      <c r="B46" s="26" t="s">
        <v>15</v>
      </c>
      <c r="C46" s="26" t="s">
        <v>53</v>
      </c>
      <c r="D46" s="27">
        <f t="shared" ref="D46:N46" si="23">1500000*D7*120%</f>
        <v>2358000</v>
      </c>
      <c r="E46" s="27">
        <f t="shared" si="23"/>
        <v>2718000</v>
      </c>
      <c r="F46" s="27">
        <f t="shared" si="23"/>
        <v>2304000</v>
      </c>
      <c r="G46" s="27">
        <f t="shared" si="23"/>
        <v>1800000</v>
      </c>
      <c r="H46" s="27">
        <f t="shared" si="23"/>
        <v>2610000</v>
      </c>
      <c r="I46" s="27">
        <f t="shared" si="23"/>
        <v>2610000</v>
      </c>
      <c r="J46" s="27">
        <f t="shared" si="23"/>
        <v>2610000</v>
      </c>
      <c r="K46" s="27">
        <f t="shared" si="23"/>
        <v>2250000</v>
      </c>
      <c r="L46" s="27">
        <f t="shared" si="23"/>
        <v>2682000</v>
      </c>
      <c r="M46" s="27">
        <f t="shared" si="23"/>
        <v>2682000</v>
      </c>
      <c r="N46" s="28">
        <f t="shared" si="23"/>
        <v>2682000</v>
      </c>
      <c r="O46" s="42" t="s">
        <v>119</v>
      </c>
      <c r="P46" s="38">
        <v>0</v>
      </c>
    </row>
    <row r="47" spans="2:16" ht="15.5">
      <c r="B47" s="29"/>
      <c r="C47" s="32"/>
      <c r="D47" s="12" t="s">
        <v>76</v>
      </c>
      <c r="E47" s="12" t="s">
        <v>78</v>
      </c>
      <c r="F47" s="12" t="s">
        <v>81</v>
      </c>
      <c r="G47" s="12" t="s">
        <v>27</v>
      </c>
      <c r="H47" s="12" t="s">
        <v>85</v>
      </c>
      <c r="I47" s="12" t="s">
        <v>87</v>
      </c>
      <c r="J47" s="12" t="s">
        <v>89</v>
      </c>
      <c r="K47" s="12" t="s">
        <v>92</v>
      </c>
      <c r="L47" s="12" t="s">
        <v>94</v>
      </c>
      <c r="M47" s="12" t="s">
        <v>96</v>
      </c>
      <c r="N47" s="13" t="s">
        <v>98</v>
      </c>
      <c r="O47" s="41"/>
      <c r="P47" s="2"/>
    </row>
    <row r="48" spans="2:16">
      <c r="B48" s="19" t="s">
        <v>118</v>
      </c>
      <c r="C48" s="19" t="s">
        <v>54</v>
      </c>
      <c r="D48" s="20">
        <f t="shared" ref="D48:N48" si="24">250000*D7</f>
        <v>327500</v>
      </c>
      <c r="E48" s="20">
        <f t="shared" si="24"/>
        <v>377500</v>
      </c>
      <c r="F48" s="20">
        <f t="shared" si="24"/>
        <v>320000</v>
      </c>
      <c r="G48" s="20">
        <f t="shared" si="24"/>
        <v>250000</v>
      </c>
      <c r="H48" s="20">
        <f t="shared" si="24"/>
        <v>362500</v>
      </c>
      <c r="I48" s="20">
        <f t="shared" si="24"/>
        <v>362500</v>
      </c>
      <c r="J48" s="20">
        <f t="shared" si="24"/>
        <v>362500</v>
      </c>
      <c r="K48" s="20">
        <f t="shared" si="24"/>
        <v>312500</v>
      </c>
      <c r="L48" s="20">
        <f t="shared" si="24"/>
        <v>372500</v>
      </c>
      <c r="M48" s="20">
        <f t="shared" si="24"/>
        <v>372500</v>
      </c>
      <c r="N48" s="21">
        <f t="shared" si="24"/>
        <v>372500</v>
      </c>
      <c r="O48" s="42" t="s">
        <v>126</v>
      </c>
      <c r="P48" s="38">
        <v>1</v>
      </c>
    </row>
    <row r="49" spans="2:16">
      <c r="B49" s="22" t="s">
        <v>121</v>
      </c>
      <c r="C49" s="22" t="s">
        <v>54</v>
      </c>
      <c r="D49" s="23">
        <f t="shared" ref="D49:N49" si="25">1000000*D7</f>
        <v>1310000</v>
      </c>
      <c r="E49" s="23">
        <f t="shared" si="25"/>
        <v>1510000</v>
      </c>
      <c r="F49" s="23">
        <f t="shared" si="25"/>
        <v>1280000</v>
      </c>
      <c r="G49" s="23">
        <f t="shared" si="25"/>
        <v>1000000</v>
      </c>
      <c r="H49" s="23">
        <f t="shared" si="25"/>
        <v>1450000</v>
      </c>
      <c r="I49" s="23">
        <f t="shared" si="25"/>
        <v>1450000</v>
      </c>
      <c r="J49" s="23">
        <f t="shared" si="25"/>
        <v>1450000</v>
      </c>
      <c r="K49" s="23">
        <f t="shared" si="25"/>
        <v>1250000</v>
      </c>
      <c r="L49" s="23">
        <f t="shared" si="25"/>
        <v>1490000</v>
      </c>
      <c r="M49" s="23">
        <f t="shared" si="25"/>
        <v>1490000</v>
      </c>
      <c r="N49" s="31">
        <f t="shared" si="25"/>
        <v>1490000</v>
      </c>
      <c r="O49" s="42" t="s">
        <v>126</v>
      </c>
      <c r="P49" s="38">
        <v>1</v>
      </c>
    </row>
    <row r="50" spans="2:16">
      <c r="B50" s="1" t="s">
        <v>122</v>
      </c>
      <c r="C50" s="1" t="s">
        <v>54</v>
      </c>
      <c r="D50" s="24">
        <f t="shared" ref="D50:N50" si="26">1000000*D7*80%</f>
        <v>1048000</v>
      </c>
      <c r="E50" s="24">
        <f t="shared" si="26"/>
        <v>1208000</v>
      </c>
      <c r="F50" s="24">
        <f t="shared" si="26"/>
        <v>1024000</v>
      </c>
      <c r="G50" s="24">
        <f t="shared" si="26"/>
        <v>800000</v>
      </c>
      <c r="H50" s="24">
        <f t="shared" si="26"/>
        <v>1160000</v>
      </c>
      <c r="I50" s="24">
        <f t="shared" si="26"/>
        <v>1160000</v>
      </c>
      <c r="J50" s="24">
        <f t="shared" si="26"/>
        <v>1160000</v>
      </c>
      <c r="K50" s="24">
        <f t="shared" si="26"/>
        <v>1000000</v>
      </c>
      <c r="L50" s="24">
        <f t="shared" si="26"/>
        <v>1192000</v>
      </c>
      <c r="M50" s="24">
        <f t="shared" si="26"/>
        <v>1192000</v>
      </c>
      <c r="N50" s="25">
        <f t="shared" si="26"/>
        <v>1192000</v>
      </c>
      <c r="O50" s="42" t="s">
        <v>126</v>
      </c>
      <c r="P50" s="38">
        <v>1</v>
      </c>
    </row>
    <row r="51" spans="2:16">
      <c r="B51" s="26" t="s">
        <v>15</v>
      </c>
      <c r="C51" s="26" t="s">
        <v>54</v>
      </c>
      <c r="D51" s="27">
        <f t="shared" ref="D51:N51" si="27">1000000*D7*120%</f>
        <v>1572000</v>
      </c>
      <c r="E51" s="27">
        <f t="shared" si="27"/>
        <v>1812000</v>
      </c>
      <c r="F51" s="27">
        <f t="shared" si="27"/>
        <v>1536000</v>
      </c>
      <c r="G51" s="27">
        <f t="shared" si="27"/>
        <v>1200000</v>
      </c>
      <c r="H51" s="27">
        <f t="shared" si="27"/>
        <v>1740000</v>
      </c>
      <c r="I51" s="27">
        <f t="shared" si="27"/>
        <v>1740000</v>
      </c>
      <c r="J51" s="27">
        <f t="shared" si="27"/>
        <v>1740000</v>
      </c>
      <c r="K51" s="27">
        <f t="shared" si="27"/>
        <v>1500000</v>
      </c>
      <c r="L51" s="27">
        <f t="shared" si="27"/>
        <v>1788000</v>
      </c>
      <c r="M51" s="27">
        <f t="shared" si="27"/>
        <v>1788000</v>
      </c>
      <c r="N51" s="28">
        <f t="shared" si="27"/>
        <v>1788000</v>
      </c>
      <c r="O51" s="42" t="s">
        <v>126</v>
      </c>
      <c r="P51" s="38">
        <v>1</v>
      </c>
    </row>
    <row r="52" spans="2:16" ht="15.5">
      <c r="B52" s="29"/>
      <c r="C52" s="32"/>
      <c r="D52" s="12" t="s">
        <v>76</v>
      </c>
      <c r="E52" s="12" t="s">
        <v>78</v>
      </c>
      <c r="F52" s="12" t="s">
        <v>81</v>
      </c>
      <c r="G52" s="12" t="s">
        <v>27</v>
      </c>
      <c r="H52" s="12" t="s">
        <v>85</v>
      </c>
      <c r="I52" s="12" t="s">
        <v>87</v>
      </c>
      <c r="J52" s="12" t="s">
        <v>89</v>
      </c>
      <c r="K52" s="12" t="s">
        <v>92</v>
      </c>
      <c r="L52" s="12" t="s">
        <v>94</v>
      </c>
      <c r="M52" s="12" t="s">
        <v>96</v>
      </c>
      <c r="N52" s="13" t="s">
        <v>98</v>
      </c>
      <c r="O52" s="41"/>
      <c r="P52" s="2"/>
    </row>
    <row r="53" spans="2:16">
      <c r="B53" s="19" t="s">
        <v>118</v>
      </c>
      <c r="C53" s="19" t="s">
        <v>55</v>
      </c>
      <c r="D53" s="20">
        <f t="shared" ref="D53:N53" si="28">1500000*D7</f>
        <v>1965000</v>
      </c>
      <c r="E53" s="20">
        <f t="shared" si="28"/>
        <v>2265000</v>
      </c>
      <c r="F53" s="20">
        <f t="shared" si="28"/>
        <v>1920000</v>
      </c>
      <c r="G53" s="20">
        <f t="shared" si="28"/>
        <v>1500000</v>
      </c>
      <c r="H53" s="20">
        <f t="shared" si="28"/>
        <v>2175000</v>
      </c>
      <c r="I53" s="20">
        <f t="shared" si="28"/>
        <v>2175000</v>
      </c>
      <c r="J53" s="20">
        <f t="shared" si="28"/>
        <v>2175000</v>
      </c>
      <c r="K53" s="20">
        <f t="shared" si="28"/>
        <v>1875000</v>
      </c>
      <c r="L53" s="20">
        <f t="shared" si="28"/>
        <v>2235000</v>
      </c>
      <c r="M53" s="20">
        <f t="shared" si="28"/>
        <v>2235000</v>
      </c>
      <c r="N53" s="21">
        <f t="shared" si="28"/>
        <v>2235000</v>
      </c>
      <c r="O53" s="42" t="s">
        <v>126</v>
      </c>
      <c r="P53" s="38">
        <v>1</v>
      </c>
    </row>
    <row r="54" spans="2:16">
      <c r="B54" s="22" t="s">
        <v>121</v>
      </c>
      <c r="C54" s="22" t="s">
        <v>55</v>
      </c>
      <c r="D54" s="23">
        <f t="shared" ref="D54:N54" si="29">2500000*D7</f>
        <v>3275000</v>
      </c>
      <c r="E54" s="23">
        <f t="shared" si="29"/>
        <v>3775000</v>
      </c>
      <c r="F54" s="23">
        <f t="shared" si="29"/>
        <v>3200000</v>
      </c>
      <c r="G54" s="23">
        <f t="shared" si="29"/>
        <v>2500000</v>
      </c>
      <c r="H54" s="23">
        <f t="shared" si="29"/>
        <v>3625000</v>
      </c>
      <c r="I54" s="23">
        <f t="shared" si="29"/>
        <v>3625000</v>
      </c>
      <c r="J54" s="23">
        <f t="shared" si="29"/>
        <v>3625000</v>
      </c>
      <c r="K54" s="23">
        <f t="shared" si="29"/>
        <v>3125000</v>
      </c>
      <c r="L54" s="23">
        <f t="shared" si="29"/>
        <v>3725000</v>
      </c>
      <c r="M54" s="23">
        <f t="shared" si="29"/>
        <v>3725000</v>
      </c>
      <c r="N54" s="31">
        <f t="shared" si="29"/>
        <v>3725000</v>
      </c>
      <c r="O54" s="42" t="s">
        <v>126</v>
      </c>
      <c r="P54" s="38">
        <v>1</v>
      </c>
    </row>
    <row r="55" spans="2:16">
      <c r="B55" s="1" t="s">
        <v>122</v>
      </c>
      <c r="C55" s="1" t="s">
        <v>55</v>
      </c>
      <c r="D55" s="24">
        <f t="shared" ref="D55:N55" si="30">2500000*D7*80%</f>
        <v>2620000</v>
      </c>
      <c r="E55" s="24">
        <f t="shared" si="30"/>
        <v>3020000</v>
      </c>
      <c r="F55" s="24">
        <f t="shared" si="30"/>
        <v>2560000</v>
      </c>
      <c r="G55" s="24">
        <f t="shared" si="30"/>
        <v>2000000</v>
      </c>
      <c r="H55" s="24">
        <f t="shared" si="30"/>
        <v>2900000</v>
      </c>
      <c r="I55" s="24">
        <f t="shared" si="30"/>
        <v>2900000</v>
      </c>
      <c r="J55" s="24">
        <f t="shared" si="30"/>
        <v>2900000</v>
      </c>
      <c r="K55" s="24">
        <f t="shared" si="30"/>
        <v>2500000</v>
      </c>
      <c r="L55" s="24">
        <f t="shared" si="30"/>
        <v>2980000</v>
      </c>
      <c r="M55" s="24">
        <f t="shared" si="30"/>
        <v>2980000</v>
      </c>
      <c r="N55" s="25">
        <f t="shared" si="30"/>
        <v>2980000</v>
      </c>
      <c r="O55" s="42" t="s">
        <v>126</v>
      </c>
      <c r="P55" s="38">
        <v>1</v>
      </c>
    </row>
    <row r="56" spans="2:16">
      <c r="B56" s="26" t="s">
        <v>15</v>
      </c>
      <c r="C56" s="26" t="s">
        <v>55</v>
      </c>
      <c r="D56" s="27">
        <f t="shared" ref="D56:N56" si="31">2500000*D7*120%</f>
        <v>3930000</v>
      </c>
      <c r="E56" s="27">
        <f t="shared" si="31"/>
        <v>4530000</v>
      </c>
      <c r="F56" s="27">
        <f t="shared" si="31"/>
        <v>3840000</v>
      </c>
      <c r="G56" s="27">
        <f t="shared" si="31"/>
        <v>3000000</v>
      </c>
      <c r="H56" s="27">
        <f t="shared" si="31"/>
        <v>4350000</v>
      </c>
      <c r="I56" s="27">
        <f t="shared" si="31"/>
        <v>4350000</v>
      </c>
      <c r="J56" s="27">
        <f t="shared" si="31"/>
        <v>4350000</v>
      </c>
      <c r="K56" s="27">
        <f t="shared" si="31"/>
        <v>3750000</v>
      </c>
      <c r="L56" s="27">
        <f t="shared" si="31"/>
        <v>4470000</v>
      </c>
      <c r="M56" s="27">
        <f t="shared" si="31"/>
        <v>4470000</v>
      </c>
      <c r="N56" s="28">
        <f t="shared" si="31"/>
        <v>4470000</v>
      </c>
      <c r="O56" s="42" t="s">
        <v>126</v>
      </c>
      <c r="P56" s="38">
        <v>1</v>
      </c>
    </row>
    <row r="57" spans="2:16" ht="15.5">
      <c r="B57" s="29"/>
      <c r="C57" s="32"/>
      <c r="D57" s="12" t="s">
        <v>76</v>
      </c>
      <c r="E57" s="12" t="s">
        <v>78</v>
      </c>
      <c r="F57" s="12" t="s">
        <v>81</v>
      </c>
      <c r="G57" s="12" t="s">
        <v>27</v>
      </c>
      <c r="H57" s="12" t="s">
        <v>85</v>
      </c>
      <c r="I57" s="12" t="s">
        <v>87</v>
      </c>
      <c r="J57" s="12" t="s">
        <v>89</v>
      </c>
      <c r="K57" s="12" t="s">
        <v>92</v>
      </c>
      <c r="L57" s="12" t="s">
        <v>94</v>
      </c>
      <c r="M57" s="12" t="s">
        <v>96</v>
      </c>
      <c r="N57" s="13" t="s">
        <v>98</v>
      </c>
      <c r="O57" s="41"/>
      <c r="P57" s="2"/>
    </row>
    <row r="58" spans="2:16">
      <c r="B58" s="19" t="s">
        <v>118</v>
      </c>
      <c r="C58" s="19" t="s">
        <v>127</v>
      </c>
      <c r="D58" s="20">
        <f t="shared" ref="D58:N58" si="32">300000*D7</f>
        <v>393000</v>
      </c>
      <c r="E58" s="20">
        <f t="shared" si="32"/>
        <v>453000</v>
      </c>
      <c r="F58" s="20">
        <f t="shared" si="32"/>
        <v>384000</v>
      </c>
      <c r="G58" s="20">
        <f t="shared" si="32"/>
        <v>300000</v>
      </c>
      <c r="H58" s="20">
        <f t="shared" si="32"/>
        <v>435000</v>
      </c>
      <c r="I58" s="20">
        <f t="shared" si="32"/>
        <v>435000</v>
      </c>
      <c r="J58" s="20">
        <f t="shared" si="32"/>
        <v>435000</v>
      </c>
      <c r="K58" s="20">
        <f t="shared" si="32"/>
        <v>375000</v>
      </c>
      <c r="L58" s="20">
        <f t="shared" si="32"/>
        <v>447000</v>
      </c>
      <c r="M58" s="20">
        <f t="shared" si="32"/>
        <v>447000</v>
      </c>
      <c r="N58" s="21">
        <f t="shared" si="32"/>
        <v>447000</v>
      </c>
      <c r="O58" s="41"/>
      <c r="P58" s="2"/>
    </row>
    <row r="59" spans="2:16">
      <c r="B59" s="22" t="s">
        <v>121</v>
      </c>
      <c r="C59" s="22" t="s">
        <v>127</v>
      </c>
      <c r="D59" s="23">
        <f t="shared" ref="D59:N59" si="33">300000*D7</f>
        <v>393000</v>
      </c>
      <c r="E59" s="23">
        <f t="shared" si="33"/>
        <v>453000</v>
      </c>
      <c r="F59" s="23">
        <f t="shared" si="33"/>
        <v>384000</v>
      </c>
      <c r="G59" s="23">
        <f t="shared" si="33"/>
        <v>300000</v>
      </c>
      <c r="H59" s="23">
        <f t="shared" si="33"/>
        <v>435000</v>
      </c>
      <c r="I59" s="23">
        <f t="shared" si="33"/>
        <v>435000</v>
      </c>
      <c r="J59" s="23">
        <f t="shared" si="33"/>
        <v>435000</v>
      </c>
      <c r="K59" s="23">
        <f t="shared" si="33"/>
        <v>375000</v>
      </c>
      <c r="L59" s="23">
        <f t="shared" si="33"/>
        <v>447000</v>
      </c>
      <c r="M59" s="23">
        <f t="shared" si="33"/>
        <v>447000</v>
      </c>
      <c r="N59" s="31">
        <f t="shared" si="33"/>
        <v>447000</v>
      </c>
      <c r="O59" s="41"/>
      <c r="P59" s="2"/>
    </row>
    <row r="60" spans="2:16">
      <c r="B60" s="1" t="s">
        <v>122</v>
      </c>
      <c r="C60" s="1" t="s">
        <v>127</v>
      </c>
      <c r="D60" s="24">
        <f t="shared" ref="D60:N60" si="34">300000*D7*80%</f>
        <v>314400</v>
      </c>
      <c r="E60" s="24">
        <f t="shared" si="34"/>
        <v>362400</v>
      </c>
      <c r="F60" s="24">
        <f t="shared" si="34"/>
        <v>307200</v>
      </c>
      <c r="G60" s="24">
        <f t="shared" si="34"/>
        <v>240000</v>
      </c>
      <c r="H60" s="24">
        <f t="shared" si="34"/>
        <v>348000</v>
      </c>
      <c r="I60" s="24">
        <f t="shared" si="34"/>
        <v>348000</v>
      </c>
      <c r="J60" s="24">
        <f t="shared" si="34"/>
        <v>348000</v>
      </c>
      <c r="K60" s="24">
        <f t="shared" si="34"/>
        <v>300000</v>
      </c>
      <c r="L60" s="24">
        <f t="shared" si="34"/>
        <v>357600</v>
      </c>
      <c r="M60" s="24">
        <f t="shared" si="34"/>
        <v>357600</v>
      </c>
      <c r="N60" s="25">
        <f t="shared" si="34"/>
        <v>357600</v>
      </c>
      <c r="O60" s="41"/>
      <c r="P60" s="2"/>
    </row>
    <row r="61" spans="2:16">
      <c r="B61" s="26" t="s">
        <v>15</v>
      </c>
      <c r="C61" s="26" t="s">
        <v>127</v>
      </c>
      <c r="D61" s="27">
        <f t="shared" ref="D61:N61" si="35">300000*D7*120%</f>
        <v>471600</v>
      </c>
      <c r="E61" s="27">
        <f t="shared" si="35"/>
        <v>543600</v>
      </c>
      <c r="F61" s="27">
        <f t="shared" si="35"/>
        <v>460800</v>
      </c>
      <c r="G61" s="27">
        <f t="shared" si="35"/>
        <v>360000</v>
      </c>
      <c r="H61" s="27">
        <f t="shared" si="35"/>
        <v>522000</v>
      </c>
      <c r="I61" s="27">
        <f t="shared" si="35"/>
        <v>522000</v>
      </c>
      <c r="J61" s="27">
        <f t="shared" si="35"/>
        <v>522000</v>
      </c>
      <c r="K61" s="27">
        <f t="shared" si="35"/>
        <v>450000</v>
      </c>
      <c r="L61" s="27">
        <f t="shared" si="35"/>
        <v>536400</v>
      </c>
      <c r="M61" s="27">
        <f t="shared" si="35"/>
        <v>536400</v>
      </c>
      <c r="N61" s="28">
        <f t="shared" si="35"/>
        <v>536400</v>
      </c>
      <c r="O61" s="41"/>
      <c r="P61" s="2"/>
    </row>
    <row r="62" spans="2:16" ht="15.5">
      <c r="B62" s="29"/>
      <c r="C62" s="32"/>
      <c r="D62" s="12" t="s">
        <v>76</v>
      </c>
      <c r="E62" s="12" t="s">
        <v>78</v>
      </c>
      <c r="F62" s="12" t="s">
        <v>81</v>
      </c>
      <c r="G62" s="12" t="s">
        <v>27</v>
      </c>
      <c r="H62" s="12" t="s">
        <v>85</v>
      </c>
      <c r="I62" s="12" t="s">
        <v>87</v>
      </c>
      <c r="J62" s="12" t="s">
        <v>89</v>
      </c>
      <c r="K62" s="12" t="s">
        <v>92</v>
      </c>
      <c r="L62" s="12" t="s">
        <v>94</v>
      </c>
      <c r="M62" s="12" t="s">
        <v>96</v>
      </c>
      <c r="N62" s="13" t="s">
        <v>98</v>
      </c>
      <c r="O62" s="41"/>
      <c r="P62" s="2"/>
    </row>
    <row r="63" spans="2:16">
      <c r="B63" s="19" t="s">
        <v>118</v>
      </c>
      <c r="C63" s="19" t="s">
        <v>128</v>
      </c>
      <c r="D63" s="20">
        <f t="shared" ref="D63:N63" si="36">100000*D7</f>
        <v>131000</v>
      </c>
      <c r="E63" s="20">
        <f t="shared" si="36"/>
        <v>151000</v>
      </c>
      <c r="F63" s="20">
        <f t="shared" si="36"/>
        <v>128000</v>
      </c>
      <c r="G63" s="20">
        <f t="shared" si="36"/>
        <v>100000</v>
      </c>
      <c r="H63" s="20">
        <f t="shared" si="36"/>
        <v>145000</v>
      </c>
      <c r="I63" s="20">
        <f t="shared" si="36"/>
        <v>145000</v>
      </c>
      <c r="J63" s="20">
        <f t="shared" si="36"/>
        <v>145000</v>
      </c>
      <c r="K63" s="20">
        <f t="shared" si="36"/>
        <v>125000</v>
      </c>
      <c r="L63" s="20">
        <f t="shared" si="36"/>
        <v>149000</v>
      </c>
      <c r="M63" s="20">
        <f t="shared" si="36"/>
        <v>149000</v>
      </c>
      <c r="N63" s="21">
        <f t="shared" si="36"/>
        <v>149000</v>
      </c>
      <c r="O63" s="41"/>
      <c r="P63" s="2"/>
    </row>
    <row r="64" spans="2:16">
      <c r="B64" s="22" t="s">
        <v>121</v>
      </c>
      <c r="C64" s="22" t="s">
        <v>128</v>
      </c>
      <c r="D64" s="23">
        <f t="shared" ref="D64:N64" si="37">100000*D7</f>
        <v>131000</v>
      </c>
      <c r="E64" s="23">
        <f t="shared" si="37"/>
        <v>151000</v>
      </c>
      <c r="F64" s="23">
        <f t="shared" si="37"/>
        <v>128000</v>
      </c>
      <c r="G64" s="23">
        <f t="shared" si="37"/>
        <v>100000</v>
      </c>
      <c r="H64" s="23">
        <f t="shared" si="37"/>
        <v>145000</v>
      </c>
      <c r="I64" s="23">
        <f t="shared" si="37"/>
        <v>145000</v>
      </c>
      <c r="J64" s="23">
        <f t="shared" si="37"/>
        <v>145000</v>
      </c>
      <c r="K64" s="23">
        <f t="shared" si="37"/>
        <v>125000</v>
      </c>
      <c r="L64" s="23">
        <f t="shared" si="37"/>
        <v>149000</v>
      </c>
      <c r="M64" s="23">
        <f t="shared" si="37"/>
        <v>149000</v>
      </c>
      <c r="N64" s="31">
        <f t="shared" si="37"/>
        <v>149000</v>
      </c>
      <c r="O64" s="41"/>
      <c r="P64" s="2"/>
    </row>
    <row r="65" spans="2:16">
      <c r="B65" s="1" t="s">
        <v>122</v>
      </c>
      <c r="C65" s="1" t="s">
        <v>128</v>
      </c>
      <c r="D65" s="24">
        <f t="shared" ref="D65:N65" si="38">100000*D7*80%</f>
        <v>104800</v>
      </c>
      <c r="E65" s="24">
        <f t="shared" si="38"/>
        <v>120800</v>
      </c>
      <c r="F65" s="24">
        <f t="shared" si="38"/>
        <v>102400</v>
      </c>
      <c r="G65" s="24">
        <f t="shared" si="38"/>
        <v>80000</v>
      </c>
      <c r="H65" s="24">
        <f t="shared" si="38"/>
        <v>116000</v>
      </c>
      <c r="I65" s="24">
        <f t="shared" si="38"/>
        <v>116000</v>
      </c>
      <c r="J65" s="24">
        <f t="shared" si="38"/>
        <v>116000</v>
      </c>
      <c r="K65" s="24">
        <f t="shared" si="38"/>
        <v>100000</v>
      </c>
      <c r="L65" s="24">
        <f t="shared" si="38"/>
        <v>119200</v>
      </c>
      <c r="M65" s="24">
        <f t="shared" si="38"/>
        <v>119200</v>
      </c>
      <c r="N65" s="25">
        <f t="shared" si="38"/>
        <v>119200</v>
      </c>
      <c r="O65" s="41"/>
      <c r="P65" s="2"/>
    </row>
    <row r="66" spans="2:16">
      <c r="B66" s="26" t="s">
        <v>15</v>
      </c>
      <c r="C66" s="26" t="s">
        <v>128</v>
      </c>
      <c r="D66" s="27">
        <f t="shared" ref="D66:N66" si="39">100000*D7*120%</f>
        <v>157200</v>
      </c>
      <c r="E66" s="27">
        <f t="shared" si="39"/>
        <v>181200</v>
      </c>
      <c r="F66" s="27">
        <f t="shared" si="39"/>
        <v>153600</v>
      </c>
      <c r="G66" s="27">
        <f t="shared" si="39"/>
        <v>120000</v>
      </c>
      <c r="H66" s="27">
        <f t="shared" si="39"/>
        <v>174000</v>
      </c>
      <c r="I66" s="27">
        <f t="shared" si="39"/>
        <v>174000</v>
      </c>
      <c r="J66" s="27">
        <f t="shared" si="39"/>
        <v>174000</v>
      </c>
      <c r="K66" s="27">
        <f t="shared" si="39"/>
        <v>150000</v>
      </c>
      <c r="L66" s="27">
        <f t="shared" si="39"/>
        <v>178800</v>
      </c>
      <c r="M66" s="27">
        <f t="shared" si="39"/>
        <v>178800</v>
      </c>
      <c r="N66" s="28">
        <f t="shared" si="39"/>
        <v>178800</v>
      </c>
      <c r="O66" s="41"/>
      <c r="P66" s="2"/>
    </row>
    <row r="67" spans="2:16" ht="15.5">
      <c r="B67" s="29"/>
      <c r="C67" s="32"/>
      <c r="D67" s="12" t="s">
        <v>76</v>
      </c>
      <c r="E67" s="12" t="s">
        <v>78</v>
      </c>
      <c r="F67" s="12" t="s">
        <v>81</v>
      </c>
      <c r="G67" s="12" t="s">
        <v>27</v>
      </c>
      <c r="H67" s="12" t="s">
        <v>85</v>
      </c>
      <c r="I67" s="12" t="s">
        <v>87</v>
      </c>
      <c r="J67" s="12" t="s">
        <v>89</v>
      </c>
      <c r="K67" s="12" t="s">
        <v>92</v>
      </c>
      <c r="L67" s="12" t="s">
        <v>94</v>
      </c>
      <c r="M67" s="12" t="s">
        <v>96</v>
      </c>
      <c r="N67" s="13" t="s">
        <v>98</v>
      </c>
      <c r="O67" s="41"/>
      <c r="P67" s="2"/>
    </row>
    <row r="68" spans="2:16">
      <c r="B68" s="19" t="s">
        <v>118</v>
      </c>
      <c r="C68" s="19" t="s">
        <v>56</v>
      </c>
      <c r="D68" s="20">
        <f t="shared" ref="D68:N68" si="40">1500000*D7</f>
        <v>1965000</v>
      </c>
      <c r="E68" s="20">
        <f t="shared" si="40"/>
        <v>2265000</v>
      </c>
      <c r="F68" s="20">
        <f t="shared" si="40"/>
        <v>1920000</v>
      </c>
      <c r="G68" s="20">
        <f t="shared" si="40"/>
        <v>1500000</v>
      </c>
      <c r="H68" s="20">
        <f t="shared" si="40"/>
        <v>2175000</v>
      </c>
      <c r="I68" s="20">
        <f t="shared" si="40"/>
        <v>2175000</v>
      </c>
      <c r="J68" s="20">
        <f t="shared" si="40"/>
        <v>2175000</v>
      </c>
      <c r="K68" s="20">
        <f t="shared" si="40"/>
        <v>1875000</v>
      </c>
      <c r="L68" s="20">
        <f t="shared" si="40"/>
        <v>2235000</v>
      </c>
      <c r="M68" s="20">
        <f t="shared" si="40"/>
        <v>2235000</v>
      </c>
      <c r="N68" s="21">
        <f t="shared" si="40"/>
        <v>2235000</v>
      </c>
      <c r="O68" s="42" t="s">
        <v>126</v>
      </c>
      <c r="P68" s="38">
        <v>1</v>
      </c>
    </row>
    <row r="69" spans="2:16">
      <c r="B69" s="22" t="s">
        <v>121</v>
      </c>
      <c r="C69" s="22" t="s">
        <v>56</v>
      </c>
      <c r="D69" s="23">
        <f t="shared" ref="D69:N69" si="41">1500000*D7</f>
        <v>1965000</v>
      </c>
      <c r="E69" s="23">
        <f t="shared" si="41"/>
        <v>2265000</v>
      </c>
      <c r="F69" s="23">
        <f t="shared" si="41"/>
        <v>1920000</v>
      </c>
      <c r="G69" s="23">
        <f t="shared" si="41"/>
        <v>1500000</v>
      </c>
      <c r="H69" s="23">
        <f t="shared" si="41"/>
        <v>2175000</v>
      </c>
      <c r="I69" s="23">
        <f t="shared" si="41"/>
        <v>2175000</v>
      </c>
      <c r="J69" s="23">
        <f t="shared" si="41"/>
        <v>2175000</v>
      </c>
      <c r="K69" s="23">
        <f t="shared" si="41"/>
        <v>1875000</v>
      </c>
      <c r="L69" s="23">
        <f t="shared" si="41"/>
        <v>2235000</v>
      </c>
      <c r="M69" s="23">
        <f t="shared" si="41"/>
        <v>2235000</v>
      </c>
      <c r="N69" s="31">
        <f t="shared" si="41"/>
        <v>2235000</v>
      </c>
      <c r="O69" s="42" t="s">
        <v>126</v>
      </c>
      <c r="P69" s="38">
        <v>1</v>
      </c>
    </row>
    <row r="70" spans="2:16">
      <c r="B70" s="1" t="s">
        <v>122</v>
      </c>
      <c r="C70" s="1" t="s">
        <v>56</v>
      </c>
      <c r="D70" s="24">
        <f t="shared" ref="D70:N70" si="42">1500000*D7*80%</f>
        <v>1572000</v>
      </c>
      <c r="E70" s="24">
        <f t="shared" si="42"/>
        <v>1812000</v>
      </c>
      <c r="F70" s="24">
        <f t="shared" si="42"/>
        <v>1536000</v>
      </c>
      <c r="G70" s="24">
        <f t="shared" si="42"/>
        <v>1200000</v>
      </c>
      <c r="H70" s="24">
        <f t="shared" si="42"/>
        <v>1740000</v>
      </c>
      <c r="I70" s="24">
        <f t="shared" si="42"/>
        <v>1740000</v>
      </c>
      <c r="J70" s="24">
        <f t="shared" si="42"/>
        <v>1740000</v>
      </c>
      <c r="K70" s="24">
        <f t="shared" si="42"/>
        <v>1500000</v>
      </c>
      <c r="L70" s="24">
        <f t="shared" si="42"/>
        <v>1788000</v>
      </c>
      <c r="M70" s="24">
        <f t="shared" si="42"/>
        <v>1788000</v>
      </c>
      <c r="N70" s="25">
        <f t="shared" si="42"/>
        <v>1788000</v>
      </c>
      <c r="O70" s="42" t="s">
        <v>126</v>
      </c>
      <c r="P70" s="38">
        <v>1</v>
      </c>
    </row>
    <row r="71" spans="2:16">
      <c r="B71" s="26" t="s">
        <v>15</v>
      </c>
      <c r="C71" s="26" t="s">
        <v>56</v>
      </c>
      <c r="D71" s="27">
        <f t="shared" ref="D71:N71" si="43">1500000*D7*120%</f>
        <v>2358000</v>
      </c>
      <c r="E71" s="27">
        <f t="shared" si="43"/>
        <v>2718000</v>
      </c>
      <c r="F71" s="27">
        <f t="shared" si="43"/>
        <v>2304000</v>
      </c>
      <c r="G71" s="27">
        <f t="shared" si="43"/>
        <v>1800000</v>
      </c>
      <c r="H71" s="27">
        <f t="shared" si="43"/>
        <v>2610000</v>
      </c>
      <c r="I71" s="27">
        <f t="shared" si="43"/>
        <v>2610000</v>
      </c>
      <c r="J71" s="27">
        <f t="shared" si="43"/>
        <v>2610000</v>
      </c>
      <c r="K71" s="27">
        <f t="shared" si="43"/>
        <v>2250000</v>
      </c>
      <c r="L71" s="27">
        <f t="shared" si="43"/>
        <v>2682000</v>
      </c>
      <c r="M71" s="27">
        <f t="shared" si="43"/>
        <v>2682000</v>
      </c>
      <c r="N71" s="28">
        <f t="shared" si="43"/>
        <v>2682000</v>
      </c>
      <c r="O71" s="42" t="s">
        <v>126</v>
      </c>
      <c r="P71" s="38">
        <v>1</v>
      </c>
    </row>
    <row r="72" spans="2:16" ht="15.5">
      <c r="B72" s="29"/>
      <c r="C72" s="32"/>
      <c r="D72" s="12" t="s">
        <v>76</v>
      </c>
      <c r="E72" s="12" t="s">
        <v>78</v>
      </c>
      <c r="F72" s="12" t="s">
        <v>81</v>
      </c>
      <c r="G72" s="12" t="s">
        <v>27</v>
      </c>
      <c r="H72" s="12" t="s">
        <v>85</v>
      </c>
      <c r="I72" s="12" t="s">
        <v>87</v>
      </c>
      <c r="J72" s="12" t="s">
        <v>89</v>
      </c>
      <c r="K72" s="12" t="s">
        <v>92</v>
      </c>
      <c r="L72" s="12" t="s">
        <v>94</v>
      </c>
      <c r="M72" s="12" t="s">
        <v>96</v>
      </c>
      <c r="N72" s="13" t="s">
        <v>98</v>
      </c>
      <c r="O72" s="41"/>
      <c r="P72" s="2"/>
    </row>
    <row r="73" spans="2:16">
      <c r="B73" s="19" t="s">
        <v>118</v>
      </c>
      <c r="C73" s="19" t="s">
        <v>58</v>
      </c>
      <c r="D73" s="20">
        <f t="shared" ref="D73:N73" si="44">3700000*D7</f>
        <v>4847000</v>
      </c>
      <c r="E73" s="20">
        <f t="shared" si="44"/>
        <v>5587000</v>
      </c>
      <c r="F73" s="20">
        <f t="shared" si="44"/>
        <v>4736000</v>
      </c>
      <c r="G73" s="20">
        <f t="shared" si="44"/>
        <v>3700000</v>
      </c>
      <c r="H73" s="20">
        <f t="shared" si="44"/>
        <v>5365000</v>
      </c>
      <c r="I73" s="20">
        <f t="shared" si="44"/>
        <v>5365000</v>
      </c>
      <c r="J73" s="20">
        <f t="shared" si="44"/>
        <v>5365000</v>
      </c>
      <c r="K73" s="20">
        <f t="shared" si="44"/>
        <v>4625000</v>
      </c>
      <c r="L73" s="20">
        <f t="shared" si="44"/>
        <v>5513000</v>
      </c>
      <c r="M73" s="20">
        <f t="shared" si="44"/>
        <v>5513000</v>
      </c>
      <c r="N73" s="21">
        <f t="shared" si="44"/>
        <v>5513000</v>
      </c>
      <c r="O73" s="42" t="s">
        <v>126</v>
      </c>
      <c r="P73" s="38">
        <v>1</v>
      </c>
    </row>
    <row r="74" spans="2:16">
      <c r="B74" s="22" t="s">
        <v>121</v>
      </c>
      <c r="C74" s="22" t="s">
        <v>58</v>
      </c>
      <c r="D74" s="23">
        <f t="shared" ref="D74:N74" si="45">3700000*D7</f>
        <v>4847000</v>
      </c>
      <c r="E74" s="23">
        <f t="shared" si="45"/>
        <v>5587000</v>
      </c>
      <c r="F74" s="23">
        <f t="shared" si="45"/>
        <v>4736000</v>
      </c>
      <c r="G74" s="23">
        <f t="shared" si="45"/>
        <v>3700000</v>
      </c>
      <c r="H74" s="23">
        <f t="shared" si="45"/>
        <v>5365000</v>
      </c>
      <c r="I74" s="23">
        <f t="shared" si="45"/>
        <v>5365000</v>
      </c>
      <c r="J74" s="23">
        <f t="shared" si="45"/>
        <v>5365000</v>
      </c>
      <c r="K74" s="23">
        <f t="shared" si="45"/>
        <v>4625000</v>
      </c>
      <c r="L74" s="23">
        <f t="shared" si="45"/>
        <v>5513000</v>
      </c>
      <c r="M74" s="23">
        <f t="shared" si="45"/>
        <v>5513000</v>
      </c>
      <c r="N74" s="31">
        <f t="shared" si="45"/>
        <v>5513000</v>
      </c>
      <c r="O74" s="42" t="s">
        <v>126</v>
      </c>
      <c r="P74" s="38">
        <v>1</v>
      </c>
    </row>
    <row r="75" spans="2:16">
      <c r="B75" s="1" t="s">
        <v>122</v>
      </c>
      <c r="C75" s="1" t="s">
        <v>58</v>
      </c>
      <c r="D75" s="24">
        <f t="shared" ref="D75:N75" si="46">3700000*D7*80%</f>
        <v>3877600</v>
      </c>
      <c r="E75" s="24">
        <f t="shared" si="46"/>
        <v>4469600</v>
      </c>
      <c r="F75" s="24">
        <f t="shared" si="46"/>
        <v>3788800</v>
      </c>
      <c r="G75" s="24">
        <f t="shared" si="46"/>
        <v>2960000</v>
      </c>
      <c r="H75" s="24">
        <f t="shared" si="46"/>
        <v>4292000</v>
      </c>
      <c r="I75" s="24">
        <f t="shared" si="46"/>
        <v>4292000</v>
      </c>
      <c r="J75" s="24">
        <f t="shared" si="46"/>
        <v>4292000</v>
      </c>
      <c r="K75" s="24">
        <f t="shared" si="46"/>
        <v>3700000</v>
      </c>
      <c r="L75" s="24">
        <f t="shared" si="46"/>
        <v>4410400</v>
      </c>
      <c r="M75" s="24">
        <f t="shared" si="46"/>
        <v>4410400</v>
      </c>
      <c r="N75" s="25">
        <f t="shared" si="46"/>
        <v>4410400</v>
      </c>
      <c r="O75" s="42" t="s">
        <v>126</v>
      </c>
      <c r="P75" s="38">
        <v>1</v>
      </c>
    </row>
    <row r="76" spans="2:16">
      <c r="B76" s="26" t="s">
        <v>15</v>
      </c>
      <c r="C76" s="26" t="s">
        <v>58</v>
      </c>
      <c r="D76" s="27">
        <f t="shared" ref="D76:N76" si="47">3700000*D7*120%</f>
        <v>5816400</v>
      </c>
      <c r="E76" s="27">
        <f t="shared" si="47"/>
        <v>6704400</v>
      </c>
      <c r="F76" s="27">
        <f t="shared" si="47"/>
        <v>5683200</v>
      </c>
      <c r="G76" s="27">
        <f t="shared" si="47"/>
        <v>4440000</v>
      </c>
      <c r="H76" s="27">
        <f t="shared" si="47"/>
        <v>6438000</v>
      </c>
      <c r="I76" s="27">
        <f t="shared" si="47"/>
        <v>6438000</v>
      </c>
      <c r="J76" s="27">
        <f t="shared" si="47"/>
        <v>6438000</v>
      </c>
      <c r="K76" s="27">
        <f t="shared" si="47"/>
        <v>5550000</v>
      </c>
      <c r="L76" s="27">
        <f t="shared" si="47"/>
        <v>6615600</v>
      </c>
      <c r="M76" s="27">
        <f t="shared" si="47"/>
        <v>6615600</v>
      </c>
      <c r="N76" s="28">
        <f t="shared" si="47"/>
        <v>6615600</v>
      </c>
      <c r="O76" s="42" t="s">
        <v>126</v>
      </c>
      <c r="P76" s="38">
        <v>1</v>
      </c>
    </row>
    <row r="77" spans="2:16" ht="15.5">
      <c r="B77" s="29"/>
      <c r="C77" s="32"/>
      <c r="D77" s="12" t="s">
        <v>76</v>
      </c>
      <c r="E77" s="12" t="s">
        <v>78</v>
      </c>
      <c r="F77" s="12" t="s">
        <v>81</v>
      </c>
      <c r="G77" s="12" t="e">
        <f>INDEX('[1]HARGA SATUAN MAX'!B67:N71, MATCH(#REF!, '[1]HARGA SATUAN MAX'!B67:B71, 0), MATCH(#REF!, '[1]HARGA SATUAN MAX'!B61:N61, 0))</f>
        <v>#REF!</v>
      </c>
      <c r="H77" s="12" t="s">
        <v>85</v>
      </c>
      <c r="I77" s="12" t="s">
        <v>87</v>
      </c>
      <c r="J77" s="12" t="s">
        <v>89</v>
      </c>
      <c r="K77" s="12" t="s">
        <v>92</v>
      </c>
      <c r="L77" s="12" t="s">
        <v>94</v>
      </c>
      <c r="M77" s="12" t="s">
        <v>96</v>
      </c>
      <c r="N77" s="13" t="s">
        <v>98</v>
      </c>
      <c r="O77" s="41"/>
      <c r="P77" s="2"/>
    </row>
    <row r="78" spans="2:16">
      <c r="B78" s="19" t="s">
        <v>118</v>
      </c>
      <c r="C78" s="33" t="s">
        <v>60</v>
      </c>
      <c r="D78" s="20">
        <f t="shared" ref="D78:N78" si="48">100000*D7</f>
        <v>131000</v>
      </c>
      <c r="E78" s="20">
        <f t="shared" si="48"/>
        <v>151000</v>
      </c>
      <c r="F78" s="20">
        <f t="shared" si="48"/>
        <v>128000</v>
      </c>
      <c r="G78" s="20">
        <f t="shared" si="48"/>
        <v>100000</v>
      </c>
      <c r="H78" s="20">
        <f t="shared" si="48"/>
        <v>145000</v>
      </c>
      <c r="I78" s="20">
        <f t="shared" si="48"/>
        <v>145000</v>
      </c>
      <c r="J78" s="20">
        <f t="shared" si="48"/>
        <v>145000</v>
      </c>
      <c r="K78" s="20">
        <f t="shared" si="48"/>
        <v>125000</v>
      </c>
      <c r="L78" s="20">
        <f t="shared" si="48"/>
        <v>149000</v>
      </c>
      <c r="M78" s="20">
        <f t="shared" si="48"/>
        <v>149000</v>
      </c>
      <c r="N78" s="20">
        <f t="shared" si="48"/>
        <v>149000</v>
      </c>
      <c r="O78" s="42" t="s">
        <v>123</v>
      </c>
      <c r="P78" s="38">
        <v>0</v>
      </c>
    </row>
    <row r="79" spans="2:16">
      <c r="B79" s="22" t="s">
        <v>121</v>
      </c>
      <c r="C79" s="33" t="s">
        <v>60</v>
      </c>
      <c r="D79" s="23">
        <f t="shared" ref="D79:N79" si="49">150000*D7</f>
        <v>196500</v>
      </c>
      <c r="E79" s="23">
        <f t="shared" si="49"/>
        <v>226500</v>
      </c>
      <c r="F79" s="23">
        <f t="shared" si="49"/>
        <v>192000</v>
      </c>
      <c r="G79" s="23">
        <f t="shared" si="49"/>
        <v>150000</v>
      </c>
      <c r="H79" s="23">
        <f t="shared" si="49"/>
        <v>217500</v>
      </c>
      <c r="I79" s="23">
        <f t="shared" si="49"/>
        <v>217500</v>
      </c>
      <c r="J79" s="23">
        <f t="shared" si="49"/>
        <v>217500</v>
      </c>
      <c r="K79" s="23">
        <f t="shared" si="49"/>
        <v>187500</v>
      </c>
      <c r="L79" s="23">
        <f t="shared" si="49"/>
        <v>223500</v>
      </c>
      <c r="M79" s="23">
        <f t="shared" si="49"/>
        <v>223500</v>
      </c>
      <c r="N79" s="23">
        <f t="shared" si="49"/>
        <v>223500</v>
      </c>
      <c r="O79" s="43" t="s">
        <v>123</v>
      </c>
      <c r="P79" s="38">
        <v>0</v>
      </c>
    </row>
    <row r="80" spans="2:16">
      <c r="B80" s="1" t="s">
        <v>122</v>
      </c>
      <c r="C80" s="33" t="s">
        <v>60</v>
      </c>
      <c r="D80" s="24">
        <f t="shared" ref="D80:N80" si="50">150000*D7*80%</f>
        <v>157200</v>
      </c>
      <c r="E80" s="24">
        <f t="shared" si="50"/>
        <v>181200</v>
      </c>
      <c r="F80" s="24">
        <f t="shared" si="50"/>
        <v>153600</v>
      </c>
      <c r="G80" s="24">
        <f t="shared" si="50"/>
        <v>120000</v>
      </c>
      <c r="H80" s="24">
        <f t="shared" si="50"/>
        <v>174000</v>
      </c>
      <c r="I80" s="24">
        <f t="shared" si="50"/>
        <v>174000</v>
      </c>
      <c r="J80" s="24">
        <f t="shared" si="50"/>
        <v>174000</v>
      </c>
      <c r="K80" s="24">
        <f t="shared" si="50"/>
        <v>150000</v>
      </c>
      <c r="L80" s="24">
        <f t="shared" si="50"/>
        <v>178800</v>
      </c>
      <c r="M80" s="24">
        <f t="shared" si="50"/>
        <v>178800</v>
      </c>
      <c r="N80" s="24">
        <f t="shared" si="50"/>
        <v>178800</v>
      </c>
      <c r="O80" s="42" t="s">
        <v>123</v>
      </c>
      <c r="P80" s="38">
        <v>0</v>
      </c>
    </row>
    <row r="81" spans="2:16">
      <c r="B81" s="26" t="s">
        <v>15</v>
      </c>
      <c r="C81" s="33" t="s">
        <v>60</v>
      </c>
      <c r="D81" s="27">
        <f t="shared" ref="D81:N81" si="51">150000*D7*120%</f>
        <v>235800</v>
      </c>
      <c r="E81" s="27">
        <f t="shared" si="51"/>
        <v>271800</v>
      </c>
      <c r="F81" s="27">
        <f t="shared" si="51"/>
        <v>230400</v>
      </c>
      <c r="G81" s="27">
        <f t="shared" si="51"/>
        <v>180000</v>
      </c>
      <c r="H81" s="27">
        <f t="shared" si="51"/>
        <v>261000</v>
      </c>
      <c r="I81" s="27">
        <f t="shared" si="51"/>
        <v>261000</v>
      </c>
      <c r="J81" s="27">
        <f t="shared" si="51"/>
        <v>261000</v>
      </c>
      <c r="K81" s="27">
        <f t="shared" si="51"/>
        <v>225000</v>
      </c>
      <c r="L81" s="27">
        <f t="shared" si="51"/>
        <v>268200</v>
      </c>
      <c r="M81" s="27">
        <f t="shared" si="51"/>
        <v>268200</v>
      </c>
      <c r="N81" s="27">
        <f t="shared" si="51"/>
        <v>268200</v>
      </c>
      <c r="O81" s="42" t="s">
        <v>123</v>
      </c>
      <c r="P81" s="38">
        <v>0</v>
      </c>
    </row>
    <row r="87" spans="2:16">
      <c r="C87" s="19" t="s">
        <v>44</v>
      </c>
    </row>
    <row r="88" spans="2:16">
      <c r="C88" s="30" t="s">
        <v>46</v>
      </c>
    </row>
    <row r="89" spans="2:16">
      <c r="C89" s="33" t="s">
        <v>48</v>
      </c>
    </row>
    <row r="90" spans="2:16">
      <c r="C90" s="33" t="s">
        <v>49</v>
      </c>
    </row>
    <row r="91" spans="2:16">
      <c r="C91" s="19" t="s">
        <v>51</v>
      </c>
    </row>
    <row r="92" spans="2:16">
      <c r="C92" s="19" t="s">
        <v>53</v>
      </c>
    </row>
    <row r="93" spans="2:16">
      <c r="C93" s="19" t="s">
        <v>54</v>
      </c>
    </row>
    <row r="94" spans="2:16">
      <c r="C94" s="19" t="s">
        <v>55</v>
      </c>
    </row>
    <row r="95" spans="2:16">
      <c r="C95" s="19" t="s">
        <v>56</v>
      </c>
    </row>
    <row r="96" spans="2:16">
      <c r="C96" s="19" t="s">
        <v>58</v>
      </c>
    </row>
    <row r="97" spans="3:3">
      <c r="C97" s="33" t="s">
        <v>59</v>
      </c>
    </row>
    <row r="98" spans="3:3">
      <c r="C98" s="33" t="s">
        <v>60</v>
      </c>
    </row>
    <row r="99" spans="3:3">
      <c r="C99" s="33" t="s">
        <v>124</v>
      </c>
    </row>
  </sheetData>
  <mergeCells count="1">
    <mergeCell ref="B2:N4"/>
  </mergeCells>
  <dataValidations count="1">
    <dataValidation type="list" allowBlank="1" showInputMessage="1" showErrorMessage="1" sqref="Q7:Q16 O13:O16 O18:O21 O23:O26 O33:O36 O73:O76 O43:O46 O48:O51 O53:O56 O68:O71 O38:O41 O78:O81" xr:uid="{BA1C37FB-A31A-4BE0-A566-C12E066C8480}">
      <formula1>"Hari, Pax, Pcs, Jam, Event"</formula1>
    </dataValidation>
  </dataValidations>
  <pageMargins left="0.7" right="0.7" top="0.75" bottom="0.75" header="0.3" footer="0.3"/>
  <pageSetup paperSize="9" scale="75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RAB</vt:lpstr>
      <vt:lpstr>INDEKS RAB</vt:lpstr>
      <vt:lpstr>COST CENTER &amp; BEBAN ANGGARAN</vt:lpstr>
      <vt:lpstr>NORMA BIAYA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Fazar</dc:creator>
  <cp:keywords/>
  <dc:description/>
  <cp:lastModifiedBy>TCU Learning Admin 1</cp:lastModifiedBy>
  <cp:revision/>
  <dcterms:created xsi:type="dcterms:W3CDTF">2026-04-06T09:18:23Z</dcterms:created>
  <dcterms:modified xsi:type="dcterms:W3CDTF">2026-10-18T10:28:44Z</dcterms:modified>
  <cp:category/>
  <cp:contentStatus/>
</cp:coreProperties>
</file>