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zf\tczf\收益率计算\"/>
    </mc:Choice>
  </mc:AlternateContent>
  <xr:revisionPtr revIDLastSave="0" documentId="13_ncr:1_{3401610C-FCB0-4765-BE6E-07BD5BF2305E}" xr6:coauthVersionLast="47" xr6:coauthVersionMax="47" xr10:uidLastSave="{00000000-0000-0000-0000-000000000000}"/>
  <bookViews>
    <workbookView xWindow="28680" yWindow="-120" windowWidth="29040" windowHeight="15840" xr2:uid="{780C6CD8-9B97-47E2-89A7-CF8BA4931DD9}"/>
  </bookViews>
  <sheets>
    <sheet name="场景" sheetId="1" r:id="rId1"/>
    <sheet name="股票" sheetId="4" r:id="rId2"/>
    <sheet name="债券" sheetId="5" r:id="rId3"/>
    <sheet name="基金" sheetId="6" r:id="rId4"/>
    <sheet name="可转(交)债" sheetId="2" r:id="rId5"/>
    <sheet name="ETF " sheetId="3" r:id="rId6"/>
    <sheet name="回购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7" l="1"/>
  <c r="F42" i="7"/>
  <c r="H42" i="7"/>
  <c r="J42" i="7"/>
  <c r="I42" i="7"/>
  <c r="K42" i="7"/>
  <c r="L42" i="7"/>
  <c r="G42" i="7"/>
  <c r="C40" i="7"/>
  <c r="E41" i="7"/>
  <c r="F41" i="7"/>
  <c r="H41" i="7"/>
  <c r="J41" i="7"/>
  <c r="I41" i="7"/>
  <c r="K41" i="7"/>
  <c r="L41" i="7"/>
  <c r="G41" i="7"/>
  <c r="C39" i="7"/>
  <c r="E40" i="7"/>
  <c r="F40" i="7"/>
  <c r="H40" i="7"/>
  <c r="J40" i="7"/>
  <c r="I40" i="7"/>
  <c r="K40" i="7"/>
  <c r="L40" i="7"/>
  <c r="G40" i="7"/>
  <c r="C38" i="7"/>
  <c r="E39" i="7"/>
  <c r="F39" i="7"/>
  <c r="H39" i="7"/>
  <c r="J39" i="7"/>
  <c r="I39" i="7"/>
  <c r="K39" i="7"/>
  <c r="L39" i="7"/>
  <c r="G39" i="7"/>
  <c r="C37" i="7"/>
  <c r="E38" i="7"/>
  <c r="F38" i="7"/>
  <c r="H38" i="7"/>
  <c r="J38" i="7"/>
  <c r="I38" i="7"/>
  <c r="K38" i="7"/>
  <c r="L38" i="7"/>
  <c r="G38" i="7"/>
  <c r="E37" i="7"/>
  <c r="F37" i="7"/>
  <c r="H37" i="7"/>
  <c r="J37" i="7"/>
  <c r="I37" i="7"/>
  <c r="K37" i="7"/>
  <c r="L37" i="7"/>
  <c r="G37" i="7"/>
  <c r="H36" i="7"/>
  <c r="J36" i="7"/>
  <c r="E36" i="7"/>
  <c r="K36" i="7"/>
  <c r="L36" i="7"/>
  <c r="E48" i="7"/>
  <c r="K48" i="7"/>
  <c r="F50" i="7"/>
  <c r="C49" i="7"/>
  <c r="I50" i="7"/>
  <c r="K50" i="7"/>
  <c r="F51" i="7"/>
  <c r="C50" i="7"/>
  <c r="I51" i="7"/>
  <c r="K51" i="7"/>
  <c r="F52" i="7"/>
  <c r="C51" i="7"/>
  <c r="I52" i="7"/>
  <c r="K52" i="7"/>
  <c r="F53" i="7"/>
  <c r="C52" i="7"/>
  <c r="I53" i="7"/>
  <c r="K53" i="7"/>
  <c r="F54" i="7"/>
  <c r="C53" i="7"/>
  <c r="I54" i="7"/>
  <c r="K54" i="7"/>
  <c r="F49" i="7"/>
  <c r="I49" i="7"/>
  <c r="K49" i="7"/>
  <c r="H48" i="7"/>
  <c r="J48" i="7"/>
  <c r="L48" i="7"/>
  <c r="H54" i="7"/>
  <c r="J54" i="7"/>
  <c r="L54" i="7"/>
  <c r="G54" i="7"/>
  <c r="E53" i="7"/>
  <c r="H53" i="7"/>
  <c r="J53" i="7"/>
  <c r="L53" i="7"/>
  <c r="G53" i="7"/>
  <c r="E52" i="7"/>
  <c r="H52" i="7"/>
  <c r="J52" i="7"/>
  <c r="L52" i="7"/>
  <c r="G52" i="7"/>
  <c r="E51" i="7"/>
  <c r="H51" i="7"/>
  <c r="J51" i="7"/>
  <c r="L51" i="7"/>
  <c r="G51" i="7"/>
  <c r="E50" i="7"/>
  <c r="H50" i="7"/>
  <c r="J50" i="7"/>
  <c r="L50" i="7"/>
  <c r="G50" i="7"/>
  <c r="E49" i="7"/>
  <c r="H49" i="7"/>
  <c r="J49" i="7"/>
  <c r="L49" i="7"/>
  <c r="G49" i="7"/>
  <c r="C30" i="7"/>
  <c r="E31" i="7"/>
  <c r="F31" i="7"/>
  <c r="H31" i="7"/>
  <c r="J31" i="7"/>
  <c r="I31" i="7"/>
  <c r="K31" i="7"/>
  <c r="L31" i="7"/>
  <c r="G31" i="7"/>
  <c r="C29" i="7"/>
  <c r="E30" i="7"/>
  <c r="F30" i="7"/>
  <c r="H30" i="7"/>
  <c r="J30" i="7"/>
  <c r="I30" i="7"/>
  <c r="K30" i="7"/>
  <c r="L30" i="7"/>
  <c r="G30" i="7"/>
  <c r="C28" i="7"/>
  <c r="E29" i="7"/>
  <c r="F29" i="7"/>
  <c r="H29" i="7"/>
  <c r="J29" i="7"/>
  <c r="I29" i="7"/>
  <c r="K29" i="7"/>
  <c r="L29" i="7"/>
  <c r="G29" i="7"/>
  <c r="C27" i="7"/>
  <c r="E28" i="7"/>
  <c r="F28" i="7"/>
  <c r="H28" i="7"/>
  <c r="J28" i="7"/>
  <c r="I28" i="7"/>
  <c r="K28" i="7"/>
  <c r="L28" i="7"/>
  <c r="G28" i="7"/>
  <c r="C26" i="7"/>
  <c r="E27" i="7"/>
  <c r="F27" i="7"/>
  <c r="H27" i="7"/>
  <c r="J27" i="7"/>
  <c r="I27" i="7"/>
  <c r="K27" i="7"/>
  <c r="L27" i="7"/>
  <c r="G27" i="7"/>
  <c r="E26" i="7"/>
  <c r="F26" i="7"/>
  <c r="H26" i="7"/>
  <c r="J26" i="7"/>
  <c r="I26" i="7"/>
  <c r="K26" i="7"/>
  <c r="L26" i="7"/>
  <c r="G26" i="7"/>
  <c r="E25" i="7"/>
  <c r="F25" i="7"/>
  <c r="H25" i="7"/>
  <c r="J25" i="7"/>
  <c r="I25" i="7"/>
  <c r="K25" i="7"/>
  <c r="L25" i="7"/>
  <c r="G25" i="7"/>
  <c r="C15" i="7"/>
  <c r="E16" i="7"/>
  <c r="F16" i="7"/>
  <c r="H16" i="7"/>
  <c r="J16" i="7"/>
  <c r="I16" i="7"/>
  <c r="K16" i="7"/>
  <c r="L16" i="7"/>
  <c r="G16" i="7"/>
  <c r="C14" i="7"/>
  <c r="E15" i="7"/>
  <c r="F15" i="7"/>
  <c r="H15" i="7"/>
  <c r="J15" i="7"/>
  <c r="I15" i="7"/>
  <c r="K15" i="7"/>
  <c r="L15" i="7"/>
  <c r="G15" i="7"/>
  <c r="C13" i="7"/>
  <c r="E14" i="7"/>
  <c r="F14" i="7"/>
  <c r="H14" i="7"/>
  <c r="J14" i="7"/>
  <c r="I14" i="7"/>
  <c r="K14" i="7"/>
  <c r="L14" i="7"/>
  <c r="G14" i="7"/>
  <c r="C12" i="7"/>
  <c r="E13" i="7"/>
  <c r="F13" i="7"/>
  <c r="H13" i="7"/>
  <c r="J13" i="7"/>
  <c r="I13" i="7"/>
  <c r="K13" i="7"/>
  <c r="L13" i="7"/>
  <c r="G13" i="7"/>
  <c r="C11" i="7"/>
  <c r="E12" i="7"/>
  <c r="F12" i="7"/>
  <c r="H12" i="7"/>
  <c r="J12" i="7"/>
  <c r="I12" i="7"/>
  <c r="K12" i="7"/>
  <c r="L12" i="7"/>
  <c r="G12" i="7"/>
  <c r="E11" i="7"/>
  <c r="F11" i="7"/>
  <c r="H11" i="7"/>
  <c r="J11" i="7"/>
  <c r="I11" i="7"/>
  <c r="K11" i="7"/>
  <c r="L11" i="7"/>
  <c r="G11" i="7"/>
  <c r="E10" i="7"/>
  <c r="F10" i="7"/>
  <c r="H10" i="7"/>
  <c r="J10" i="7"/>
  <c r="I10" i="7"/>
  <c r="K10" i="7"/>
  <c r="L10" i="7"/>
  <c r="G10" i="7"/>
  <c r="E4" i="7"/>
  <c r="F4" i="7"/>
  <c r="H4" i="7"/>
  <c r="J4" i="7"/>
  <c r="I4" i="7"/>
  <c r="K4" i="7"/>
  <c r="L4" i="7"/>
  <c r="G4" i="7"/>
  <c r="G28" i="6"/>
  <c r="H28" i="6"/>
  <c r="K28" i="6"/>
  <c r="K24" i="6"/>
  <c r="K23" i="6"/>
  <c r="K13" i="6"/>
  <c r="K4" i="6"/>
  <c r="F28" i="6"/>
  <c r="E28" i="6"/>
  <c r="C37" i="4"/>
  <c r="F34" i="4"/>
  <c r="G34" i="4"/>
  <c r="H34" i="4"/>
  <c r="K34" i="4"/>
  <c r="E34" i="4"/>
  <c r="L34" i="4"/>
  <c r="L30" i="4"/>
  <c r="L29" i="4"/>
  <c r="F30" i="5"/>
  <c r="G30" i="5"/>
  <c r="H30" i="5"/>
  <c r="I30" i="5"/>
  <c r="J30" i="5"/>
  <c r="E30" i="5"/>
  <c r="M30" i="5"/>
  <c r="C21" i="3" a="1"/>
  <c r="L19" i="3"/>
  <c r="M19" i="3"/>
  <c r="C21" i="3"/>
  <c r="F16" i="3"/>
  <c r="F17" i="3"/>
  <c r="F18" i="3"/>
  <c r="L11" i="3"/>
  <c r="L12" i="3"/>
  <c r="L13" i="3"/>
  <c r="K14" i="3"/>
  <c r="E14" i="3"/>
  <c r="J10" i="3"/>
  <c r="M8" i="3"/>
  <c r="M9" i="3"/>
  <c r="M10" i="3"/>
  <c r="M11" i="3"/>
  <c r="M12" i="3"/>
  <c r="M13" i="3"/>
  <c r="F14" i="3"/>
  <c r="M14" i="3"/>
  <c r="F15" i="3"/>
  <c r="M15" i="3"/>
  <c r="M16" i="3"/>
  <c r="M17" i="3"/>
  <c r="M18" i="3"/>
  <c r="F19" i="3"/>
  <c r="M7" i="3"/>
  <c r="K26" i="5"/>
  <c r="M26" i="5"/>
  <c r="M25" i="5"/>
  <c r="M14" i="5"/>
  <c r="M6" i="5"/>
  <c r="L21" i="4"/>
  <c r="L16" i="4"/>
  <c r="M6" i="4"/>
  <c r="H6" i="4"/>
  <c r="L3" i="2"/>
  <c r="L4" i="2"/>
  <c r="L5" i="2"/>
  <c r="C24" i="2" a="1"/>
  <c r="C24" i="2"/>
  <c r="M20" i="2"/>
  <c r="G7" i="2"/>
  <c r="G5" i="2"/>
  <c r="G6" i="2"/>
  <c r="G4" i="2"/>
  <c r="G3" i="2"/>
  <c r="M19" i="2"/>
  <c r="M18" i="2"/>
  <c r="M17" i="2"/>
  <c r="M16" i="2"/>
  <c r="C22" i="2" a="1"/>
  <c r="C22" i="2"/>
  <c r="C23" i="2" a="1"/>
  <c r="C23" i="2"/>
</calcChain>
</file>

<file path=xl/sharedStrings.xml><?xml version="1.0" encoding="utf-8"?>
<sst xmlns="http://schemas.openxmlformats.org/spreadsheetml/2006/main" count="420" uniqueCount="134">
  <si>
    <t>债转股</t>
    <phoneticPr fontId="3" type="noConversion"/>
  </si>
  <si>
    <t>序号</t>
    <phoneticPr fontId="3" type="noConversion"/>
  </si>
  <si>
    <t>转托管</t>
    <phoneticPr fontId="3" type="noConversion"/>
  </si>
  <si>
    <t>新股</t>
    <phoneticPr fontId="3" type="noConversion"/>
  </si>
  <si>
    <t>非新股</t>
    <phoneticPr fontId="3" type="noConversion"/>
  </si>
  <si>
    <t>分红</t>
    <phoneticPr fontId="3" type="noConversion"/>
  </si>
  <si>
    <t>业务品种</t>
    <phoneticPr fontId="3" type="noConversion"/>
  </si>
  <si>
    <t>业务类型</t>
    <phoneticPr fontId="3" type="noConversion"/>
  </si>
  <si>
    <t>可转（交）债</t>
    <phoneticPr fontId="3" type="noConversion"/>
  </si>
  <si>
    <t xml:space="preserve">ETF </t>
    <phoneticPr fontId="3" type="noConversion"/>
  </si>
  <si>
    <t>篮子申购赎回</t>
    <phoneticPr fontId="3" type="noConversion"/>
  </si>
  <si>
    <t>股票</t>
    <phoneticPr fontId="3" type="noConversion"/>
  </si>
  <si>
    <t>打新</t>
    <phoneticPr fontId="3" type="noConversion"/>
  </si>
  <si>
    <t>债券</t>
    <phoneticPr fontId="3" type="noConversion"/>
  </si>
  <si>
    <t>付息</t>
    <phoneticPr fontId="3" type="noConversion"/>
  </si>
  <si>
    <t>提前还本</t>
    <phoneticPr fontId="3" type="noConversion"/>
  </si>
  <si>
    <t>基金</t>
    <phoneticPr fontId="3" type="noConversion"/>
  </si>
  <si>
    <t>拆分</t>
    <phoneticPr fontId="3" type="noConversion"/>
  </si>
  <si>
    <t>基金转换</t>
    <phoneticPr fontId="3" type="noConversion"/>
  </si>
  <si>
    <t>对应用例</t>
    <phoneticPr fontId="3" type="noConversion"/>
  </si>
  <si>
    <t>日期</t>
    <phoneticPr fontId="3" type="noConversion"/>
  </si>
  <si>
    <t>今日数量</t>
    <phoneticPr fontId="3" type="noConversion"/>
  </si>
  <si>
    <t>昨日数量</t>
    <phoneticPr fontId="3" type="noConversion"/>
  </si>
  <si>
    <t>今日市值</t>
  </si>
  <si>
    <t>今日市值</t>
    <phoneticPr fontId="3" type="noConversion"/>
  </si>
  <si>
    <t>昨日市值</t>
  </si>
  <si>
    <t>昨日市值</t>
    <phoneticPr fontId="3" type="noConversion"/>
  </si>
  <si>
    <t>转股价格</t>
    <phoneticPr fontId="3" type="noConversion"/>
  </si>
  <si>
    <t>股票代码</t>
    <phoneticPr fontId="3" type="noConversion"/>
  </si>
  <si>
    <t>投资收益率</t>
    <phoneticPr fontId="3" type="noConversion"/>
  </si>
  <si>
    <t>证券名称</t>
    <phoneticPr fontId="3" type="noConversion"/>
  </si>
  <si>
    <t>证券代码</t>
    <phoneticPr fontId="3" type="noConversion"/>
  </si>
  <si>
    <t>东财转3</t>
    <phoneticPr fontId="3" type="noConversion"/>
  </si>
  <si>
    <t>123111.BOND.SZ</t>
    <phoneticPr fontId="3" type="noConversion"/>
  </si>
  <si>
    <t>应计利息</t>
    <phoneticPr fontId="3" type="noConversion"/>
  </si>
  <si>
    <t>今日应计利息</t>
    <phoneticPr fontId="3" type="noConversion"/>
  </si>
  <si>
    <t>昨日应计利息</t>
    <phoneticPr fontId="3" type="noConversion"/>
  </si>
  <si>
    <t>东方财富</t>
    <phoneticPr fontId="3" type="noConversion"/>
  </si>
  <si>
    <t>今日流入</t>
    <phoneticPr fontId="3" type="noConversion"/>
  </si>
  <si>
    <t>今日流出</t>
    <phoneticPr fontId="3" type="noConversion"/>
  </si>
  <si>
    <t>300059.STK.SZ</t>
    <phoneticPr fontId="3" type="noConversion"/>
  </si>
  <si>
    <t>持仓数据</t>
    <phoneticPr fontId="3" type="noConversion"/>
  </si>
  <si>
    <t>市值</t>
    <phoneticPr fontId="3" type="noConversion"/>
  </si>
  <si>
    <t>数量</t>
    <phoneticPr fontId="3" type="noConversion"/>
  </si>
  <si>
    <t>单价</t>
    <phoneticPr fontId="3" type="noConversion"/>
  </si>
  <si>
    <t>估增</t>
    <phoneticPr fontId="3" type="noConversion"/>
  </si>
  <si>
    <t>交易数据</t>
    <phoneticPr fontId="3" type="noConversion"/>
  </si>
  <si>
    <t>成交金额</t>
    <phoneticPr fontId="3" type="noConversion"/>
  </si>
  <si>
    <t>交易类型</t>
    <phoneticPr fontId="3" type="noConversion"/>
  </si>
  <si>
    <t>证券转换_买入</t>
    <phoneticPr fontId="3" type="noConversion"/>
  </si>
  <si>
    <t>证券转换_卖出</t>
    <phoneticPr fontId="3" type="noConversion"/>
  </si>
  <si>
    <t>收益率计算</t>
    <phoneticPr fontId="3" type="noConversion"/>
  </si>
  <si>
    <t>转债收益率</t>
    <phoneticPr fontId="3" type="noConversion"/>
  </si>
  <si>
    <t>转股后收益率</t>
    <phoneticPr fontId="3" type="noConversion"/>
  </si>
  <si>
    <t>合并后收益率</t>
    <phoneticPr fontId="3" type="noConversion"/>
  </si>
  <si>
    <t>转股数量</t>
    <phoneticPr fontId="3" type="noConversion"/>
  </si>
  <si>
    <t>残股价值</t>
    <phoneticPr fontId="3" type="noConversion"/>
  </si>
  <si>
    <t>残股数量</t>
    <phoneticPr fontId="3" type="noConversion"/>
  </si>
  <si>
    <t>原始数据</t>
    <phoneticPr fontId="3" type="noConversion"/>
  </si>
  <si>
    <t>股票A</t>
    <phoneticPr fontId="3" type="noConversion"/>
  </si>
  <si>
    <t>001.STK.SZ</t>
    <phoneticPr fontId="3" type="noConversion"/>
  </si>
  <si>
    <t>002.STK.SZ</t>
    <phoneticPr fontId="3" type="noConversion"/>
  </si>
  <si>
    <t>003.STK.SZ</t>
    <phoneticPr fontId="3" type="noConversion"/>
  </si>
  <si>
    <t>股票B</t>
    <phoneticPr fontId="3" type="noConversion"/>
  </si>
  <si>
    <t>股票C</t>
    <phoneticPr fontId="3" type="noConversion"/>
  </si>
  <si>
    <t>ETF</t>
    <phoneticPr fontId="3" type="noConversion"/>
  </si>
  <si>
    <t>5100501.FUND.SZ</t>
    <phoneticPr fontId="3" type="noConversion"/>
  </si>
  <si>
    <t>688501.STK.SH</t>
  </si>
  <si>
    <t>流入</t>
  </si>
  <si>
    <t>流出</t>
  </si>
  <si>
    <t>个券收益率</t>
  </si>
  <si>
    <t>板块</t>
  </si>
  <si>
    <t>首次持仓日期</t>
  </si>
  <si>
    <t>持仓日期</t>
  </si>
  <si>
    <t>上市日</t>
  </si>
  <si>
    <t>是否新股</t>
  </si>
  <si>
    <t>青达环保</t>
  </si>
  <si>
    <t>科创板</t>
  </si>
  <si>
    <t>股票名称</t>
    <phoneticPr fontId="3" type="noConversion"/>
  </si>
  <si>
    <t>最早持仓日期&lt;=上市日期 且 最大连续持仓&lt;=上市日期+30自然日</t>
    <phoneticPr fontId="3" type="noConversion"/>
  </si>
  <si>
    <t>新股收益率</t>
    <phoneticPr fontId="3" type="noConversion"/>
  </si>
  <si>
    <t>股利</t>
    <phoneticPr fontId="3" type="noConversion"/>
  </si>
  <si>
    <t>现金股利</t>
    <phoneticPr fontId="3" type="noConversion"/>
  </si>
  <si>
    <t>应收股利</t>
    <phoneticPr fontId="3" type="noConversion"/>
  </si>
  <si>
    <t>股利再投</t>
    <phoneticPr fontId="3" type="noConversion"/>
  </si>
  <si>
    <t>123111.STK.SZ</t>
    <phoneticPr fontId="3" type="noConversion"/>
  </si>
  <si>
    <t>债券1</t>
    <phoneticPr fontId="3" type="noConversion"/>
  </si>
  <si>
    <t>123111.BOND.YHJ</t>
    <phoneticPr fontId="3" type="noConversion"/>
  </si>
  <si>
    <t>基金1</t>
    <phoneticPr fontId="3" type="noConversion"/>
  </si>
  <si>
    <t>123111.FUND.NONE</t>
    <phoneticPr fontId="3" type="noConversion"/>
  </si>
  <si>
    <t>123110.FUND.NONE</t>
    <phoneticPr fontId="3" type="noConversion"/>
  </si>
  <si>
    <t>昨日价格</t>
    <phoneticPr fontId="3" type="noConversion"/>
  </si>
  <si>
    <t>ETF投资收益率</t>
    <phoneticPr fontId="3" type="noConversion"/>
  </si>
  <si>
    <t>申购赎回示意图</t>
    <phoneticPr fontId="3" type="noConversion"/>
  </si>
  <si>
    <t>股票-打新</t>
    <phoneticPr fontId="3" type="noConversion"/>
  </si>
  <si>
    <t>债券-付息</t>
    <phoneticPr fontId="3" type="noConversion"/>
  </si>
  <si>
    <t>债券-提前还本</t>
    <phoneticPr fontId="3" type="noConversion"/>
  </si>
  <si>
    <t>债券-转托管</t>
    <phoneticPr fontId="3" type="noConversion"/>
  </si>
  <si>
    <t>基金-分红</t>
    <phoneticPr fontId="3" type="noConversion"/>
  </si>
  <si>
    <t>基金-拆分</t>
    <phoneticPr fontId="3" type="noConversion"/>
  </si>
  <si>
    <t>基金-基金转换</t>
    <phoneticPr fontId="3" type="noConversion"/>
  </si>
  <si>
    <t>股票-股利</t>
    <phoneticPr fontId="3" type="noConversion"/>
  </si>
  <si>
    <t>转流通</t>
    <phoneticPr fontId="3" type="noConversion"/>
  </si>
  <si>
    <t>新股转流通</t>
    <phoneticPr fontId="3" type="noConversion"/>
  </si>
  <si>
    <t>合并后,需要将流入流出数据置为0计算</t>
    <phoneticPr fontId="3" type="noConversion"/>
  </si>
  <si>
    <t>转流通投资收益率</t>
    <phoneticPr fontId="3" type="noConversion"/>
  </si>
  <si>
    <t>分类</t>
    <phoneticPr fontId="3" type="noConversion"/>
  </si>
  <si>
    <t>按分类合并后,需要将流入流出数据置为0计算</t>
    <phoneticPr fontId="3" type="noConversion"/>
  </si>
  <si>
    <t>股票-转流通</t>
    <phoneticPr fontId="3" type="noConversion"/>
  </si>
  <si>
    <t>付息计入流出</t>
    <phoneticPr fontId="3" type="noConversion"/>
  </si>
  <si>
    <t>还本金额计入流出</t>
    <phoneticPr fontId="3" type="noConversion"/>
  </si>
  <si>
    <t>按分类合并后,需要将流入流出数据不考虑</t>
    <phoneticPr fontId="3" type="noConversion"/>
  </si>
  <si>
    <t>回购</t>
    <phoneticPr fontId="3" type="noConversion"/>
  </si>
  <si>
    <t>正回购</t>
    <phoneticPr fontId="3" type="noConversion"/>
  </si>
  <si>
    <t>逆回购</t>
    <phoneticPr fontId="3" type="noConversion"/>
  </si>
  <si>
    <t>p_dt</t>
    <phoneticPr fontId="7" type="noConversion"/>
  </si>
  <si>
    <t>hld_cost</t>
    <phoneticPr fontId="7" type="noConversion"/>
  </si>
  <si>
    <t>accr_int</t>
    <phoneticPr fontId="7" type="noConversion"/>
  </si>
  <si>
    <t>sell_val</t>
    <phoneticPr fontId="7" type="noConversion"/>
  </si>
  <si>
    <t>今日成本</t>
    <phoneticPr fontId="7" type="noConversion"/>
  </si>
  <si>
    <t>昨日成本</t>
    <phoneticPr fontId="7" type="noConversion"/>
  </si>
  <si>
    <t>今日卖出</t>
    <phoneticPr fontId="7" type="noConversion"/>
  </si>
  <si>
    <t>今日利息</t>
    <phoneticPr fontId="7" type="noConversion"/>
  </si>
  <si>
    <t>上日累计利息</t>
    <phoneticPr fontId="7" type="noConversion"/>
  </si>
  <si>
    <t>今日总收益</t>
    <phoneticPr fontId="7" type="noConversion"/>
  </si>
  <si>
    <t>今日总成本</t>
    <phoneticPr fontId="7" type="noConversion"/>
  </si>
  <si>
    <t>收益率</t>
    <phoneticPr fontId="7" type="noConversion"/>
  </si>
  <si>
    <t>-</t>
    <phoneticPr fontId="7" type="noConversion"/>
  </si>
  <si>
    <t>不计算</t>
    <phoneticPr fontId="7" type="noConversion"/>
  </si>
  <si>
    <t>正回购交易所</t>
    <phoneticPr fontId="3" type="noConversion"/>
  </si>
  <si>
    <t>逆回购交易所</t>
    <phoneticPr fontId="3" type="noConversion"/>
  </si>
  <si>
    <t>逆回购银行间</t>
    <phoneticPr fontId="3" type="noConversion"/>
  </si>
  <si>
    <t>正回购银行间</t>
    <phoneticPr fontId="3" type="noConversion"/>
  </si>
  <si>
    <t>银行间、交易所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</si>
</sst>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%"/>
    <numFmt numFmtId="177" formatCode="0.000"/>
    <numFmt numFmtId="178" formatCode="0.000_ "/>
    <numFmt numFmtId="179" formatCode="0.00000"/>
    <numFmt numFmtId="180" formatCode="0.00000000000000"/>
    <numFmt numFmtId="181" formatCode="0.00000%"/>
    <numFmt numFmtId="182" formatCode="0.000000000000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theme="1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5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1" applyNumberFormat="1" applyFont="1" applyFill="1" applyBorder="1">
      <alignment vertical="center"/>
    </xf>
    <xf numFmtId="177" fontId="0" fillId="4" borderId="1" xfId="0" applyNumberFormat="1" applyFill="1" applyBorder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3" borderId="2" xfId="0" applyFill="1" applyBorder="1">
      <alignment vertical="center"/>
    </xf>
    <xf numFmtId="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179" fontId="0" fillId="4" borderId="1" xfId="0" applyNumberFormat="1" applyFill="1" applyBorder="1">
      <alignment vertical="center"/>
    </xf>
    <xf numFmtId="4" fontId="0" fillId="2" borderId="0" xfId="0" applyNumberFormat="1" applyFill="1">
      <alignment vertical="center"/>
    </xf>
    <xf numFmtId="0" fontId="0" fillId="4" borderId="1" xfId="0" quotePrefix="1" applyFill="1" applyBorder="1">
      <alignment vertical="center"/>
    </xf>
    <xf numFmtId="0" fontId="0" fillId="0" borderId="0" xfId="0" applyAlignment="1"/>
    <xf numFmtId="0" fontId="1" fillId="7" borderId="1" xfId="0" applyFont="1" applyFill="1" applyBorder="1">
      <alignment vertical="center"/>
    </xf>
    <xf numFmtId="0" fontId="0" fillId="7" borderId="1" xfId="0" applyFill="1" applyBorder="1" applyAlignment="1"/>
    <xf numFmtId="0" fontId="1" fillId="0" borderId="1" xfId="0" applyFont="1" applyBorder="1">
      <alignment vertical="center"/>
    </xf>
    <xf numFmtId="0" fontId="0" fillId="0" borderId="1" xfId="0" applyBorder="1" applyAlignment="1"/>
    <xf numFmtId="0" fontId="5" fillId="0" borderId="1" xfId="3" applyBorder="1"/>
    <xf numFmtId="14" fontId="0" fillId="0" borderId="1" xfId="0" applyNumberFormat="1" applyBorder="1" applyAlignment="1"/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3"/>
    <xf numFmtId="14" fontId="0" fillId="0" borderId="0" xfId="0" applyNumberFormat="1" applyAlignment="1"/>
    <xf numFmtId="14" fontId="0" fillId="0" borderId="0" xfId="0" applyNumberFormat="1">
      <alignment vertical="center"/>
    </xf>
    <xf numFmtId="0" fontId="1" fillId="8" borderId="1" xfId="0" applyFont="1" applyFill="1" applyBorder="1">
      <alignment vertical="center"/>
    </xf>
    <xf numFmtId="180" fontId="0" fillId="0" borderId="0" xfId="0" applyNumberFormat="1">
      <alignment vertical="center"/>
    </xf>
    <xf numFmtId="181" fontId="0" fillId="0" borderId="1" xfId="1" applyNumberFormat="1" applyFont="1" applyBorder="1">
      <alignment vertical="center"/>
    </xf>
    <xf numFmtId="0" fontId="4" fillId="2" borderId="1" xfId="2" applyFill="1" applyBorder="1">
      <alignment vertical="center"/>
    </xf>
    <xf numFmtId="0" fontId="4" fillId="2" borderId="3" xfId="2" applyFill="1" applyBorder="1">
      <alignment vertical="center"/>
    </xf>
    <xf numFmtId="0" fontId="0" fillId="9" borderId="1" xfId="0" applyFill="1" applyBorder="1" applyAlignment="1"/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182" fontId="0" fillId="0" borderId="1" xfId="0" applyNumberFormat="1" applyBorder="1" applyAlignment="1"/>
    <xf numFmtId="2" fontId="0" fillId="0" borderId="1" xfId="0" applyNumberFormat="1" applyBorder="1" applyAlignment="1"/>
  </cellXfs>
  <cellStyles count="4">
    <cellStyle name="百分比" xfId="1" builtinId="5"/>
    <cellStyle name="常规" xfId="0" builtinId="0"/>
    <cellStyle name="常规 2" xfId="3" xr:uid="{22BC4707-72DA-4B11-888B-C84ECB6BA458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139700</xdr:rowOff>
    </xdr:from>
    <xdr:to>
      <xdr:col>20</xdr:col>
      <xdr:colOff>209550</xdr:colOff>
      <xdr:row>47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ADF9B44-C25F-EF0A-D535-EC216533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100"/>
          <a:ext cx="1546225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76200</xdr:rowOff>
    </xdr:from>
    <xdr:to>
      <xdr:col>20</xdr:col>
      <xdr:colOff>25400</xdr:colOff>
      <xdr:row>57</xdr:row>
      <xdr:rowOff>107950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A4C8989-89B1-7C10-1C1F-7E3F2819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10600"/>
          <a:ext cx="15278100" cy="163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6350</xdr:rowOff>
    </xdr:from>
    <xdr:to>
      <xdr:col>16</xdr:col>
      <xdr:colOff>698500</xdr:colOff>
      <xdr:row>66</xdr:row>
      <xdr:rowOff>127000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B3FC3BE-7295-9CA6-7F03-6C956E72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3176250" cy="136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806450</xdr:colOff>
      <xdr:row>2</xdr:row>
      <xdr:rowOff>76200</xdr:rowOff>
    </xdr:from>
    <xdr:to>
      <xdr:col>20</xdr:col>
      <xdr:colOff>561975</xdr:colOff>
      <xdr:row>18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FC0DA7-8523-A47D-3941-D8F3B38E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2650" y="438150"/>
          <a:ext cx="3813175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2F29-278D-4711-A76E-DCFDDDEBCFA2}">
  <dimension ref="A1:N58"/>
  <sheetViews>
    <sheetView tabSelected="1" workbookViewId="0">
      <selection activeCell="E28" sqref="E28"/>
    </sheetView>
  </sheetViews>
  <sheetFormatPr defaultRowHeight="14" x14ac:dyDescent="0.3"/>
  <cols>
    <col min="1" max="1" width="4.83203125" style="2" bestFit="1" customWidth="1"/>
    <col min="2" max="3" width="12.33203125" style="2" bestFit="1" customWidth="1"/>
    <col min="4" max="4" width="21.9140625" style="2" customWidth="1"/>
    <col min="5" max="12" width="8.6640625" style="2"/>
    <col min="13" max="13" width="9.25" style="2" bestFit="1" customWidth="1"/>
    <col min="14" max="16384" width="8.6640625" style="2"/>
  </cols>
  <sheetData>
    <row r="1" spans="1:14" x14ac:dyDescent="0.3">
      <c r="A1" s="11" t="s">
        <v>1</v>
      </c>
      <c r="B1" s="12" t="s">
        <v>6</v>
      </c>
      <c r="C1" s="12" t="s">
        <v>7</v>
      </c>
      <c r="D1" s="12" t="s">
        <v>19</v>
      </c>
    </row>
    <row r="2" spans="1:14" x14ac:dyDescent="0.3">
      <c r="A2" s="4">
        <v>1</v>
      </c>
      <c r="B2" s="1" t="s">
        <v>8</v>
      </c>
      <c r="C2" s="1" t="s">
        <v>0</v>
      </c>
      <c r="D2" s="45" t="s">
        <v>8</v>
      </c>
    </row>
    <row r="3" spans="1:14" x14ac:dyDescent="0.3">
      <c r="A3" s="3">
        <v>2</v>
      </c>
      <c r="B3" s="1" t="s">
        <v>65</v>
      </c>
      <c r="C3" s="1" t="s">
        <v>10</v>
      </c>
      <c r="D3" s="46" t="s">
        <v>9</v>
      </c>
    </row>
    <row r="4" spans="1:14" x14ac:dyDescent="0.3">
      <c r="A4" s="8">
        <v>3</v>
      </c>
      <c r="B4" s="5" t="s">
        <v>11</v>
      </c>
      <c r="C4" s="1" t="s">
        <v>81</v>
      </c>
      <c r="D4" s="45" t="s">
        <v>101</v>
      </c>
    </row>
    <row r="5" spans="1:14" x14ac:dyDescent="0.3">
      <c r="A5" s="10"/>
      <c r="B5" s="6"/>
      <c r="C5" s="1" t="s">
        <v>102</v>
      </c>
      <c r="D5" s="45" t="s">
        <v>108</v>
      </c>
    </row>
    <row r="6" spans="1:14" x14ac:dyDescent="0.3">
      <c r="A6" s="9"/>
      <c r="B6" s="7"/>
      <c r="C6" s="1" t="s">
        <v>12</v>
      </c>
      <c r="D6" s="45" t="s">
        <v>94</v>
      </c>
    </row>
    <row r="7" spans="1:14" x14ac:dyDescent="0.3">
      <c r="A7" s="8">
        <v>4</v>
      </c>
      <c r="B7" s="5" t="s">
        <v>13</v>
      </c>
      <c r="C7" s="1" t="s">
        <v>14</v>
      </c>
      <c r="D7" s="45" t="s">
        <v>95</v>
      </c>
    </row>
    <row r="8" spans="1:14" x14ac:dyDescent="0.3">
      <c r="A8" s="10"/>
      <c r="B8" s="6"/>
      <c r="C8" s="1" t="s">
        <v>15</v>
      </c>
      <c r="D8" s="45" t="s">
        <v>96</v>
      </c>
    </row>
    <row r="9" spans="1:14" x14ac:dyDescent="0.3">
      <c r="A9" s="9"/>
      <c r="B9" s="7"/>
      <c r="C9" s="1" t="s">
        <v>2</v>
      </c>
      <c r="D9" s="45" t="s">
        <v>97</v>
      </c>
    </row>
    <row r="10" spans="1:14" x14ac:dyDescent="0.3">
      <c r="A10" s="8">
        <v>5</v>
      </c>
      <c r="B10" s="5" t="s">
        <v>16</v>
      </c>
      <c r="C10" s="1" t="s">
        <v>5</v>
      </c>
      <c r="D10" s="45" t="s">
        <v>98</v>
      </c>
    </row>
    <row r="11" spans="1:14" x14ac:dyDescent="0.3">
      <c r="A11" s="10"/>
      <c r="B11" s="6"/>
      <c r="C11" s="1" t="s">
        <v>17</v>
      </c>
      <c r="D11" s="45" t="s">
        <v>99</v>
      </c>
    </row>
    <row r="12" spans="1:14" x14ac:dyDescent="0.3">
      <c r="A12" s="9"/>
      <c r="B12" s="7"/>
      <c r="C12" s="1" t="s">
        <v>18</v>
      </c>
      <c r="D12" s="45" t="s">
        <v>100</v>
      </c>
    </row>
    <row r="13" spans="1:14" x14ac:dyDescent="0.3">
      <c r="A13" s="8">
        <v>6</v>
      </c>
      <c r="B13" s="5" t="s">
        <v>112</v>
      </c>
      <c r="C13" s="1" t="s">
        <v>113</v>
      </c>
      <c r="D13" s="45" t="s">
        <v>133</v>
      </c>
    </row>
    <row r="14" spans="1:14" x14ac:dyDescent="0.3">
      <c r="A14" s="9"/>
      <c r="B14" s="7"/>
      <c r="C14" s="1" t="s">
        <v>114</v>
      </c>
      <c r="D14" s="45" t="s">
        <v>133</v>
      </c>
      <c r="M14" s="28"/>
      <c r="N14" s="28"/>
    </row>
    <row r="15" spans="1:14" x14ac:dyDescent="0.3">
      <c r="M15" s="28"/>
    </row>
    <row r="16" spans="1:14" x14ac:dyDescent="0.3">
      <c r="M16" s="28"/>
    </row>
    <row r="17" spans="13:13" x14ac:dyDescent="0.3">
      <c r="M17" s="28"/>
    </row>
    <row r="58" ht="32" customHeight="1" x14ac:dyDescent="0.3"/>
  </sheetData>
  <phoneticPr fontId="3" type="noConversion"/>
  <hyperlinks>
    <hyperlink ref="D2" location="'可转(交)债'!A1" display="可转（交）债" xr:uid="{F748F5E0-EBC1-4A69-8408-20215B418F5E}"/>
    <hyperlink ref="D3" location="'ETF '!A1" display="ETF " xr:uid="{D3C2184D-97CF-43BE-88E1-59BEEC02562C}"/>
    <hyperlink ref="D4" location="股票!B12" display="股票-股利" xr:uid="{BD010AC0-C91D-44C1-AF07-D7951636BFA2}"/>
    <hyperlink ref="D6" location="股票!A1" display="股票-打新" xr:uid="{F58ADF9B-333A-4465-986B-E2B25603D8F3}"/>
    <hyperlink ref="D7" location="债券!B4" display="债券-付息" xr:uid="{3FE10A3E-775F-4ABD-81B9-81A4CD6812E5}"/>
    <hyperlink ref="D8" location="债券!B12" display="债券-提前还本" xr:uid="{DD51886B-CCB4-4836-B1EF-A1236BAD5336}"/>
    <hyperlink ref="D9" location="债券!B23" display="债券-转托管" xr:uid="{2DBD200F-C559-4338-AABB-9056A39D15A8}"/>
    <hyperlink ref="D10" location="基金!B2" display="基金-分红" xr:uid="{43330F34-7B10-45A5-A504-DB21ACB9FE87}"/>
    <hyperlink ref="D11" location="基金!B11" display="基金-拆分" xr:uid="{447CA7D9-86EB-44EA-9FD9-8660E35C4357}"/>
    <hyperlink ref="D12" location="基金!B21" display="基金-基金转换" xr:uid="{8255A0ED-DDDB-4564-B4F7-83A0C7C74B36}"/>
    <hyperlink ref="D5" location="股票!A27" display="股票-转流通" xr:uid="{A3924190-8B55-4A12-8B04-467319992134}"/>
    <hyperlink ref="D13" location="回购!A1" display="银行间、交易所" xr:uid="{E9BA0801-658A-467C-A048-F85BD6A1760C}"/>
    <hyperlink ref="D14" location="回购!A1" display="银行间、交易所" xr:uid="{AD9925D3-08DF-4AB6-A97D-694907B776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E74E-B9E6-477E-8462-8CA2854CC444}">
  <dimension ref="A2:M37"/>
  <sheetViews>
    <sheetView workbookViewId="0">
      <selection activeCell="D12" sqref="D12"/>
    </sheetView>
  </sheetViews>
  <sheetFormatPr defaultRowHeight="14" x14ac:dyDescent="0.3"/>
  <cols>
    <col min="1" max="1" width="11" bestFit="1" customWidth="1"/>
    <col min="2" max="2" width="11.75" bestFit="1" customWidth="1"/>
    <col min="4" max="4" width="13.75" bestFit="1" customWidth="1"/>
    <col min="7" max="8" width="13.83203125" bestFit="1" customWidth="1"/>
    <col min="9" max="9" width="20.33203125" bestFit="1" customWidth="1"/>
    <col min="10" max="10" width="13" bestFit="1" customWidth="1"/>
    <col min="11" max="11" width="11.58203125" bestFit="1" customWidth="1"/>
    <col min="12" max="12" width="10" bestFit="1" customWidth="1"/>
  </cols>
  <sheetData>
    <row r="2" spans="1:13" x14ac:dyDescent="0.3">
      <c r="A2" t="s">
        <v>3</v>
      </c>
    </row>
    <row r="4" spans="1:13" x14ac:dyDescent="0.3">
      <c r="B4" s="37" t="s">
        <v>79</v>
      </c>
    </row>
    <row r="5" spans="1:13" s="30" customFormat="1" x14ac:dyDescent="0.3">
      <c r="B5" s="31" t="s">
        <v>28</v>
      </c>
      <c r="C5" s="31" t="s">
        <v>78</v>
      </c>
      <c r="D5" s="32" t="s">
        <v>23</v>
      </c>
      <c r="E5" s="32" t="s">
        <v>25</v>
      </c>
      <c r="F5" s="32" t="s">
        <v>68</v>
      </c>
      <c r="G5" s="32" t="s">
        <v>69</v>
      </c>
      <c r="H5" s="32" t="s">
        <v>70</v>
      </c>
      <c r="I5" s="32" t="s">
        <v>71</v>
      </c>
      <c r="J5" s="32" t="s">
        <v>72</v>
      </c>
      <c r="K5" s="32" t="s">
        <v>73</v>
      </c>
      <c r="L5" s="32" t="s">
        <v>74</v>
      </c>
      <c r="M5" s="32" t="s">
        <v>75</v>
      </c>
    </row>
    <row r="6" spans="1:13" ht="15" x14ac:dyDescent="0.4">
      <c r="B6" s="33" t="s">
        <v>67</v>
      </c>
      <c r="C6" s="33" t="s">
        <v>76</v>
      </c>
      <c r="D6" s="34">
        <v>30659.37</v>
      </c>
      <c r="E6" s="34">
        <v>30817.68</v>
      </c>
      <c r="F6" s="35">
        <v>0</v>
      </c>
      <c r="G6" s="34">
        <v>0</v>
      </c>
      <c r="H6" s="34">
        <f>(D6-E6-F6-G6)/(E6+F6)</f>
        <v>-5.1369863013699052E-3</v>
      </c>
      <c r="I6" s="36" t="s">
        <v>77</v>
      </c>
      <c r="J6" s="14">
        <v>44386</v>
      </c>
      <c r="K6" s="14">
        <v>44411</v>
      </c>
      <c r="L6" s="14">
        <v>44393</v>
      </c>
      <c r="M6" s="34" t="str">
        <f>IFERROR(IF(AND(J6&lt;=L6,K6&lt;=L6+30),"是","否"),"")</f>
        <v>是</v>
      </c>
    </row>
    <row r="7" spans="1:13" ht="15" x14ac:dyDescent="0.4">
      <c r="B7" s="38"/>
      <c r="C7" s="38"/>
      <c r="D7" s="30"/>
      <c r="E7" s="30"/>
      <c r="F7" s="39"/>
      <c r="G7" s="30"/>
      <c r="H7" s="30"/>
      <c r="I7" s="40"/>
      <c r="J7" s="41"/>
      <c r="K7" s="41"/>
      <c r="L7" s="41"/>
      <c r="M7" s="30"/>
    </row>
    <row r="8" spans="1:13" x14ac:dyDescent="0.3">
      <c r="B8" s="42" t="s">
        <v>80</v>
      </c>
      <c r="C8" s="34">
        <v>-5.1369863013699052E-3</v>
      </c>
    </row>
    <row r="12" spans="1:13" x14ac:dyDescent="0.3">
      <c r="A12" t="s">
        <v>4</v>
      </c>
      <c r="B12" t="s">
        <v>81</v>
      </c>
    </row>
    <row r="14" spans="1:13" x14ac:dyDescent="0.3">
      <c r="B14" t="s">
        <v>82</v>
      </c>
    </row>
    <row r="15" spans="1:13" x14ac:dyDescent="0.3">
      <c r="B15" s="12" t="s">
        <v>20</v>
      </c>
      <c r="C15" s="12" t="s">
        <v>30</v>
      </c>
      <c r="D15" s="12" t="s">
        <v>31</v>
      </c>
      <c r="E15" s="12" t="s">
        <v>21</v>
      </c>
      <c r="F15" s="12" t="s">
        <v>22</v>
      </c>
      <c r="G15" s="12" t="s">
        <v>24</v>
      </c>
      <c r="H15" s="12" t="s">
        <v>26</v>
      </c>
      <c r="I15" s="12" t="s">
        <v>38</v>
      </c>
      <c r="J15" s="12" t="s">
        <v>39</v>
      </c>
      <c r="K15" s="12" t="s">
        <v>83</v>
      </c>
      <c r="L15" s="12" t="s">
        <v>29</v>
      </c>
    </row>
    <row r="16" spans="1:13" x14ac:dyDescent="0.3">
      <c r="B16" s="16">
        <v>44612</v>
      </c>
      <c r="C16" s="17" t="s">
        <v>59</v>
      </c>
      <c r="D16" s="17" t="s">
        <v>85</v>
      </c>
      <c r="E16" s="17">
        <v>40000</v>
      </c>
      <c r="F16" s="17">
        <v>40000</v>
      </c>
      <c r="G16" s="17">
        <v>4624400</v>
      </c>
      <c r="H16" s="17">
        <v>4624400</v>
      </c>
      <c r="I16" s="17">
        <v>0</v>
      </c>
      <c r="J16" s="17">
        <v>0</v>
      </c>
      <c r="K16" s="17">
        <v>2000</v>
      </c>
      <c r="L16" s="18">
        <f>(G16-H16-I16+J16+K16)/(H16+I16)</f>
        <v>4.324885390537151E-4</v>
      </c>
    </row>
    <row r="19" spans="1:12" x14ac:dyDescent="0.3">
      <c r="B19" t="s">
        <v>84</v>
      </c>
    </row>
    <row r="20" spans="1:12" x14ac:dyDescent="0.3">
      <c r="B20" s="12" t="s">
        <v>20</v>
      </c>
      <c r="C20" s="12" t="s">
        <v>30</v>
      </c>
      <c r="D20" s="12" t="s">
        <v>31</v>
      </c>
      <c r="E20" s="12" t="s">
        <v>21</v>
      </c>
      <c r="F20" s="12" t="s">
        <v>22</v>
      </c>
      <c r="G20" s="12" t="s">
        <v>24</v>
      </c>
      <c r="H20" s="12" t="s">
        <v>26</v>
      </c>
      <c r="I20" s="12" t="s">
        <v>38</v>
      </c>
      <c r="J20" s="12" t="s">
        <v>39</v>
      </c>
      <c r="K20" s="12" t="s">
        <v>83</v>
      </c>
      <c r="L20" s="12" t="s">
        <v>29</v>
      </c>
    </row>
    <row r="21" spans="1:12" x14ac:dyDescent="0.3">
      <c r="B21" s="16">
        <v>44612</v>
      </c>
      <c r="C21" s="17" t="s">
        <v>59</v>
      </c>
      <c r="D21" s="17" t="s">
        <v>85</v>
      </c>
      <c r="E21" s="17">
        <v>40000</v>
      </c>
      <c r="F21" s="17">
        <v>40000</v>
      </c>
      <c r="G21" s="17">
        <v>4626400</v>
      </c>
      <c r="H21" s="17">
        <v>4624400</v>
      </c>
      <c r="I21" s="17">
        <v>2000</v>
      </c>
      <c r="J21" s="17">
        <v>0</v>
      </c>
      <c r="K21" s="17">
        <v>2000</v>
      </c>
      <c r="L21" s="18">
        <f>(G21-H21-I21+J21+K21)/(H21+I21)</f>
        <v>4.323015735777278E-4</v>
      </c>
    </row>
    <row r="27" spans="1:12" x14ac:dyDescent="0.3">
      <c r="A27" t="s">
        <v>103</v>
      </c>
    </row>
    <row r="28" spans="1:12" x14ac:dyDescent="0.3">
      <c r="B28" s="12" t="s">
        <v>20</v>
      </c>
      <c r="C28" s="12" t="s">
        <v>30</v>
      </c>
      <c r="D28" s="12" t="s">
        <v>31</v>
      </c>
      <c r="E28" s="12" t="s">
        <v>21</v>
      </c>
      <c r="F28" s="12" t="s">
        <v>22</v>
      </c>
      <c r="G28" s="12" t="s">
        <v>24</v>
      </c>
      <c r="H28" s="12" t="s">
        <v>26</v>
      </c>
      <c r="I28" s="12" t="s">
        <v>38</v>
      </c>
      <c r="J28" s="12" t="s">
        <v>39</v>
      </c>
      <c r="K28" s="12" t="s">
        <v>83</v>
      </c>
      <c r="L28" s="12" t="s">
        <v>29</v>
      </c>
    </row>
    <row r="29" spans="1:12" x14ac:dyDescent="0.3">
      <c r="B29" s="16">
        <v>44612</v>
      </c>
      <c r="C29" s="17" t="s">
        <v>59</v>
      </c>
      <c r="D29" s="17" t="s">
        <v>85</v>
      </c>
      <c r="E29" s="17">
        <v>0</v>
      </c>
      <c r="F29" s="17">
        <v>40000</v>
      </c>
      <c r="G29" s="17">
        <v>0</v>
      </c>
      <c r="H29" s="17">
        <v>4624400</v>
      </c>
      <c r="I29" s="17">
        <v>0</v>
      </c>
      <c r="J29" s="17">
        <v>4624400</v>
      </c>
      <c r="K29" s="17">
        <v>0</v>
      </c>
      <c r="L29" s="18">
        <f>(G29-H29-I29+J29+K29)/(H29+I29)</f>
        <v>0</v>
      </c>
    </row>
    <row r="30" spans="1:12" x14ac:dyDescent="0.3">
      <c r="B30" s="16">
        <v>44612</v>
      </c>
      <c r="C30" s="17" t="s">
        <v>59</v>
      </c>
      <c r="D30" s="17" t="s">
        <v>85</v>
      </c>
      <c r="E30" s="17">
        <v>40000</v>
      </c>
      <c r="F30" s="17">
        <v>0</v>
      </c>
      <c r="G30" s="17">
        <v>4626400</v>
      </c>
      <c r="H30" s="17">
        <v>0</v>
      </c>
      <c r="I30" s="17">
        <v>4624400</v>
      </c>
      <c r="J30" s="17">
        <v>0</v>
      </c>
      <c r="K30" s="17">
        <v>0</v>
      </c>
      <c r="L30" s="18">
        <f>(G30-H30-I30+J30+K30)/(H30+I30)</f>
        <v>4.324885390537151E-4</v>
      </c>
    </row>
    <row r="32" spans="1:12" x14ac:dyDescent="0.3">
      <c r="B32" t="s">
        <v>104</v>
      </c>
    </row>
    <row r="33" spans="2:12" x14ac:dyDescent="0.3">
      <c r="B33" s="12" t="s">
        <v>20</v>
      </c>
      <c r="C33" s="12" t="s">
        <v>30</v>
      </c>
      <c r="D33" s="12" t="s">
        <v>31</v>
      </c>
      <c r="E33" s="12" t="s">
        <v>21</v>
      </c>
      <c r="F33" s="12" t="s">
        <v>22</v>
      </c>
      <c r="G33" s="12" t="s">
        <v>24</v>
      </c>
      <c r="H33" s="12" t="s">
        <v>26</v>
      </c>
      <c r="I33" s="12" t="s">
        <v>38</v>
      </c>
      <c r="J33" s="12" t="s">
        <v>39</v>
      </c>
      <c r="K33" s="12" t="s">
        <v>83</v>
      </c>
      <c r="L33" s="12" t="s">
        <v>29</v>
      </c>
    </row>
    <row r="34" spans="2:12" x14ac:dyDescent="0.3">
      <c r="B34" s="16">
        <v>44612</v>
      </c>
      <c r="C34" s="17" t="s">
        <v>59</v>
      </c>
      <c r="D34" s="17" t="s">
        <v>85</v>
      </c>
      <c r="E34" s="17">
        <f>SUM(E29:E30)</f>
        <v>40000</v>
      </c>
      <c r="F34" s="17">
        <f t="shared" ref="F34:K34" si="0">SUM(F29:F30)</f>
        <v>40000</v>
      </c>
      <c r="G34" s="17">
        <f t="shared" si="0"/>
        <v>4626400</v>
      </c>
      <c r="H34" s="17">
        <f t="shared" si="0"/>
        <v>4624400</v>
      </c>
      <c r="I34" s="17">
        <v>0</v>
      </c>
      <c r="J34" s="17">
        <v>0</v>
      </c>
      <c r="K34" s="17">
        <f t="shared" si="0"/>
        <v>0</v>
      </c>
      <c r="L34" s="18">
        <f>(G34-H34-I34+J34+K34)/(H34+I34)</f>
        <v>4.324885390537151E-4</v>
      </c>
    </row>
    <row r="37" spans="2:12" x14ac:dyDescent="0.3">
      <c r="B37" t="s">
        <v>105</v>
      </c>
      <c r="C37" s="13">
        <f>L34</f>
        <v>4.324885390537151E-4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BB6E-BBA4-4DEB-9EC0-22C7DE017D00}">
  <dimension ref="B4:M30"/>
  <sheetViews>
    <sheetView workbookViewId="0">
      <selection activeCell="P23" sqref="P23"/>
    </sheetView>
  </sheetViews>
  <sheetFormatPr defaultRowHeight="14" x14ac:dyDescent="0.3"/>
  <cols>
    <col min="2" max="2" width="10" bestFit="1" customWidth="1"/>
    <col min="4" max="4" width="16" bestFit="1" customWidth="1"/>
    <col min="7" max="7" width="11.25" bestFit="1" customWidth="1"/>
    <col min="9" max="10" width="13" bestFit="1" customWidth="1"/>
    <col min="11" max="12" width="10.1640625" bestFit="1" customWidth="1"/>
    <col min="13" max="13" width="11" bestFit="1" customWidth="1"/>
  </cols>
  <sheetData>
    <row r="4" spans="2:13" x14ac:dyDescent="0.3">
      <c r="B4" s="1" t="s">
        <v>14</v>
      </c>
    </row>
    <row r="5" spans="2:13" x14ac:dyDescent="0.3">
      <c r="B5" s="12" t="s">
        <v>20</v>
      </c>
      <c r="C5" s="12" t="s">
        <v>30</v>
      </c>
      <c r="D5" s="12" t="s">
        <v>31</v>
      </c>
      <c r="E5" s="12" t="s">
        <v>21</v>
      </c>
      <c r="F5" s="12" t="s">
        <v>22</v>
      </c>
      <c r="G5" s="12" t="s">
        <v>24</v>
      </c>
      <c r="H5" s="12" t="s">
        <v>26</v>
      </c>
      <c r="I5" s="12" t="s">
        <v>35</v>
      </c>
      <c r="J5" s="12" t="s">
        <v>36</v>
      </c>
      <c r="K5" s="12" t="s">
        <v>38</v>
      </c>
      <c r="L5" s="12" t="s">
        <v>39</v>
      </c>
      <c r="M5" s="12" t="s">
        <v>29</v>
      </c>
    </row>
    <row r="6" spans="2:13" x14ac:dyDescent="0.3">
      <c r="B6" s="16">
        <v>44612</v>
      </c>
      <c r="C6" s="17" t="s">
        <v>86</v>
      </c>
      <c r="D6" s="17" t="s">
        <v>33</v>
      </c>
      <c r="E6" s="17">
        <v>40000</v>
      </c>
      <c r="F6" s="17">
        <v>40000</v>
      </c>
      <c r="G6" s="17">
        <v>4624400</v>
      </c>
      <c r="H6" s="17">
        <v>4624400</v>
      </c>
      <c r="I6" s="19">
        <v>0</v>
      </c>
      <c r="J6" s="17">
        <v>5593.42</v>
      </c>
      <c r="K6" s="17"/>
      <c r="L6" s="17">
        <v>5610.96</v>
      </c>
      <c r="M6" s="18">
        <f>(G6-H6+(I6-J6)-K6+L6)/(H6+J6+K6)</f>
        <v>3.7883423169098074E-6</v>
      </c>
    </row>
    <row r="7" spans="2:13" x14ac:dyDescent="0.3">
      <c r="L7" t="s">
        <v>109</v>
      </c>
    </row>
    <row r="12" spans="2:13" x14ac:dyDescent="0.3">
      <c r="B12" s="1" t="s">
        <v>15</v>
      </c>
    </row>
    <row r="13" spans="2:13" x14ac:dyDescent="0.3">
      <c r="B13" s="12" t="s">
        <v>20</v>
      </c>
      <c r="C13" s="12" t="s">
        <v>30</v>
      </c>
      <c r="D13" s="12" t="s">
        <v>31</v>
      </c>
      <c r="E13" s="12" t="s">
        <v>21</v>
      </c>
      <c r="F13" s="12" t="s">
        <v>22</v>
      </c>
      <c r="G13" s="12" t="s">
        <v>24</v>
      </c>
      <c r="H13" s="12" t="s">
        <v>26</v>
      </c>
      <c r="I13" s="12" t="s">
        <v>35</v>
      </c>
      <c r="J13" s="12" t="s">
        <v>36</v>
      </c>
      <c r="K13" s="12" t="s">
        <v>38</v>
      </c>
      <c r="L13" s="12" t="s">
        <v>39</v>
      </c>
      <c r="M13" s="12" t="s">
        <v>29</v>
      </c>
    </row>
    <row r="14" spans="2:13" x14ac:dyDescent="0.3">
      <c r="B14" s="16">
        <v>44612</v>
      </c>
      <c r="C14" s="17" t="s">
        <v>86</v>
      </c>
      <c r="D14" s="17" t="s">
        <v>33</v>
      </c>
      <c r="E14" s="17">
        <v>40000</v>
      </c>
      <c r="F14" s="17">
        <v>40000</v>
      </c>
      <c r="G14" s="17">
        <v>3699520</v>
      </c>
      <c r="H14" s="17">
        <v>4624400</v>
      </c>
      <c r="I14" s="17">
        <v>5610.96</v>
      </c>
      <c r="J14" s="17">
        <v>5593.42</v>
      </c>
      <c r="K14" s="17"/>
      <c r="L14" s="17">
        <v>924880</v>
      </c>
      <c r="M14" s="18">
        <f>(G14-H14+(I14-J14)-K14+L14)/(H14+J14+K14)</f>
        <v>3.7883423169178614E-6</v>
      </c>
    </row>
    <row r="15" spans="2:13" x14ac:dyDescent="0.3">
      <c r="L15" t="s">
        <v>110</v>
      </c>
    </row>
    <row r="23" spans="2:13" x14ac:dyDescent="0.3">
      <c r="B23" s="1" t="s">
        <v>2</v>
      </c>
    </row>
    <row r="24" spans="2:13" x14ac:dyDescent="0.3">
      <c r="B24" s="12" t="s">
        <v>20</v>
      </c>
      <c r="C24" s="12" t="s">
        <v>30</v>
      </c>
      <c r="D24" s="12" t="s">
        <v>31</v>
      </c>
      <c r="E24" s="12" t="s">
        <v>21</v>
      </c>
      <c r="F24" s="12" t="s">
        <v>22</v>
      </c>
      <c r="G24" s="12" t="s">
        <v>24</v>
      </c>
      <c r="H24" s="12" t="s">
        <v>26</v>
      </c>
      <c r="I24" s="12" t="s">
        <v>35</v>
      </c>
      <c r="J24" s="12" t="s">
        <v>36</v>
      </c>
      <c r="K24" s="12" t="s">
        <v>38</v>
      </c>
      <c r="L24" s="12" t="s">
        <v>39</v>
      </c>
      <c r="M24" s="12" t="s">
        <v>29</v>
      </c>
    </row>
    <row r="25" spans="2:13" x14ac:dyDescent="0.3">
      <c r="B25" s="16">
        <v>44612</v>
      </c>
      <c r="C25" s="17" t="s">
        <v>86</v>
      </c>
      <c r="D25" s="17" t="s">
        <v>33</v>
      </c>
      <c r="E25" s="17">
        <v>0</v>
      </c>
      <c r="F25" s="17">
        <v>40000</v>
      </c>
      <c r="G25" s="17">
        <v>0</v>
      </c>
      <c r="H25" s="17">
        <v>4624400</v>
      </c>
      <c r="I25" s="17">
        <v>5610.96</v>
      </c>
      <c r="J25" s="17">
        <v>5593.42</v>
      </c>
      <c r="K25" s="17"/>
      <c r="L25" s="17">
        <v>4624400</v>
      </c>
      <c r="M25" s="18">
        <f>(G25-H25+(I25-J25)-K25+L25)/(H25+J25+K25)</f>
        <v>3.7883423169178614E-6</v>
      </c>
    </row>
    <row r="26" spans="2:13" x14ac:dyDescent="0.3">
      <c r="B26" s="16">
        <v>44612</v>
      </c>
      <c r="C26" s="17" t="s">
        <v>86</v>
      </c>
      <c r="D26" s="17" t="s">
        <v>87</v>
      </c>
      <c r="E26" s="17">
        <v>40000</v>
      </c>
      <c r="F26" s="17">
        <v>0</v>
      </c>
      <c r="G26" s="17">
        <v>4624400</v>
      </c>
      <c r="H26" s="17">
        <v>0</v>
      </c>
      <c r="I26" s="17">
        <v>0</v>
      </c>
      <c r="J26" s="17">
        <v>0</v>
      </c>
      <c r="K26" s="17">
        <f>L25</f>
        <v>4624400</v>
      </c>
      <c r="L26" s="17">
        <v>0</v>
      </c>
      <c r="M26" s="18">
        <f>(G26-H26+(I26-J26)-K26+L26)/(H26+J26+K26)</f>
        <v>0</v>
      </c>
    </row>
    <row r="28" spans="2:13" x14ac:dyDescent="0.3">
      <c r="B28" t="s">
        <v>107</v>
      </c>
    </row>
    <row r="29" spans="2:13" x14ac:dyDescent="0.3">
      <c r="B29" s="12" t="s">
        <v>20</v>
      </c>
      <c r="C29" s="12" t="s">
        <v>106</v>
      </c>
      <c r="D29" s="12"/>
      <c r="E29" s="12" t="s">
        <v>21</v>
      </c>
      <c r="F29" s="12" t="s">
        <v>22</v>
      </c>
      <c r="G29" s="12" t="s">
        <v>24</v>
      </c>
      <c r="H29" s="12" t="s">
        <v>26</v>
      </c>
      <c r="I29" s="12" t="s">
        <v>35</v>
      </c>
      <c r="J29" s="12" t="s">
        <v>36</v>
      </c>
      <c r="K29" s="12" t="s">
        <v>38</v>
      </c>
      <c r="L29" s="12" t="s">
        <v>39</v>
      </c>
      <c r="M29" s="12" t="s">
        <v>29</v>
      </c>
    </row>
    <row r="30" spans="2:13" x14ac:dyDescent="0.3">
      <c r="B30" s="16">
        <v>44612</v>
      </c>
      <c r="C30" s="17" t="s">
        <v>13</v>
      </c>
      <c r="D30" s="17"/>
      <c r="E30" s="17">
        <f>SUM(E25:E26)</f>
        <v>40000</v>
      </c>
      <c r="F30" s="17">
        <f t="shared" ref="F30:J30" si="0">SUM(F25:F26)</f>
        <v>40000</v>
      </c>
      <c r="G30" s="17">
        <f t="shared" si="0"/>
        <v>4624400</v>
      </c>
      <c r="H30" s="17">
        <f t="shared" si="0"/>
        <v>4624400</v>
      </c>
      <c r="I30" s="17">
        <f t="shared" si="0"/>
        <v>5610.96</v>
      </c>
      <c r="J30" s="17">
        <f t="shared" si="0"/>
        <v>5593.42</v>
      </c>
      <c r="K30" s="17">
        <v>0</v>
      </c>
      <c r="L30" s="17">
        <v>0</v>
      </c>
      <c r="M30" s="18">
        <f>(G30-H30+(I30-J30)-K30+L30)/(H30+J30+K30)</f>
        <v>3.7883423169098074E-6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6D72-376F-441E-A2EF-BFAAF01D2A2B}">
  <dimension ref="B2:K28"/>
  <sheetViews>
    <sheetView workbookViewId="0">
      <selection activeCell="P21" sqref="P21"/>
    </sheetView>
  </sheetViews>
  <sheetFormatPr defaultRowHeight="14" x14ac:dyDescent="0.3"/>
  <cols>
    <col min="2" max="2" width="10" bestFit="1" customWidth="1"/>
    <col min="4" max="4" width="19" bestFit="1" customWidth="1"/>
    <col min="10" max="10" width="9" bestFit="1" customWidth="1"/>
    <col min="11" max="11" width="11" bestFit="1" customWidth="1"/>
  </cols>
  <sheetData>
    <row r="2" spans="2:11" x14ac:dyDescent="0.3">
      <c r="B2" s="1" t="s">
        <v>5</v>
      </c>
    </row>
    <row r="3" spans="2:11" x14ac:dyDescent="0.3">
      <c r="B3" s="12" t="s">
        <v>20</v>
      </c>
      <c r="C3" s="12" t="s">
        <v>30</v>
      </c>
      <c r="D3" s="12" t="s">
        <v>31</v>
      </c>
      <c r="E3" s="12" t="s">
        <v>21</v>
      </c>
      <c r="F3" s="12" t="s">
        <v>22</v>
      </c>
      <c r="G3" s="12" t="s">
        <v>24</v>
      </c>
      <c r="H3" s="12" t="s">
        <v>26</v>
      </c>
      <c r="I3" s="12" t="s">
        <v>38</v>
      </c>
      <c r="J3" s="12" t="s">
        <v>39</v>
      </c>
      <c r="K3" s="12" t="s">
        <v>29</v>
      </c>
    </row>
    <row r="4" spans="2:11" x14ac:dyDescent="0.3">
      <c r="B4" s="16">
        <v>44612</v>
      </c>
      <c r="C4" s="17" t="s">
        <v>88</v>
      </c>
      <c r="D4" s="17" t="s">
        <v>89</v>
      </c>
      <c r="E4" s="17">
        <v>40000</v>
      </c>
      <c r="F4" s="17">
        <v>40000</v>
      </c>
      <c r="G4" s="17">
        <v>4619400</v>
      </c>
      <c r="H4" s="17">
        <v>4624400</v>
      </c>
      <c r="I4" s="17"/>
      <c r="J4" s="17">
        <v>5610.96</v>
      </c>
      <c r="K4" s="18">
        <f>(G4-H4-I4+J4)/(H4+I4)</f>
        <v>1.321165989101289E-4</v>
      </c>
    </row>
    <row r="11" spans="2:11" x14ac:dyDescent="0.3">
      <c r="B11" s="1" t="s">
        <v>17</v>
      </c>
    </row>
    <row r="12" spans="2:11" x14ac:dyDescent="0.3">
      <c r="B12" s="12" t="s">
        <v>20</v>
      </c>
      <c r="C12" s="12" t="s">
        <v>30</v>
      </c>
      <c r="D12" s="12" t="s">
        <v>31</v>
      </c>
      <c r="E12" s="12" t="s">
        <v>21</v>
      </c>
      <c r="F12" s="12" t="s">
        <v>22</v>
      </c>
      <c r="G12" s="12" t="s">
        <v>24</v>
      </c>
      <c r="H12" s="12" t="s">
        <v>26</v>
      </c>
      <c r="I12" s="12" t="s">
        <v>38</v>
      </c>
      <c r="J12" s="12" t="s">
        <v>39</v>
      </c>
      <c r="K12" s="12" t="s">
        <v>29</v>
      </c>
    </row>
    <row r="13" spans="2:11" x14ac:dyDescent="0.3">
      <c r="B13" s="16">
        <v>44612</v>
      </c>
      <c r="C13" s="17" t="s">
        <v>88</v>
      </c>
      <c r="D13" s="17" t="s">
        <v>89</v>
      </c>
      <c r="E13" s="17">
        <v>80000</v>
      </c>
      <c r="F13" s="17">
        <v>40000</v>
      </c>
      <c r="G13" s="17">
        <v>4619400</v>
      </c>
      <c r="H13" s="17">
        <v>4624400</v>
      </c>
      <c r="I13" s="17"/>
      <c r="J13" s="17"/>
      <c r="K13" s="18">
        <f>(G13-H13-I13+J13)/(H13+I13)</f>
        <v>-1.0812213476342877E-3</v>
      </c>
    </row>
    <row r="21" spans="2:11" x14ac:dyDescent="0.3">
      <c r="B21" s="1" t="s">
        <v>18</v>
      </c>
    </row>
    <row r="22" spans="2:11" x14ac:dyDescent="0.3">
      <c r="B22" s="12" t="s">
        <v>20</v>
      </c>
      <c r="C22" s="12" t="s">
        <v>30</v>
      </c>
      <c r="D22" s="12" t="s">
        <v>31</v>
      </c>
      <c r="E22" s="12" t="s">
        <v>21</v>
      </c>
      <c r="F22" s="12" t="s">
        <v>22</v>
      </c>
      <c r="G22" s="12" t="s">
        <v>24</v>
      </c>
      <c r="H22" s="12" t="s">
        <v>26</v>
      </c>
      <c r="I22" s="12" t="s">
        <v>38</v>
      </c>
      <c r="J22" s="12" t="s">
        <v>39</v>
      </c>
      <c r="K22" s="12" t="s">
        <v>29</v>
      </c>
    </row>
    <row r="23" spans="2:11" x14ac:dyDescent="0.3">
      <c r="B23" s="16">
        <v>44612</v>
      </c>
      <c r="C23" s="17" t="s">
        <v>88</v>
      </c>
      <c r="D23" s="17" t="s">
        <v>89</v>
      </c>
      <c r="E23" s="17">
        <v>0</v>
      </c>
      <c r="F23" s="17">
        <v>40000</v>
      </c>
      <c r="G23" s="17">
        <v>0</v>
      </c>
      <c r="H23" s="17">
        <v>4624400</v>
      </c>
      <c r="I23" s="17"/>
      <c r="J23" s="17">
        <v>4619400</v>
      </c>
      <c r="K23" s="18">
        <f>(G23-H23-I23+J23)/(H23+I23)</f>
        <v>-1.0812213476342877E-3</v>
      </c>
    </row>
    <row r="24" spans="2:11" x14ac:dyDescent="0.3">
      <c r="B24" s="16">
        <v>44612</v>
      </c>
      <c r="C24" s="17" t="s">
        <v>88</v>
      </c>
      <c r="D24" s="17" t="s">
        <v>90</v>
      </c>
      <c r="E24" s="17">
        <v>40000</v>
      </c>
      <c r="F24" s="17">
        <v>0</v>
      </c>
      <c r="G24" s="17">
        <v>4619600</v>
      </c>
      <c r="H24" s="17">
        <v>0</v>
      </c>
      <c r="I24" s="17">
        <v>4619400</v>
      </c>
      <c r="J24" s="17">
        <v>0</v>
      </c>
      <c r="K24" s="18">
        <f>(G24-H24-I24+J24)/(H24+I24)</f>
        <v>4.329566610382301E-5</v>
      </c>
    </row>
    <row r="26" spans="2:11" x14ac:dyDescent="0.3">
      <c r="B26" t="s">
        <v>111</v>
      </c>
    </row>
    <row r="27" spans="2:11" x14ac:dyDescent="0.3">
      <c r="B27" s="12" t="s">
        <v>20</v>
      </c>
      <c r="C27" s="12" t="s">
        <v>106</v>
      </c>
      <c r="D27" s="12"/>
      <c r="E27" s="12" t="s">
        <v>21</v>
      </c>
      <c r="F27" s="12" t="s">
        <v>22</v>
      </c>
      <c r="G27" s="12" t="s">
        <v>24</v>
      </c>
      <c r="H27" s="12" t="s">
        <v>26</v>
      </c>
      <c r="I27" s="12" t="s">
        <v>38</v>
      </c>
      <c r="J27" s="12" t="s">
        <v>39</v>
      </c>
      <c r="K27" s="12" t="s">
        <v>29</v>
      </c>
    </row>
    <row r="28" spans="2:11" x14ac:dyDescent="0.3">
      <c r="B28" s="16">
        <v>44612</v>
      </c>
      <c r="C28" s="17" t="s">
        <v>16</v>
      </c>
      <c r="D28" s="17"/>
      <c r="E28" s="17">
        <f>SUM(E23:E24)</f>
        <v>40000</v>
      </c>
      <c r="F28" s="17">
        <f t="shared" ref="F28:H28" si="0">SUM(F23:F24)</f>
        <v>40000</v>
      </c>
      <c r="G28" s="17">
        <f t="shared" si="0"/>
        <v>4619600</v>
      </c>
      <c r="H28" s="17">
        <f t="shared" si="0"/>
        <v>4624400</v>
      </c>
      <c r="I28" s="17">
        <v>0</v>
      </c>
      <c r="J28" s="17">
        <v>0</v>
      </c>
      <c r="K28" s="18">
        <f>(G28-H28-I28+J28)/(H28+I28)</f>
        <v>-1.0379724937289161E-3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B22F-98FE-41BD-829A-DAF940380380}">
  <dimension ref="B1:N28"/>
  <sheetViews>
    <sheetView topLeftCell="A7" workbookViewId="0">
      <selection activeCell="B10" sqref="B10:G12"/>
    </sheetView>
  </sheetViews>
  <sheetFormatPr defaultRowHeight="14" x14ac:dyDescent="0.3"/>
  <cols>
    <col min="2" max="2" width="12.33203125" bestFit="1" customWidth="1"/>
    <col min="3" max="3" width="8.5" bestFit="1" customWidth="1"/>
    <col min="4" max="4" width="15.4140625" bestFit="1" customWidth="1"/>
    <col min="5" max="5" width="13.1640625" bestFit="1" customWidth="1"/>
    <col min="6" max="6" width="9" customWidth="1"/>
    <col min="9" max="10" width="12.33203125" bestFit="1" customWidth="1"/>
    <col min="11" max="12" width="11" bestFit="1" customWidth="1"/>
    <col min="13" max="13" width="12.5" bestFit="1" customWidth="1"/>
    <col min="14" max="14" width="11.1640625" bestFit="1" customWidth="1"/>
    <col min="16" max="16" width="9" bestFit="1" customWidth="1"/>
    <col min="17" max="17" width="10.4140625" bestFit="1" customWidth="1"/>
  </cols>
  <sheetData>
    <row r="1" spans="2:14" x14ac:dyDescent="0.3">
      <c r="B1" t="s">
        <v>41</v>
      </c>
    </row>
    <row r="2" spans="2:14" x14ac:dyDescent="0.3">
      <c r="B2" s="12" t="s">
        <v>20</v>
      </c>
      <c r="C2" s="12" t="s">
        <v>30</v>
      </c>
      <c r="D2" s="12" t="s">
        <v>31</v>
      </c>
      <c r="E2" s="12" t="s">
        <v>43</v>
      </c>
      <c r="F2" s="12" t="s">
        <v>42</v>
      </c>
      <c r="G2" s="12" t="s">
        <v>44</v>
      </c>
      <c r="H2" s="12" t="s">
        <v>34</v>
      </c>
      <c r="I2" s="12" t="s">
        <v>45</v>
      </c>
      <c r="K2" s="12" t="s">
        <v>27</v>
      </c>
      <c r="L2" s="17">
        <v>23.35</v>
      </c>
    </row>
    <row r="3" spans="2:14" x14ac:dyDescent="0.3">
      <c r="B3" s="16">
        <v>44611</v>
      </c>
      <c r="C3" s="17" t="s">
        <v>32</v>
      </c>
      <c r="D3" s="17" t="s">
        <v>33</v>
      </c>
      <c r="E3" s="17">
        <v>40000</v>
      </c>
      <c r="F3" s="17">
        <v>4624400</v>
      </c>
      <c r="G3" s="24">
        <f>F3/E3</f>
        <v>115.61</v>
      </c>
      <c r="H3" s="17">
        <v>5593.42</v>
      </c>
      <c r="I3" s="17">
        <v>-1386484.88</v>
      </c>
      <c r="K3" s="12" t="s">
        <v>55</v>
      </c>
      <c r="L3" s="17">
        <f>FLOOR(E3*100/L2,1)</f>
        <v>171306</v>
      </c>
    </row>
    <row r="4" spans="2:14" x14ac:dyDescent="0.3">
      <c r="B4" s="16">
        <v>44612</v>
      </c>
      <c r="C4" s="17" t="s">
        <v>32</v>
      </c>
      <c r="D4" s="17" t="s">
        <v>33</v>
      </c>
      <c r="E4" s="17">
        <v>40000</v>
      </c>
      <c r="F4" s="17">
        <v>4624400</v>
      </c>
      <c r="G4" s="24">
        <f>F4/E4</f>
        <v>115.61</v>
      </c>
      <c r="H4" s="17">
        <v>5610.96</v>
      </c>
      <c r="I4" s="17">
        <v>-1386484.88</v>
      </c>
      <c r="K4" s="12" t="s">
        <v>57</v>
      </c>
      <c r="L4" s="27">
        <f>E3*100/L2-L3</f>
        <v>0.20985010705771856</v>
      </c>
    </row>
    <row r="5" spans="2:14" x14ac:dyDescent="0.3">
      <c r="B5" s="16">
        <v>44613</v>
      </c>
      <c r="C5" s="17" t="s">
        <v>37</v>
      </c>
      <c r="D5" s="17" t="s">
        <v>40</v>
      </c>
      <c r="E5" s="17">
        <v>171306</v>
      </c>
      <c r="F5" s="17">
        <v>4479651.9000000004</v>
      </c>
      <c r="G5" s="24">
        <f t="shared" ref="G5:G7" si="0">F5/E5</f>
        <v>26.150000000000002</v>
      </c>
      <c r="H5" s="17">
        <v>0</v>
      </c>
      <c r="I5" s="17">
        <v>0</v>
      </c>
      <c r="K5" s="12" t="s">
        <v>56</v>
      </c>
      <c r="L5" s="17">
        <f>L4*L2</f>
        <v>4.8999999997977284</v>
      </c>
      <c r="N5" s="20"/>
    </row>
    <row r="6" spans="2:14" x14ac:dyDescent="0.3">
      <c r="B6" s="16">
        <v>44614</v>
      </c>
      <c r="C6" s="17" t="s">
        <v>37</v>
      </c>
      <c r="D6" s="17" t="s">
        <v>40</v>
      </c>
      <c r="E6" s="17">
        <v>171306</v>
      </c>
      <c r="F6" s="17">
        <v>4347746</v>
      </c>
      <c r="G6" s="24">
        <f t="shared" si="0"/>
        <v>25.379998365497997</v>
      </c>
      <c r="H6" s="17">
        <v>0</v>
      </c>
      <c r="I6" s="17">
        <v>-131905.62</v>
      </c>
      <c r="J6" s="22"/>
    </row>
    <row r="7" spans="2:14" x14ac:dyDescent="0.3">
      <c r="B7" s="16">
        <v>44615</v>
      </c>
      <c r="C7" s="17" t="s">
        <v>37</v>
      </c>
      <c r="D7" s="17" t="s">
        <v>40</v>
      </c>
      <c r="E7" s="17">
        <v>171306</v>
      </c>
      <c r="F7" s="17">
        <v>4522478</v>
      </c>
      <c r="G7" s="24">
        <f t="shared" si="0"/>
        <v>26.399997664997141</v>
      </c>
      <c r="H7" s="17">
        <v>0</v>
      </c>
      <c r="I7" s="17">
        <v>42826.5</v>
      </c>
      <c r="J7" s="22"/>
    </row>
    <row r="9" spans="2:14" x14ac:dyDescent="0.3">
      <c r="B9" t="s">
        <v>46</v>
      </c>
    </row>
    <row r="10" spans="2:14" x14ac:dyDescent="0.3">
      <c r="B10" s="23" t="s">
        <v>20</v>
      </c>
      <c r="C10" s="23" t="s">
        <v>30</v>
      </c>
      <c r="D10" s="23" t="s">
        <v>31</v>
      </c>
      <c r="E10" s="12" t="s">
        <v>48</v>
      </c>
      <c r="F10" s="12" t="s">
        <v>43</v>
      </c>
      <c r="G10" s="12" t="s">
        <v>47</v>
      </c>
    </row>
    <row r="11" spans="2:14" x14ac:dyDescent="0.3">
      <c r="B11" s="16">
        <v>44613</v>
      </c>
      <c r="C11" s="17" t="s">
        <v>37</v>
      </c>
      <c r="D11" s="17" t="s">
        <v>40</v>
      </c>
      <c r="E11" s="17" t="s">
        <v>49</v>
      </c>
      <c r="F11" s="17">
        <v>171306</v>
      </c>
      <c r="G11" s="17">
        <v>4479651.9000000004</v>
      </c>
    </row>
    <row r="12" spans="2:14" x14ac:dyDescent="0.3">
      <c r="B12" s="16">
        <v>44613</v>
      </c>
      <c r="C12" s="17" t="s">
        <v>32</v>
      </c>
      <c r="D12" s="17" t="s">
        <v>33</v>
      </c>
      <c r="E12" s="17" t="s">
        <v>50</v>
      </c>
      <c r="F12" s="17">
        <v>40000</v>
      </c>
      <c r="G12" s="17">
        <v>4479651.9000000004</v>
      </c>
      <c r="L12" s="21"/>
    </row>
    <row r="14" spans="2:14" x14ac:dyDescent="0.3">
      <c r="B14" t="s">
        <v>51</v>
      </c>
      <c r="C14" s="13"/>
    </row>
    <row r="15" spans="2:14" x14ac:dyDescent="0.3">
      <c r="B15" s="12" t="s">
        <v>20</v>
      </c>
      <c r="C15" s="12" t="s">
        <v>30</v>
      </c>
      <c r="D15" s="12" t="s">
        <v>31</v>
      </c>
      <c r="E15" s="12" t="s">
        <v>21</v>
      </c>
      <c r="F15" s="12" t="s">
        <v>22</v>
      </c>
      <c r="G15" s="12" t="s">
        <v>24</v>
      </c>
      <c r="H15" s="12" t="s">
        <v>26</v>
      </c>
      <c r="I15" s="12" t="s">
        <v>35</v>
      </c>
      <c r="J15" s="12" t="s">
        <v>36</v>
      </c>
      <c r="K15" s="12" t="s">
        <v>38</v>
      </c>
      <c r="L15" s="12" t="s">
        <v>39</v>
      </c>
      <c r="M15" s="12" t="s">
        <v>29</v>
      </c>
    </row>
    <row r="16" spans="2:14" x14ac:dyDescent="0.3">
      <c r="B16" s="16">
        <v>44612</v>
      </c>
      <c r="C16" s="17" t="s">
        <v>32</v>
      </c>
      <c r="D16" s="17" t="s">
        <v>33</v>
      </c>
      <c r="E16" s="17">
        <v>40000</v>
      </c>
      <c r="F16" s="17">
        <v>40000</v>
      </c>
      <c r="G16" s="17">
        <v>4624400</v>
      </c>
      <c r="H16" s="17">
        <v>4624400</v>
      </c>
      <c r="I16" s="19">
        <v>5610.96</v>
      </c>
      <c r="J16" s="17">
        <v>5593.42</v>
      </c>
      <c r="K16" s="17"/>
      <c r="L16" s="17"/>
      <c r="M16" s="18">
        <f>(G16-H16+(I16-J16)-K16+L16)/(H16+J16+K16)</f>
        <v>3.7883423169098074E-6</v>
      </c>
    </row>
    <row r="17" spans="2:13" x14ac:dyDescent="0.3">
      <c r="B17" s="16">
        <v>44613</v>
      </c>
      <c r="C17" s="17" t="s">
        <v>32</v>
      </c>
      <c r="D17" s="17" t="s">
        <v>33</v>
      </c>
      <c r="E17" s="17">
        <v>0</v>
      </c>
      <c r="F17" s="17">
        <v>40000</v>
      </c>
      <c r="G17" s="17">
        <v>0</v>
      </c>
      <c r="H17" s="17">
        <v>4624400</v>
      </c>
      <c r="I17" s="19">
        <v>5628.49</v>
      </c>
      <c r="J17" s="17">
        <v>5610.96</v>
      </c>
      <c r="K17" s="17"/>
      <c r="L17" s="17">
        <v>4479651.9000000004</v>
      </c>
      <c r="M17" s="18">
        <f>(G17-H17+(I17-J17)-K17+L17)/(H17+J17+K17)</f>
        <v>-3.1259228379882577E-2</v>
      </c>
    </row>
    <row r="18" spans="2:13" x14ac:dyDescent="0.3">
      <c r="B18" s="16">
        <v>44613</v>
      </c>
      <c r="C18" s="17" t="s">
        <v>37</v>
      </c>
      <c r="D18" s="17" t="s">
        <v>40</v>
      </c>
      <c r="E18" s="17">
        <v>171306</v>
      </c>
      <c r="F18" s="17">
        <v>0</v>
      </c>
      <c r="G18" s="17">
        <v>4479651.9000000004</v>
      </c>
      <c r="H18" s="17">
        <v>0</v>
      </c>
      <c r="I18" s="17"/>
      <c r="J18" s="17"/>
      <c r="K18" s="17">
        <v>4479651.9000000004</v>
      </c>
      <c r="L18" s="17"/>
      <c r="M18" s="18">
        <f>(G18-H18+(I18-J18)-K18+L18)/(H18+J18+K18)</f>
        <v>0</v>
      </c>
    </row>
    <row r="19" spans="2:13" x14ac:dyDescent="0.3">
      <c r="B19" s="16">
        <v>44614</v>
      </c>
      <c r="C19" s="17" t="s">
        <v>37</v>
      </c>
      <c r="D19" s="17" t="s">
        <v>40</v>
      </c>
      <c r="E19" s="17">
        <v>171306</v>
      </c>
      <c r="F19" s="17">
        <v>171306</v>
      </c>
      <c r="G19" s="17">
        <v>4347746</v>
      </c>
      <c r="H19" s="17">
        <v>4479651.9000000004</v>
      </c>
      <c r="I19" s="17"/>
      <c r="J19" s="17"/>
      <c r="K19" s="17"/>
      <c r="L19" s="17"/>
      <c r="M19" s="18">
        <f>(G19-H19+(I19-J19)-K19+L19)/(H19+J19+K19)</f>
        <v>-2.9445569197017376E-2</v>
      </c>
    </row>
    <row r="20" spans="2:13" x14ac:dyDescent="0.3">
      <c r="B20" s="16">
        <v>44615</v>
      </c>
      <c r="C20" s="17" t="s">
        <v>37</v>
      </c>
      <c r="D20" s="17" t="s">
        <v>40</v>
      </c>
      <c r="E20" s="17">
        <v>171306</v>
      </c>
      <c r="F20" s="17">
        <v>171306</v>
      </c>
      <c r="G20" s="17">
        <v>4522478</v>
      </c>
      <c r="H20" s="17">
        <v>4347746</v>
      </c>
      <c r="I20" s="17"/>
      <c r="J20" s="17"/>
      <c r="K20" s="17"/>
      <c r="L20" s="17"/>
      <c r="M20" s="18">
        <f>(G20-H20+(I20-J20)-K20+L20)/(H20+J20+K20)</f>
        <v>4.0189100283227218E-2</v>
      </c>
    </row>
    <row r="22" spans="2:13" x14ac:dyDescent="0.3">
      <c r="B22" s="25" t="s">
        <v>52</v>
      </c>
      <c r="C22" s="15">
        <f t="array" ref="C22">PRODUCT(M16:M17+1)-1</f>
        <v>-3.1255558458223254E-2</v>
      </c>
    </row>
    <row r="23" spans="2:13" x14ac:dyDescent="0.3">
      <c r="B23" s="25" t="s">
        <v>53</v>
      </c>
      <c r="C23" s="15">
        <f t="array" ref="C23">PRODUCT(M18:M20+1)-1</f>
        <v>9.560140152854224E-3</v>
      </c>
    </row>
    <row r="24" spans="2:13" x14ac:dyDescent="0.3">
      <c r="B24" s="26" t="s">
        <v>54</v>
      </c>
      <c r="C24" s="15">
        <f t="array" ref="C24">PRODUCT(M16:M20+1)-1</f>
        <v>-2.1994225824785274E-2</v>
      </c>
    </row>
    <row r="28" spans="2:13" x14ac:dyDescent="0.3">
      <c r="B28" t="s">
        <v>58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8ED5-2288-486A-9A32-9FFDEA4CE3CB}">
  <sheetPr codeName="Sheet1"/>
  <dimension ref="B2:P21"/>
  <sheetViews>
    <sheetView workbookViewId="0">
      <selection activeCell="N15" sqref="N15"/>
    </sheetView>
  </sheetViews>
  <sheetFormatPr defaultRowHeight="14" x14ac:dyDescent="0.3"/>
  <cols>
    <col min="2" max="2" width="14.08203125" bestFit="1" customWidth="1"/>
    <col min="3" max="3" width="9" bestFit="1" customWidth="1"/>
    <col min="4" max="4" width="16" bestFit="1" customWidth="1"/>
    <col min="5" max="5" width="10.1640625" bestFit="1" customWidth="1"/>
    <col min="12" max="12" width="10.1640625" bestFit="1" customWidth="1"/>
    <col min="13" max="13" width="11" bestFit="1" customWidth="1"/>
    <col min="15" max="15" width="11.58203125" bestFit="1" customWidth="1"/>
    <col min="16" max="16" width="18.75" bestFit="1" customWidth="1"/>
  </cols>
  <sheetData>
    <row r="2" spans="2:16" x14ac:dyDescent="0.3">
      <c r="P2" t="s">
        <v>93</v>
      </c>
    </row>
    <row r="5" spans="2:16" x14ac:dyDescent="0.3">
      <c r="B5" t="s">
        <v>41</v>
      </c>
    </row>
    <row r="6" spans="2:16" x14ac:dyDescent="0.3">
      <c r="B6" s="12" t="s">
        <v>20</v>
      </c>
      <c r="C6" s="12" t="s">
        <v>30</v>
      </c>
      <c r="D6" s="12" t="s">
        <v>31</v>
      </c>
      <c r="E6" s="12" t="s">
        <v>21</v>
      </c>
      <c r="F6" s="12" t="s">
        <v>24</v>
      </c>
      <c r="G6" s="12" t="s">
        <v>44</v>
      </c>
      <c r="H6" s="12" t="s">
        <v>22</v>
      </c>
      <c r="I6" s="12" t="s">
        <v>26</v>
      </c>
      <c r="J6" s="12" t="s">
        <v>91</v>
      </c>
      <c r="K6" s="12" t="s">
        <v>38</v>
      </c>
      <c r="L6" s="12" t="s">
        <v>39</v>
      </c>
      <c r="M6" s="12" t="s">
        <v>29</v>
      </c>
    </row>
    <row r="7" spans="2:16" x14ac:dyDescent="0.3">
      <c r="B7" s="16">
        <v>44611</v>
      </c>
      <c r="C7" s="17" t="s">
        <v>59</v>
      </c>
      <c r="D7" s="29" t="s">
        <v>60</v>
      </c>
      <c r="E7" s="17">
        <v>100000</v>
      </c>
      <c r="F7" s="17">
        <v>1000000</v>
      </c>
      <c r="G7" s="17">
        <v>10</v>
      </c>
      <c r="H7" s="17">
        <v>0</v>
      </c>
      <c r="I7" s="17">
        <v>0</v>
      </c>
      <c r="J7" s="17"/>
      <c r="K7" s="17">
        <v>1000000</v>
      </c>
      <c r="L7" s="17"/>
      <c r="M7" s="18">
        <f>(F7-I7-K7+L7)/(I7+K7)</f>
        <v>0</v>
      </c>
    </row>
    <row r="8" spans="2:16" x14ac:dyDescent="0.3">
      <c r="B8" s="16">
        <v>44611</v>
      </c>
      <c r="C8" s="17" t="s">
        <v>63</v>
      </c>
      <c r="D8" s="29" t="s">
        <v>61</v>
      </c>
      <c r="E8" s="17">
        <v>100000</v>
      </c>
      <c r="F8" s="17">
        <v>2000000</v>
      </c>
      <c r="G8" s="17">
        <v>20</v>
      </c>
      <c r="H8" s="17">
        <v>0</v>
      </c>
      <c r="I8" s="17">
        <v>0</v>
      </c>
      <c r="J8" s="17"/>
      <c r="K8" s="17">
        <v>2000000</v>
      </c>
      <c r="L8" s="17"/>
      <c r="M8" s="18">
        <f t="shared" ref="M8:M19" si="0">(F8-I8-K8+L8)/(I8+K8)</f>
        <v>0</v>
      </c>
    </row>
    <row r="9" spans="2:16" x14ac:dyDescent="0.3">
      <c r="B9" s="16">
        <v>44611</v>
      </c>
      <c r="C9" s="17" t="s">
        <v>64</v>
      </c>
      <c r="D9" s="29" t="s">
        <v>62</v>
      </c>
      <c r="E9" s="17">
        <v>100000</v>
      </c>
      <c r="F9" s="17">
        <v>3000000</v>
      </c>
      <c r="G9" s="17">
        <v>30</v>
      </c>
      <c r="H9" s="17">
        <v>0</v>
      </c>
      <c r="I9" s="17">
        <v>0</v>
      </c>
      <c r="J9" s="17"/>
      <c r="K9" s="17">
        <v>3000000</v>
      </c>
      <c r="L9" s="17"/>
      <c r="M9" s="18">
        <f t="shared" si="0"/>
        <v>0</v>
      </c>
    </row>
    <row r="10" spans="2:16" x14ac:dyDescent="0.3">
      <c r="B10" s="16">
        <v>44611</v>
      </c>
      <c r="C10" s="17" t="s">
        <v>65</v>
      </c>
      <c r="D10" s="29" t="s">
        <v>66</v>
      </c>
      <c r="E10" s="17">
        <v>1000000</v>
      </c>
      <c r="F10" s="17">
        <v>2848000</v>
      </c>
      <c r="G10" s="24">
        <v>2.8479999999999999</v>
      </c>
      <c r="H10" s="17">
        <v>1000000</v>
      </c>
      <c r="I10" s="17">
        <v>2838000</v>
      </c>
      <c r="J10" s="17">
        <f>2.838</f>
        <v>2.8380000000000001</v>
      </c>
      <c r="K10" s="17"/>
      <c r="L10" s="17"/>
      <c r="M10" s="18">
        <f t="shared" si="0"/>
        <v>3.5236081747709656E-3</v>
      </c>
    </row>
    <row r="11" spans="2:16" x14ac:dyDescent="0.3">
      <c r="B11" s="16">
        <v>44612</v>
      </c>
      <c r="C11" s="17" t="s">
        <v>59</v>
      </c>
      <c r="D11" s="29" t="s">
        <v>60</v>
      </c>
      <c r="E11" s="17">
        <v>0</v>
      </c>
      <c r="F11" s="17">
        <v>0</v>
      </c>
      <c r="G11" s="24"/>
      <c r="H11" s="17">
        <v>100000</v>
      </c>
      <c r="I11" s="17">
        <v>1000000</v>
      </c>
      <c r="J11" s="17">
        <v>10</v>
      </c>
      <c r="K11" s="17"/>
      <c r="L11" s="17">
        <f>I11</f>
        <v>1000000</v>
      </c>
      <c r="M11" s="18">
        <f t="shared" si="0"/>
        <v>0</v>
      </c>
    </row>
    <row r="12" spans="2:16" x14ac:dyDescent="0.3">
      <c r="B12" s="16">
        <v>44612</v>
      </c>
      <c r="C12" s="17" t="s">
        <v>63</v>
      </c>
      <c r="D12" s="29" t="s">
        <v>61</v>
      </c>
      <c r="E12" s="17">
        <v>0</v>
      </c>
      <c r="F12" s="17">
        <v>0</v>
      </c>
      <c r="G12" s="24"/>
      <c r="H12" s="17">
        <v>100000</v>
      </c>
      <c r="I12" s="17">
        <v>2000000</v>
      </c>
      <c r="J12" s="17">
        <v>20</v>
      </c>
      <c r="K12" s="17"/>
      <c r="L12" s="17">
        <f t="shared" ref="L12:L13" si="1">I12</f>
        <v>2000000</v>
      </c>
      <c r="M12" s="18">
        <f t="shared" si="0"/>
        <v>0</v>
      </c>
    </row>
    <row r="13" spans="2:16" x14ac:dyDescent="0.3">
      <c r="B13" s="16">
        <v>44612</v>
      </c>
      <c r="C13" s="17" t="s">
        <v>64</v>
      </c>
      <c r="D13" s="29" t="s">
        <v>62</v>
      </c>
      <c r="E13" s="17">
        <v>0</v>
      </c>
      <c r="F13" s="17">
        <v>0</v>
      </c>
      <c r="G13" s="24"/>
      <c r="H13" s="17">
        <v>100000</v>
      </c>
      <c r="I13" s="17">
        <v>3000000</v>
      </c>
      <c r="J13" s="17">
        <v>30</v>
      </c>
      <c r="K13" s="17"/>
      <c r="L13" s="17">
        <f t="shared" si="1"/>
        <v>3000000</v>
      </c>
      <c r="M13" s="18">
        <f t="shared" si="0"/>
        <v>0</v>
      </c>
    </row>
    <row r="14" spans="2:16" x14ac:dyDescent="0.3">
      <c r="B14" s="16">
        <v>44612</v>
      </c>
      <c r="C14" s="17" t="s">
        <v>65</v>
      </c>
      <c r="D14" s="29" t="s">
        <v>66</v>
      </c>
      <c r="E14" s="17">
        <f>H14+K14/G14</f>
        <v>3092050.2092050212</v>
      </c>
      <c r="F14" s="17">
        <f>E14*G14</f>
        <v>8868000</v>
      </c>
      <c r="G14" s="24">
        <v>2.8679999999999999</v>
      </c>
      <c r="H14" s="17">
        <v>1000000</v>
      </c>
      <c r="I14" s="17">
        <v>2848000</v>
      </c>
      <c r="J14" s="24">
        <v>2.8479999999999999</v>
      </c>
      <c r="K14" s="17">
        <f>SUM(L11:L13)</f>
        <v>6000000</v>
      </c>
      <c r="L14" s="17"/>
      <c r="M14" s="18">
        <f t="shared" si="0"/>
        <v>2.2603978300180833E-3</v>
      </c>
    </row>
    <row r="15" spans="2:16" x14ac:dyDescent="0.3">
      <c r="B15" s="16">
        <v>44613</v>
      </c>
      <c r="C15" s="17" t="s">
        <v>65</v>
      </c>
      <c r="D15" s="29" t="s">
        <v>66</v>
      </c>
      <c r="E15" s="17">
        <v>3092050.2092050212</v>
      </c>
      <c r="F15" s="17">
        <f>E15*G15</f>
        <v>8858723.8493723869</v>
      </c>
      <c r="G15" s="24">
        <v>2.8650000000000002</v>
      </c>
      <c r="H15" s="17">
        <v>3092050.2092050212</v>
      </c>
      <c r="I15" s="17">
        <v>8868000</v>
      </c>
      <c r="J15" s="24">
        <v>2.8679999999999999</v>
      </c>
      <c r="K15" s="17"/>
      <c r="L15" s="17"/>
      <c r="M15" s="18">
        <f t="shared" si="0"/>
        <v>-1.0460251046022855E-3</v>
      </c>
    </row>
    <row r="16" spans="2:16" x14ac:dyDescent="0.3">
      <c r="B16" s="16">
        <v>44614</v>
      </c>
      <c r="C16" s="17" t="s">
        <v>59</v>
      </c>
      <c r="D16" s="29" t="s">
        <v>60</v>
      </c>
      <c r="E16" s="17">
        <v>100000</v>
      </c>
      <c r="F16" s="17">
        <f>E16*G16</f>
        <v>1096200</v>
      </c>
      <c r="G16" s="24">
        <v>10.962</v>
      </c>
      <c r="H16" s="17">
        <v>0</v>
      </c>
      <c r="I16" s="17">
        <v>0</v>
      </c>
      <c r="J16" s="17"/>
      <c r="K16" s="17">
        <v>1096200</v>
      </c>
      <c r="L16" s="17"/>
      <c r="M16" s="18">
        <f t="shared" si="0"/>
        <v>0</v>
      </c>
    </row>
    <row r="17" spans="2:16" x14ac:dyDescent="0.3">
      <c r="B17" s="16">
        <v>44614</v>
      </c>
      <c r="C17" s="17" t="s">
        <v>63</v>
      </c>
      <c r="D17" s="29" t="s">
        <v>61</v>
      </c>
      <c r="E17" s="17">
        <v>100000</v>
      </c>
      <c r="F17" s="17">
        <f t="shared" ref="F17:F18" si="2">E17*G17</f>
        <v>1892050</v>
      </c>
      <c r="G17" s="24">
        <v>18.920500000000001</v>
      </c>
      <c r="H17" s="17">
        <v>0</v>
      </c>
      <c r="I17" s="17">
        <v>0</v>
      </c>
      <c r="J17" s="17"/>
      <c r="K17" s="17">
        <v>1892050</v>
      </c>
      <c r="L17" s="17"/>
      <c r="M17" s="18">
        <f t="shared" si="0"/>
        <v>0</v>
      </c>
      <c r="P17" s="43"/>
    </row>
    <row r="18" spans="2:16" x14ac:dyDescent="0.3">
      <c r="B18" s="16">
        <v>44614</v>
      </c>
      <c r="C18" s="17" t="s">
        <v>64</v>
      </c>
      <c r="D18" s="29" t="s">
        <v>62</v>
      </c>
      <c r="E18" s="17">
        <v>100000</v>
      </c>
      <c r="F18" s="17">
        <f t="shared" si="2"/>
        <v>2995010</v>
      </c>
      <c r="G18" s="24">
        <v>29.950099999999999</v>
      </c>
      <c r="H18" s="17">
        <v>0</v>
      </c>
      <c r="I18" s="17">
        <v>0</v>
      </c>
      <c r="J18" s="17"/>
      <c r="K18" s="17">
        <v>2995010</v>
      </c>
      <c r="L18" s="17"/>
      <c r="M18" s="18">
        <f t="shared" si="0"/>
        <v>0</v>
      </c>
    </row>
    <row r="19" spans="2:16" x14ac:dyDescent="0.3">
      <c r="B19" s="16">
        <v>44614</v>
      </c>
      <c r="C19" s="17" t="s">
        <v>65</v>
      </c>
      <c r="D19" s="29" t="s">
        <v>66</v>
      </c>
      <c r="E19" s="17">
        <v>1000000</v>
      </c>
      <c r="F19" s="17">
        <f>E19*G19</f>
        <v>2860000</v>
      </c>
      <c r="G19" s="24">
        <v>2.86</v>
      </c>
      <c r="H19" s="17">
        <v>3092050.2092050212</v>
      </c>
      <c r="I19" s="17">
        <v>8858723.8493723869</v>
      </c>
      <c r="J19" s="17">
        <v>2.8650000000000002</v>
      </c>
      <c r="K19" s="17"/>
      <c r="L19" s="17">
        <f>SUM(K16:K18)</f>
        <v>5983260</v>
      </c>
      <c r="M19" s="18">
        <f t="shared" si="0"/>
        <v>-1.7456068882294483E-3</v>
      </c>
    </row>
    <row r="21" spans="2:16" x14ac:dyDescent="0.3">
      <c r="B21" s="25" t="s">
        <v>92</v>
      </c>
      <c r="C21" s="44">
        <f t="array" ref="C21">PRODUCT(M10+1,M14+1,M15+1,M19+1)-1</f>
        <v>2.986006241820327E-3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4CB8-A923-45C6-87C2-D2B94CA8BB4B}">
  <dimension ref="A1:L54"/>
  <sheetViews>
    <sheetView topLeftCell="A16" workbookViewId="0">
      <selection activeCell="O45" sqref="O45"/>
    </sheetView>
  </sheetViews>
  <sheetFormatPr defaultRowHeight="14" x14ac:dyDescent="0.3"/>
  <cols>
    <col min="1" max="1" width="13" bestFit="1" customWidth="1"/>
    <col min="2" max="2" width="11.58203125" bestFit="1" customWidth="1"/>
    <col min="3" max="3" width="10.08203125" bestFit="1" customWidth="1"/>
    <col min="4" max="4" width="13.33203125" bestFit="1" customWidth="1"/>
    <col min="5" max="6" width="11.58203125" bestFit="1" customWidth="1"/>
    <col min="7" max="7" width="13.83203125" bestFit="1" customWidth="1"/>
    <col min="8" max="8" width="10.5" bestFit="1" customWidth="1"/>
    <col min="9" max="9" width="13" bestFit="1" customWidth="1"/>
    <col min="10" max="10" width="11" bestFit="1" customWidth="1"/>
    <col min="11" max="11" width="12.75" bestFit="1" customWidth="1"/>
    <col min="12" max="12" width="18.08203125" bestFit="1" customWidth="1"/>
  </cols>
  <sheetData>
    <row r="1" spans="1:12" x14ac:dyDescent="0.3">
      <c r="A1" t="s">
        <v>129</v>
      </c>
    </row>
    <row r="2" spans="1:12" x14ac:dyDescent="0.3">
      <c r="A2" s="47" t="s">
        <v>115</v>
      </c>
      <c r="B2" s="47" t="s">
        <v>116</v>
      </c>
      <c r="C2" s="47" t="s">
        <v>117</v>
      </c>
      <c r="D2" s="47" t="s">
        <v>118</v>
      </c>
      <c r="E2" s="47" t="s">
        <v>119</v>
      </c>
      <c r="F2" s="47" t="s">
        <v>120</v>
      </c>
      <c r="G2" s="47" t="s">
        <v>121</v>
      </c>
      <c r="H2" s="47" t="s">
        <v>122</v>
      </c>
      <c r="I2" s="47" t="s">
        <v>123</v>
      </c>
      <c r="J2" s="47" t="s">
        <v>124</v>
      </c>
      <c r="K2" s="47" t="s">
        <v>125</v>
      </c>
      <c r="L2" s="47" t="s">
        <v>126</v>
      </c>
    </row>
    <row r="3" spans="1:12" x14ac:dyDescent="0.3">
      <c r="A3" s="34">
        <v>20221130</v>
      </c>
      <c r="B3" s="34">
        <v>-415000000</v>
      </c>
      <c r="C3" s="34">
        <v>0</v>
      </c>
      <c r="D3" s="34">
        <v>0</v>
      </c>
      <c r="E3" s="48" t="s">
        <v>127</v>
      </c>
      <c r="F3" s="48" t="s">
        <v>127</v>
      </c>
      <c r="G3" s="48" t="s">
        <v>127</v>
      </c>
      <c r="H3" s="48" t="s">
        <v>127</v>
      </c>
      <c r="I3" s="48"/>
      <c r="J3" s="48" t="s">
        <v>127</v>
      </c>
      <c r="K3" s="48" t="s">
        <v>127</v>
      </c>
      <c r="L3" s="49" t="s">
        <v>128</v>
      </c>
    </row>
    <row r="4" spans="1:12" x14ac:dyDescent="0.3">
      <c r="A4" s="34">
        <v>20221201</v>
      </c>
      <c r="B4" s="34">
        <v>0</v>
      </c>
      <c r="C4" s="34">
        <v>0</v>
      </c>
      <c r="D4" s="34">
        <v>-415034947.25</v>
      </c>
      <c r="E4" s="34">
        <f>B4</f>
        <v>0</v>
      </c>
      <c r="F4" s="34">
        <f>B3</f>
        <v>-415000000</v>
      </c>
      <c r="G4" s="34">
        <f>D4</f>
        <v>-415034947.25</v>
      </c>
      <c r="H4" s="34">
        <f>C4-C3+(E4-F4)+D4</f>
        <v>-34947.25</v>
      </c>
      <c r="I4" s="34">
        <f>C3</f>
        <v>0</v>
      </c>
      <c r="J4" s="34">
        <f>H4</f>
        <v>-34947.25</v>
      </c>
      <c r="K4" s="34">
        <f>ABS(F4+I4)</f>
        <v>415000000</v>
      </c>
      <c r="L4" s="50">
        <f>J4/K4</f>
        <v>-8.4210240963855418E-5</v>
      </c>
    </row>
    <row r="5" spans="1:12" x14ac:dyDescent="0.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12" x14ac:dyDescent="0.3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2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x14ac:dyDescent="0.3">
      <c r="A8" s="47" t="s">
        <v>115</v>
      </c>
      <c r="B8" s="47" t="s">
        <v>116</v>
      </c>
      <c r="C8" s="47" t="s">
        <v>117</v>
      </c>
      <c r="D8" s="47" t="s">
        <v>118</v>
      </c>
      <c r="E8" s="47" t="s">
        <v>119</v>
      </c>
      <c r="F8" s="47" t="s">
        <v>120</v>
      </c>
      <c r="G8" s="47" t="s">
        <v>121</v>
      </c>
      <c r="H8" s="47" t="s">
        <v>122</v>
      </c>
      <c r="I8" s="47" t="s">
        <v>123</v>
      </c>
      <c r="J8" s="47" t="s">
        <v>124</v>
      </c>
      <c r="K8" s="47" t="s">
        <v>125</v>
      </c>
      <c r="L8" s="47" t="s">
        <v>126</v>
      </c>
    </row>
    <row r="9" spans="1:12" x14ac:dyDescent="0.3">
      <c r="A9" s="34">
        <v>20221123</v>
      </c>
      <c r="B9" s="34">
        <v>-470000000</v>
      </c>
      <c r="C9" s="34">
        <v>0</v>
      </c>
      <c r="D9" s="34">
        <v>0</v>
      </c>
      <c r="E9" s="48" t="s">
        <v>127</v>
      </c>
      <c r="F9" s="48" t="s">
        <v>127</v>
      </c>
      <c r="G9" s="48" t="s">
        <v>127</v>
      </c>
      <c r="H9" s="48" t="s">
        <v>127</v>
      </c>
      <c r="I9" s="48"/>
      <c r="J9" s="48" t="s">
        <v>127</v>
      </c>
      <c r="K9" s="48" t="s">
        <v>127</v>
      </c>
      <c r="L9" s="49" t="s">
        <v>128</v>
      </c>
    </row>
    <row r="10" spans="1:12" x14ac:dyDescent="0.3">
      <c r="A10" s="34">
        <v>20221124</v>
      </c>
      <c r="B10" s="34">
        <v>-470000000</v>
      </c>
      <c r="C10" s="34">
        <v>-29552.04</v>
      </c>
      <c r="D10" s="34">
        <v>0</v>
      </c>
      <c r="E10" s="34">
        <f t="shared" ref="E10:E16" si="0">B10</f>
        <v>-470000000</v>
      </c>
      <c r="F10" s="34">
        <f t="shared" ref="F10:F16" si="1">B9</f>
        <v>-470000000</v>
      </c>
      <c r="G10" s="34">
        <f t="shared" ref="G10:G16" si="2">D10</f>
        <v>0</v>
      </c>
      <c r="H10" s="34">
        <f t="shared" ref="H10:H16" si="3">C10-C9+(E10-F10)+D10</f>
        <v>-29552.04</v>
      </c>
      <c r="I10" s="34">
        <f>C9</f>
        <v>0</v>
      </c>
      <c r="J10" s="34">
        <f>H10</f>
        <v>-29552.04</v>
      </c>
      <c r="K10" s="34">
        <f>ABS(F10+I10)</f>
        <v>470000000</v>
      </c>
      <c r="L10" s="50">
        <f t="shared" ref="L10:L16" si="4">J10/K10</f>
        <v>-6.2876680851063827E-5</v>
      </c>
    </row>
    <row r="11" spans="1:12" x14ac:dyDescent="0.3">
      <c r="A11" s="34">
        <v>20221125</v>
      </c>
      <c r="B11" s="34">
        <v>-470000000</v>
      </c>
      <c r="C11" s="34">
        <f>C10*2</f>
        <v>-59104.08</v>
      </c>
      <c r="D11" s="34">
        <v>0</v>
      </c>
      <c r="E11" s="34">
        <f t="shared" si="0"/>
        <v>-470000000</v>
      </c>
      <c r="F11" s="34">
        <f t="shared" si="1"/>
        <v>-470000000</v>
      </c>
      <c r="G11" s="34">
        <f t="shared" si="2"/>
        <v>0</v>
      </c>
      <c r="H11" s="34">
        <f t="shared" si="3"/>
        <v>-29552.04</v>
      </c>
      <c r="I11" s="51">
        <f>C10</f>
        <v>-29552.04</v>
      </c>
      <c r="J11" s="34">
        <f t="shared" ref="J11:J16" si="5">H11</f>
        <v>-29552.04</v>
      </c>
      <c r="K11" s="34">
        <f t="shared" ref="K11:K16" si="6">ABS(F11+I11)</f>
        <v>470029552.04000002</v>
      </c>
      <c r="L11" s="50">
        <f t="shared" si="4"/>
        <v>-6.2872727622634864E-5</v>
      </c>
    </row>
    <row r="12" spans="1:12" x14ac:dyDescent="0.3">
      <c r="A12" s="34">
        <v>20221126</v>
      </c>
      <c r="B12" s="34">
        <v>-470000000</v>
      </c>
      <c r="C12" s="34">
        <f>C10*3</f>
        <v>-88656.12</v>
      </c>
      <c r="D12" s="34">
        <v>0</v>
      </c>
      <c r="E12" s="34">
        <f t="shared" si="0"/>
        <v>-470000000</v>
      </c>
      <c r="F12" s="34">
        <f t="shared" si="1"/>
        <v>-470000000</v>
      </c>
      <c r="G12" s="34">
        <f t="shared" si="2"/>
        <v>0</v>
      </c>
      <c r="H12" s="34">
        <f t="shared" si="3"/>
        <v>-29552.039999999994</v>
      </c>
      <c r="I12" s="51">
        <f t="shared" ref="I12:I16" si="7">C11</f>
        <v>-59104.08</v>
      </c>
      <c r="J12" s="34">
        <f t="shared" si="5"/>
        <v>-29552.039999999994</v>
      </c>
      <c r="K12" s="34">
        <f t="shared" si="6"/>
        <v>470059104.07999998</v>
      </c>
      <c r="L12" s="50">
        <f t="shared" si="4"/>
        <v>-6.2868774891275151E-5</v>
      </c>
    </row>
    <row r="13" spans="1:12" x14ac:dyDescent="0.3">
      <c r="A13" s="34">
        <v>20221127</v>
      </c>
      <c r="B13" s="34">
        <v>-470000000</v>
      </c>
      <c r="C13" s="34">
        <f>C10*4</f>
        <v>-118208.16</v>
      </c>
      <c r="D13" s="34">
        <v>0</v>
      </c>
      <c r="E13" s="34">
        <f t="shared" si="0"/>
        <v>-470000000</v>
      </c>
      <c r="F13" s="34">
        <f t="shared" si="1"/>
        <v>-470000000</v>
      </c>
      <c r="G13" s="34">
        <f t="shared" si="2"/>
        <v>0</v>
      </c>
      <c r="H13" s="34">
        <f t="shared" si="3"/>
        <v>-29552.040000000008</v>
      </c>
      <c r="I13" s="51">
        <f t="shared" si="7"/>
        <v>-88656.12</v>
      </c>
      <c r="J13" s="34">
        <f t="shared" si="5"/>
        <v>-29552.040000000008</v>
      </c>
      <c r="K13" s="34">
        <f t="shared" si="6"/>
        <v>470088656.12</v>
      </c>
      <c r="L13" s="50">
        <f t="shared" si="4"/>
        <v>-6.2864822656890973E-5</v>
      </c>
    </row>
    <row r="14" spans="1:12" x14ac:dyDescent="0.3">
      <c r="A14" s="34">
        <v>20221128</v>
      </c>
      <c r="B14" s="34">
        <v>-470000000</v>
      </c>
      <c r="C14" s="34">
        <f>C10*5</f>
        <v>-147760.20000000001</v>
      </c>
      <c r="D14" s="34">
        <v>0</v>
      </c>
      <c r="E14" s="34">
        <f t="shared" si="0"/>
        <v>-470000000</v>
      </c>
      <c r="F14" s="34">
        <f t="shared" si="1"/>
        <v>-470000000</v>
      </c>
      <c r="G14" s="34">
        <f t="shared" si="2"/>
        <v>0</v>
      </c>
      <c r="H14" s="34">
        <f t="shared" si="3"/>
        <v>-29552.040000000008</v>
      </c>
      <c r="I14" s="51">
        <f t="shared" si="7"/>
        <v>-118208.16</v>
      </c>
      <c r="J14" s="34">
        <f t="shared" si="5"/>
        <v>-29552.040000000008</v>
      </c>
      <c r="K14" s="34">
        <f t="shared" si="6"/>
        <v>470118208.16000003</v>
      </c>
      <c r="L14" s="50">
        <f t="shared" si="4"/>
        <v>-6.2860870919388573E-5</v>
      </c>
    </row>
    <row r="15" spans="1:12" x14ac:dyDescent="0.3">
      <c r="A15" s="34">
        <v>20221129</v>
      </c>
      <c r="B15" s="34">
        <v>-470000000</v>
      </c>
      <c r="C15" s="34">
        <f>C10*6</f>
        <v>-177312.24</v>
      </c>
      <c r="D15" s="34">
        <v>0</v>
      </c>
      <c r="E15" s="34">
        <f t="shared" si="0"/>
        <v>-470000000</v>
      </c>
      <c r="F15" s="34">
        <f t="shared" si="1"/>
        <v>-470000000</v>
      </c>
      <c r="G15" s="34">
        <f t="shared" si="2"/>
        <v>0</v>
      </c>
      <c r="H15" s="34">
        <f t="shared" si="3"/>
        <v>-29552.039999999979</v>
      </c>
      <c r="I15" s="51">
        <f t="shared" si="7"/>
        <v>-147760.20000000001</v>
      </c>
      <c r="J15" s="34">
        <f t="shared" si="5"/>
        <v>-29552.039999999979</v>
      </c>
      <c r="K15" s="34">
        <f t="shared" si="6"/>
        <v>470147760.19999999</v>
      </c>
      <c r="L15" s="50">
        <f t="shared" si="4"/>
        <v>-6.2856919678674209E-5</v>
      </c>
    </row>
    <row r="16" spans="1:12" x14ac:dyDescent="0.3">
      <c r="A16" s="34">
        <v>20221130</v>
      </c>
      <c r="B16" s="34">
        <v>0</v>
      </c>
      <c r="C16" s="34">
        <v>0</v>
      </c>
      <c r="D16" s="34">
        <v>-470206864.31</v>
      </c>
      <c r="E16" s="34">
        <f t="shared" si="0"/>
        <v>0</v>
      </c>
      <c r="F16" s="34">
        <f t="shared" si="1"/>
        <v>-470000000</v>
      </c>
      <c r="G16" s="34">
        <f t="shared" si="2"/>
        <v>-470206864.31</v>
      </c>
      <c r="H16" s="34">
        <f t="shared" si="3"/>
        <v>-29552.069999992847</v>
      </c>
      <c r="I16" s="51">
        <f t="shared" si="7"/>
        <v>-177312.24</v>
      </c>
      <c r="J16" s="34">
        <f t="shared" si="5"/>
        <v>-29552.069999992847</v>
      </c>
      <c r="K16" s="34">
        <f t="shared" si="6"/>
        <v>470177312.24000001</v>
      </c>
      <c r="L16" s="50">
        <f t="shared" si="4"/>
        <v>-6.2853032740355026E-5</v>
      </c>
    </row>
    <row r="22" spans="1:12" x14ac:dyDescent="0.3">
      <c r="A22" t="s">
        <v>130</v>
      </c>
    </row>
    <row r="23" spans="1:12" x14ac:dyDescent="0.3">
      <c r="A23" s="47" t="s">
        <v>115</v>
      </c>
      <c r="B23" s="47" t="s">
        <v>116</v>
      </c>
      <c r="C23" s="47" t="s">
        <v>117</v>
      </c>
      <c r="D23" s="47" t="s">
        <v>118</v>
      </c>
      <c r="E23" s="47" t="s">
        <v>119</v>
      </c>
      <c r="F23" s="47" t="s">
        <v>120</v>
      </c>
      <c r="G23" s="47" t="s">
        <v>121</v>
      </c>
      <c r="H23" s="47" t="s">
        <v>122</v>
      </c>
      <c r="I23" s="47" t="s">
        <v>123</v>
      </c>
      <c r="J23" s="47" t="s">
        <v>124</v>
      </c>
      <c r="K23" s="47" t="s">
        <v>125</v>
      </c>
      <c r="L23" s="47" t="s">
        <v>126</v>
      </c>
    </row>
    <row r="24" spans="1:12" x14ac:dyDescent="0.3">
      <c r="A24" s="34">
        <v>20221123</v>
      </c>
      <c r="B24" s="34">
        <v>470000000</v>
      </c>
      <c r="C24" s="34">
        <v>0</v>
      </c>
      <c r="D24" s="34">
        <v>0</v>
      </c>
      <c r="E24" s="48" t="s">
        <v>127</v>
      </c>
      <c r="F24" s="48" t="s">
        <v>127</v>
      </c>
      <c r="G24" s="48" t="s">
        <v>127</v>
      </c>
      <c r="H24" s="48" t="s">
        <v>127</v>
      </c>
      <c r="I24" s="48"/>
      <c r="J24" s="48" t="s">
        <v>127</v>
      </c>
      <c r="K24" s="48" t="s">
        <v>127</v>
      </c>
      <c r="L24" s="49" t="s">
        <v>128</v>
      </c>
    </row>
    <row r="25" spans="1:12" x14ac:dyDescent="0.3">
      <c r="A25" s="34">
        <v>20221124</v>
      </c>
      <c r="B25" s="34">
        <v>470000000</v>
      </c>
      <c r="C25" s="34">
        <v>29552.04</v>
      </c>
      <c r="D25" s="34">
        <v>0</v>
      </c>
      <c r="E25" s="34">
        <f t="shared" ref="E25:E31" si="8">B25</f>
        <v>470000000</v>
      </c>
      <c r="F25" s="34">
        <f t="shared" ref="F25:F31" si="9">B24</f>
        <v>470000000</v>
      </c>
      <c r="G25" s="34">
        <f t="shared" ref="G25:G31" si="10">D25</f>
        <v>0</v>
      </c>
      <c r="H25" s="34">
        <f t="shared" ref="H25:H31" si="11">C25-C24+(E25-F25)+D25</f>
        <v>29552.04</v>
      </c>
      <c r="I25" s="34">
        <f>C24</f>
        <v>0</v>
      </c>
      <c r="J25" s="34">
        <f>H25</f>
        <v>29552.04</v>
      </c>
      <c r="K25" s="34">
        <f>ABS(F25+I25)</f>
        <v>470000000</v>
      </c>
      <c r="L25" s="50">
        <f t="shared" ref="L25:L31" si="12">J25/K25</f>
        <v>6.2876680851063827E-5</v>
      </c>
    </row>
    <row r="26" spans="1:12" x14ac:dyDescent="0.3">
      <c r="A26" s="34">
        <v>20221125</v>
      </c>
      <c r="B26" s="34">
        <v>470000000</v>
      </c>
      <c r="C26" s="34">
        <f>C25*2</f>
        <v>59104.08</v>
      </c>
      <c r="D26" s="34">
        <v>0</v>
      </c>
      <c r="E26" s="34">
        <f t="shared" si="8"/>
        <v>470000000</v>
      </c>
      <c r="F26" s="34">
        <f t="shared" si="9"/>
        <v>470000000</v>
      </c>
      <c r="G26" s="34">
        <f t="shared" si="10"/>
        <v>0</v>
      </c>
      <c r="H26" s="34">
        <f t="shared" si="11"/>
        <v>29552.04</v>
      </c>
      <c r="I26" s="51">
        <f>C25</f>
        <v>29552.04</v>
      </c>
      <c r="J26" s="34">
        <f t="shared" ref="J26:J31" si="13">H26</f>
        <v>29552.04</v>
      </c>
      <c r="K26" s="34">
        <f t="shared" ref="K26:K31" si="14">ABS(F26+I26)</f>
        <v>470029552.04000002</v>
      </c>
      <c r="L26" s="50">
        <f t="shared" si="12"/>
        <v>6.2872727622634864E-5</v>
      </c>
    </row>
    <row r="27" spans="1:12" x14ac:dyDescent="0.3">
      <c r="A27" s="34">
        <v>20221126</v>
      </c>
      <c r="B27" s="34">
        <v>470000000</v>
      </c>
      <c r="C27" s="34">
        <f>C25*3</f>
        <v>88656.12</v>
      </c>
      <c r="D27" s="34">
        <v>0</v>
      </c>
      <c r="E27" s="34">
        <f t="shared" si="8"/>
        <v>470000000</v>
      </c>
      <c r="F27" s="34">
        <f t="shared" si="9"/>
        <v>470000000</v>
      </c>
      <c r="G27" s="34">
        <f t="shared" si="10"/>
        <v>0</v>
      </c>
      <c r="H27" s="34">
        <f t="shared" si="11"/>
        <v>29552.039999999994</v>
      </c>
      <c r="I27" s="51">
        <f t="shared" ref="I27:I31" si="15">C26</f>
        <v>59104.08</v>
      </c>
      <c r="J27" s="34">
        <f t="shared" si="13"/>
        <v>29552.039999999994</v>
      </c>
      <c r="K27" s="34">
        <f t="shared" si="14"/>
        <v>470059104.07999998</v>
      </c>
      <c r="L27" s="50">
        <f t="shared" si="12"/>
        <v>6.2868774891275151E-5</v>
      </c>
    </row>
    <row r="28" spans="1:12" x14ac:dyDescent="0.3">
      <c r="A28" s="34">
        <v>20221127</v>
      </c>
      <c r="B28" s="34">
        <v>470000000</v>
      </c>
      <c r="C28" s="34">
        <f>C25*4</f>
        <v>118208.16</v>
      </c>
      <c r="D28" s="34">
        <v>0</v>
      </c>
      <c r="E28" s="34">
        <f t="shared" si="8"/>
        <v>470000000</v>
      </c>
      <c r="F28" s="34">
        <f t="shared" si="9"/>
        <v>470000000</v>
      </c>
      <c r="G28" s="34">
        <f t="shared" si="10"/>
        <v>0</v>
      </c>
      <c r="H28" s="34">
        <f t="shared" si="11"/>
        <v>29552.040000000008</v>
      </c>
      <c r="I28" s="51">
        <f t="shared" si="15"/>
        <v>88656.12</v>
      </c>
      <c r="J28" s="34">
        <f t="shared" si="13"/>
        <v>29552.040000000008</v>
      </c>
      <c r="K28" s="34">
        <f t="shared" si="14"/>
        <v>470088656.12</v>
      </c>
      <c r="L28" s="50">
        <f t="shared" si="12"/>
        <v>6.2864822656890973E-5</v>
      </c>
    </row>
    <row r="29" spans="1:12" x14ac:dyDescent="0.3">
      <c r="A29" s="34">
        <v>20221128</v>
      </c>
      <c r="B29" s="34">
        <v>470000000</v>
      </c>
      <c r="C29" s="34">
        <f>C25*5</f>
        <v>147760.20000000001</v>
      </c>
      <c r="D29" s="34">
        <v>0</v>
      </c>
      <c r="E29" s="34">
        <f t="shared" si="8"/>
        <v>470000000</v>
      </c>
      <c r="F29" s="34">
        <f t="shared" si="9"/>
        <v>470000000</v>
      </c>
      <c r="G29" s="34">
        <f t="shared" si="10"/>
        <v>0</v>
      </c>
      <c r="H29" s="34">
        <f t="shared" si="11"/>
        <v>29552.040000000008</v>
      </c>
      <c r="I29" s="51">
        <f t="shared" si="15"/>
        <v>118208.16</v>
      </c>
      <c r="J29" s="34">
        <f t="shared" si="13"/>
        <v>29552.040000000008</v>
      </c>
      <c r="K29" s="34">
        <f t="shared" si="14"/>
        <v>470118208.16000003</v>
      </c>
      <c r="L29" s="50">
        <f t="shared" si="12"/>
        <v>6.2860870919388573E-5</v>
      </c>
    </row>
    <row r="30" spans="1:12" x14ac:dyDescent="0.3">
      <c r="A30" s="34">
        <v>20221129</v>
      </c>
      <c r="B30" s="34">
        <v>470000000</v>
      </c>
      <c r="C30" s="34">
        <f>C25*6</f>
        <v>177312.24</v>
      </c>
      <c r="D30" s="34">
        <v>0</v>
      </c>
      <c r="E30" s="34">
        <f t="shared" si="8"/>
        <v>470000000</v>
      </c>
      <c r="F30" s="34">
        <f t="shared" si="9"/>
        <v>470000000</v>
      </c>
      <c r="G30" s="34">
        <f t="shared" si="10"/>
        <v>0</v>
      </c>
      <c r="H30" s="34">
        <f t="shared" si="11"/>
        <v>29552.039999999979</v>
      </c>
      <c r="I30" s="51">
        <f t="shared" si="15"/>
        <v>147760.20000000001</v>
      </c>
      <c r="J30" s="34">
        <f t="shared" si="13"/>
        <v>29552.039999999979</v>
      </c>
      <c r="K30" s="34">
        <f t="shared" si="14"/>
        <v>470147760.19999999</v>
      </c>
      <c r="L30" s="50">
        <f t="shared" si="12"/>
        <v>6.2856919678674209E-5</v>
      </c>
    </row>
    <row r="31" spans="1:12" x14ac:dyDescent="0.3">
      <c r="A31" s="34">
        <v>20221130</v>
      </c>
      <c r="B31" s="34">
        <v>0</v>
      </c>
      <c r="C31" s="34">
        <v>0</v>
      </c>
      <c r="D31" s="34">
        <v>470206864.31</v>
      </c>
      <c r="E31" s="34">
        <f t="shared" si="8"/>
        <v>0</v>
      </c>
      <c r="F31" s="34">
        <f t="shared" si="9"/>
        <v>470000000</v>
      </c>
      <c r="G31" s="34">
        <f t="shared" si="10"/>
        <v>470206864.31</v>
      </c>
      <c r="H31" s="34">
        <f t="shared" si="11"/>
        <v>29552.069999992847</v>
      </c>
      <c r="I31" s="51">
        <f t="shared" si="15"/>
        <v>177312.24</v>
      </c>
      <c r="J31" s="34">
        <f t="shared" si="13"/>
        <v>29552.069999992847</v>
      </c>
      <c r="K31" s="34">
        <f t="shared" si="14"/>
        <v>470177312.24000001</v>
      </c>
      <c r="L31" s="50">
        <f t="shared" si="12"/>
        <v>6.2853032740355026E-5</v>
      </c>
    </row>
    <row r="34" spans="1:12" x14ac:dyDescent="0.3">
      <c r="A34" t="s">
        <v>132</v>
      </c>
    </row>
    <row r="35" spans="1:12" x14ac:dyDescent="0.3">
      <c r="A35" s="47" t="s">
        <v>115</v>
      </c>
      <c r="B35" s="47" t="s">
        <v>116</v>
      </c>
      <c r="C35" s="47" t="s">
        <v>117</v>
      </c>
      <c r="D35" s="47" t="s">
        <v>118</v>
      </c>
      <c r="E35" s="47" t="s">
        <v>119</v>
      </c>
      <c r="F35" s="47" t="s">
        <v>120</v>
      </c>
      <c r="G35" s="47" t="s">
        <v>121</v>
      </c>
      <c r="H35" s="47" t="s">
        <v>122</v>
      </c>
      <c r="I35" s="47" t="s">
        <v>123</v>
      </c>
      <c r="J35" s="47" t="s">
        <v>124</v>
      </c>
      <c r="K35" s="47" t="s">
        <v>125</v>
      </c>
      <c r="L35" s="47" t="s">
        <v>126</v>
      </c>
    </row>
    <row r="36" spans="1:12" x14ac:dyDescent="0.3">
      <c r="A36" s="34">
        <v>20221123</v>
      </c>
      <c r="B36" s="34">
        <v>-470000000</v>
      </c>
      <c r="C36" s="34">
        <v>-29552.04</v>
      </c>
      <c r="D36" s="34">
        <v>0</v>
      </c>
      <c r="E36" s="34">
        <f>B36</f>
        <v>-470000000</v>
      </c>
      <c r="F36" s="48">
        <v>0</v>
      </c>
      <c r="G36" s="48" t="s">
        <v>127</v>
      </c>
      <c r="H36" s="34">
        <f>C36</f>
        <v>-29552.04</v>
      </c>
      <c r="I36" s="48">
        <v>0</v>
      </c>
      <c r="J36" s="34">
        <f>H36</f>
        <v>-29552.04</v>
      </c>
      <c r="K36" s="34">
        <f>ABS(F36+IF(F36=0,E36,I36))</f>
        <v>470000000</v>
      </c>
      <c r="L36" s="50">
        <f>J36/K36</f>
        <v>-6.2876680851063827E-5</v>
      </c>
    </row>
    <row r="37" spans="1:12" x14ac:dyDescent="0.3">
      <c r="A37" s="34">
        <v>20221124</v>
      </c>
      <c r="B37" s="34">
        <v>-470000000</v>
      </c>
      <c r="C37" s="34">
        <f>C36*2</f>
        <v>-59104.08</v>
      </c>
      <c r="D37" s="34">
        <v>0</v>
      </c>
      <c r="E37" s="34">
        <f>B37</f>
        <v>-470000000</v>
      </c>
      <c r="F37" s="34">
        <f>B36</f>
        <v>-470000000</v>
      </c>
      <c r="G37" s="34">
        <f>D37</f>
        <v>0</v>
      </c>
      <c r="H37" s="34">
        <f>C37-C36+(E37-F37)+D37</f>
        <v>-29552.04</v>
      </c>
      <c r="I37" s="34">
        <f>C36</f>
        <v>-29552.04</v>
      </c>
      <c r="J37" s="34">
        <f>H37</f>
        <v>-29552.04</v>
      </c>
      <c r="K37" s="34">
        <f>ABS(F37+IF(F37=0,E37,I37))</f>
        <v>470029552.04000002</v>
      </c>
      <c r="L37" s="50">
        <f>J37/K37</f>
        <v>-6.2872727622634864E-5</v>
      </c>
    </row>
    <row r="38" spans="1:12" x14ac:dyDescent="0.3">
      <c r="A38" s="34">
        <v>20221125</v>
      </c>
      <c r="B38" s="34">
        <v>-470000000</v>
      </c>
      <c r="C38" s="34">
        <f>C36*3</f>
        <v>-88656.12</v>
      </c>
      <c r="D38" s="34">
        <v>0</v>
      </c>
      <c r="E38" s="34">
        <f>B38</f>
        <v>-470000000</v>
      </c>
      <c r="F38" s="34">
        <f>B37</f>
        <v>-470000000</v>
      </c>
      <c r="G38" s="34">
        <f>D38</f>
        <v>0</v>
      </c>
      <c r="H38" s="34">
        <f>C38-C37+(E38-F38)+D38</f>
        <v>-29552.039999999994</v>
      </c>
      <c r="I38" s="51">
        <f>C37</f>
        <v>-59104.08</v>
      </c>
      <c r="J38" s="34">
        <f>H38</f>
        <v>-29552.039999999994</v>
      </c>
      <c r="K38" s="34">
        <f t="shared" ref="K38:K42" si="16">ABS(F38+IF(F38=0,E38,I38))</f>
        <v>470059104.07999998</v>
      </c>
      <c r="L38" s="50">
        <f>J38/K38</f>
        <v>-6.2868774891275151E-5</v>
      </c>
    </row>
    <row r="39" spans="1:12" x14ac:dyDescent="0.3">
      <c r="A39" s="34">
        <v>20221126</v>
      </c>
      <c r="B39" s="34">
        <v>-470000000</v>
      </c>
      <c r="C39" s="34">
        <f>C36*4</f>
        <v>-118208.16</v>
      </c>
      <c r="D39" s="34">
        <v>0</v>
      </c>
      <c r="E39" s="34">
        <f>B39</f>
        <v>-470000000</v>
      </c>
      <c r="F39" s="34">
        <f>B38</f>
        <v>-470000000</v>
      </c>
      <c r="G39" s="34">
        <f>D39</f>
        <v>0</v>
      </c>
      <c r="H39" s="34">
        <f>C39-C38+(E39-F39)+D39</f>
        <v>-29552.040000000008</v>
      </c>
      <c r="I39" s="51">
        <f>C38</f>
        <v>-88656.12</v>
      </c>
      <c r="J39" s="34">
        <f>H39</f>
        <v>-29552.040000000008</v>
      </c>
      <c r="K39" s="34">
        <f t="shared" si="16"/>
        <v>470088656.12</v>
      </c>
      <c r="L39" s="50">
        <f>J39/K39</f>
        <v>-6.2864822656890973E-5</v>
      </c>
    </row>
    <row r="40" spans="1:12" x14ac:dyDescent="0.3">
      <c r="A40" s="34">
        <v>20221127</v>
      </c>
      <c r="B40" s="34">
        <v>-470000000</v>
      </c>
      <c r="C40" s="34">
        <f>C36*5</f>
        <v>-147760.20000000001</v>
      </c>
      <c r="D40" s="34">
        <v>0</v>
      </c>
      <c r="E40" s="34">
        <f>B40</f>
        <v>-470000000</v>
      </c>
      <c r="F40" s="34">
        <f>B39</f>
        <v>-470000000</v>
      </c>
      <c r="G40" s="34">
        <f>D40</f>
        <v>0</v>
      </c>
      <c r="H40" s="34">
        <f>C40-C39+(E40-F40)+D40</f>
        <v>-29552.040000000008</v>
      </c>
      <c r="I40" s="51">
        <f>C39</f>
        <v>-118208.16</v>
      </c>
      <c r="J40" s="34">
        <f>H40</f>
        <v>-29552.040000000008</v>
      </c>
      <c r="K40" s="34">
        <f t="shared" si="16"/>
        <v>470118208.16000003</v>
      </c>
      <c r="L40" s="50">
        <f>J40/K40</f>
        <v>-6.2860870919388573E-5</v>
      </c>
    </row>
    <row r="41" spans="1:12" x14ac:dyDescent="0.3">
      <c r="A41" s="34">
        <v>20221128</v>
      </c>
      <c r="B41" s="34">
        <v>-470000000</v>
      </c>
      <c r="C41" s="34">
        <f>C36*6</f>
        <v>-177312.24</v>
      </c>
      <c r="D41" s="34">
        <v>0</v>
      </c>
      <c r="E41" s="34">
        <f>B41</f>
        <v>-470000000</v>
      </c>
      <c r="F41" s="34">
        <f>B40</f>
        <v>-470000000</v>
      </c>
      <c r="G41" s="34">
        <f>D41</f>
        <v>0</v>
      </c>
      <c r="H41" s="34">
        <f>C41-C40+(E41-F41)+D41</f>
        <v>-29552.039999999979</v>
      </c>
      <c r="I41" s="51">
        <f>C40</f>
        <v>-147760.20000000001</v>
      </c>
      <c r="J41" s="34">
        <f>H41</f>
        <v>-29552.039999999979</v>
      </c>
      <c r="K41" s="34">
        <f t="shared" si="16"/>
        <v>470147760.19999999</v>
      </c>
      <c r="L41" s="50">
        <f>J41/K41</f>
        <v>-6.2856919678674209E-5</v>
      </c>
    </row>
    <row r="42" spans="1:12" x14ac:dyDescent="0.3">
      <c r="A42" s="34">
        <v>20221129</v>
      </c>
      <c r="B42" s="34">
        <v>0</v>
      </c>
      <c r="C42" s="34">
        <v>0</v>
      </c>
      <c r="D42" s="34">
        <v>-470206864.31</v>
      </c>
      <c r="E42" s="34">
        <v>0</v>
      </c>
      <c r="F42" s="34">
        <f>B41</f>
        <v>-470000000</v>
      </c>
      <c r="G42" s="34">
        <f>D42</f>
        <v>-470206864.31</v>
      </c>
      <c r="H42" s="34">
        <f>C42-C41+(E42-F42)+D42</f>
        <v>-29552.069999992847</v>
      </c>
      <c r="I42" s="51">
        <f>C41</f>
        <v>-177312.24</v>
      </c>
      <c r="J42" s="34">
        <f>H42</f>
        <v>-29552.069999992847</v>
      </c>
      <c r="K42" s="34">
        <f t="shared" si="16"/>
        <v>470177312.24000001</v>
      </c>
      <c r="L42" s="50">
        <f>J42/K42</f>
        <v>-6.2853032740355026E-5</v>
      </c>
    </row>
    <row r="46" spans="1:12" x14ac:dyDescent="0.3">
      <c r="A46" t="s">
        <v>131</v>
      </c>
    </row>
    <row r="47" spans="1:12" x14ac:dyDescent="0.3">
      <c r="A47" s="47" t="s">
        <v>115</v>
      </c>
      <c r="B47" s="47" t="s">
        <v>116</v>
      </c>
      <c r="C47" s="47" t="s">
        <v>117</v>
      </c>
      <c r="D47" s="47" t="s">
        <v>118</v>
      </c>
      <c r="E47" s="47" t="s">
        <v>119</v>
      </c>
      <c r="F47" s="47" t="s">
        <v>120</v>
      </c>
      <c r="G47" s="47" t="s">
        <v>121</v>
      </c>
      <c r="H47" s="47" t="s">
        <v>122</v>
      </c>
      <c r="I47" s="47" t="s">
        <v>123</v>
      </c>
      <c r="J47" s="47" t="s">
        <v>124</v>
      </c>
      <c r="K47" s="47" t="s">
        <v>125</v>
      </c>
      <c r="L47" s="47" t="s">
        <v>126</v>
      </c>
    </row>
    <row r="48" spans="1:12" x14ac:dyDescent="0.3">
      <c r="A48" s="34">
        <v>20221123</v>
      </c>
      <c r="B48" s="34">
        <v>470000000</v>
      </c>
      <c r="C48" s="34">
        <v>29552.04</v>
      </c>
      <c r="D48" s="34">
        <v>0</v>
      </c>
      <c r="E48" s="34">
        <f>B48</f>
        <v>470000000</v>
      </c>
      <c r="F48" s="48">
        <v>0</v>
      </c>
      <c r="G48" s="48" t="s">
        <v>127</v>
      </c>
      <c r="H48" s="34">
        <f>C48</f>
        <v>29552.04</v>
      </c>
      <c r="I48" s="48">
        <v>0</v>
      </c>
      <c r="J48" s="34">
        <f>H48</f>
        <v>29552.04</v>
      </c>
      <c r="K48" s="34">
        <f>ABS(F48+IF(F48=0,E48,I48))</f>
        <v>470000000</v>
      </c>
      <c r="L48" s="50">
        <f>J48/K48</f>
        <v>6.2876680851063827E-5</v>
      </c>
    </row>
    <row r="49" spans="1:12" x14ac:dyDescent="0.3">
      <c r="A49" s="34">
        <v>20221124</v>
      </c>
      <c r="B49" s="34">
        <v>470000000</v>
      </c>
      <c r="C49" s="34">
        <f>C48*2</f>
        <v>59104.08</v>
      </c>
      <c r="D49" s="34">
        <v>0</v>
      </c>
      <c r="E49" s="34">
        <f>B49</f>
        <v>470000000</v>
      </c>
      <c r="F49" s="34">
        <f>B48</f>
        <v>470000000</v>
      </c>
      <c r="G49" s="34">
        <f>D49</f>
        <v>0</v>
      </c>
      <c r="H49" s="34">
        <f>C49-C48+(E49-F49)+D49</f>
        <v>29552.04</v>
      </c>
      <c r="I49" s="34">
        <f>C48</f>
        <v>29552.04</v>
      </c>
      <c r="J49" s="34">
        <f>H49</f>
        <v>29552.04</v>
      </c>
      <c r="K49" s="34">
        <f>ABS(F49+IF(F49=0,E49,I49))</f>
        <v>470029552.04000002</v>
      </c>
      <c r="L49" s="50">
        <f>J49/K49</f>
        <v>6.2872727622634864E-5</v>
      </c>
    </row>
    <row r="50" spans="1:12" x14ac:dyDescent="0.3">
      <c r="A50" s="34">
        <v>20221125</v>
      </c>
      <c r="B50" s="34">
        <v>470000000</v>
      </c>
      <c r="C50" s="34">
        <f>C48*3</f>
        <v>88656.12</v>
      </c>
      <c r="D50" s="34">
        <v>0</v>
      </c>
      <c r="E50" s="34">
        <f>B50</f>
        <v>470000000</v>
      </c>
      <c r="F50" s="34">
        <f>B49</f>
        <v>470000000</v>
      </c>
      <c r="G50" s="34">
        <f>D50</f>
        <v>0</v>
      </c>
      <c r="H50" s="34">
        <f>C50-C49+(E50-F50)+D50</f>
        <v>29552.039999999994</v>
      </c>
      <c r="I50" s="51">
        <f>C49</f>
        <v>59104.08</v>
      </c>
      <c r="J50" s="34">
        <f>H50</f>
        <v>29552.039999999994</v>
      </c>
      <c r="K50" s="34">
        <f t="shared" ref="K50:K54" si="17">ABS(F50+IF(F50=0,E50,I50))</f>
        <v>470059104.07999998</v>
      </c>
      <c r="L50" s="50">
        <f>J50/K50</f>
        <v>6.2868774891275151E-5</v>
      </c>
    </row>
    <row r="51" spans="1:12" x14ac:dyDescent="0.3">
      <c r="A51" s="34">
        <v>20221126</v>
      </c>
      <c r="B51" s="34">
        <v>470000000</v>
      </c>
      <c r="C51" s="34">
        <f>C48*4</f>
        <v>118208.16</v>
      </c>
      <c r="D51" s="34">
        <v>0</v>
      </c>
      <c r="E51" s="34">
        <f>B51</f>
        <v>470000000</v>
      </c>
      <c r="F51" s="34">
        <f>B50</f>
        <v>470000000</v>
      </c>
      <c r="G51" s="34">
        <f>D51</f>
        <v>0</v>
      </c>
      <c r="H51" s="34">
        <f>C51-C50+(E51-F51)+D51</f>
        <v>29552.040000000008</v>
      </c>
      <c r="I51" s="51">
        <f>C50</f>
        <v>88656.12</v>
      </c>
      <c r="J51" s="34">
        <f>H51</f>
        <v>29552.040000000008</v>
      </c>
      <c r="K51" s="34">
        <f t="shared" si="17"/>
        <v>470088656.12</v>
      </c>
      <c r="L51" s="50">
        <f>J51/K51</f>
        <v>6.2864822656890973E-5</v>
      </c>
    </row>
    <row r="52" spans="1:12" x14ac:dyDescent="0.3">
      <c r="A52" s="34">
        <v>20221127</v>
      </c>
      <c r="B52" s="34">
        <v>470000000</v>
      </c>
      <c r="C52" s="34">
        <f>C48*5</f>
        <v>147760.20000000001</v>
      </c>
      <c r="D52" s="34">
        <v>0</v>
      </c>
      <c r="E52" s="34">
        <f>B52</f>
        <v>470000000</v>
      </c>
      <c r="F52" s="34">
        <f>B51</f>
        <v>470000000</v>
      </c>
      <c r="G52" s="34">
        <f>D52</f>
        <v>0</v>
      </c>
      <c r="H52" s="34">
        <f>C52-C51+(E52-F52)+D52</f>
        <v>29552.040000000008</v>
      </c>
      <c r="I52" s="51">
        <f>C51</f>
        <v>118208.16</v>
      </c>
      <c r="J52" s="34">
        <f>H52</f>
        <v>29552.040000000008</v>
      </c>
      <c r="K52" s="34">
        <f t="shared" si="17"/>
        <v>470118208.16000003</v>
      </c>
      <c r="L52" s="50">
        <f>J52/K52</f>
        <v>6.2860870919388573E-5</v>
      </c>
    </row>
    <row r="53" spans="1:12" x14ac:dyDescent="0.3">
      <c r="A53" s="34">
        <v>20221128</v>
      </c>
      <c r="B53" s="34">
        <v>470000000</v>
      </c>
      <c r="C53" s="34">
        <f>C48*6</f>
        <v>177312.24</v>
      </c>
      <c r="D53" s="34">
        <v>0</v>
      </c>
      <c r="E53" s="34">
        <f>B53</f>
        <v>470000000</v>
      </c>
      <c r="F53" s="34">
        <f>B52</f>
        <v>470000000</v>
      </c>
      <c r="G53" s="34">
        <f>D53</f>
        <v>0</v>
      </c>
      <c r="H53" s="34">
        <f>C53-C52+(E53-F53)+D53</f>
        <v>29552.039999999979</v>
      </c>
      <c r="I53" s="51">
        <f>C52</f>
        <v>147760.20000000001</v>
      </c>
      <c r="J53" s="34">
        <f>H53</f>
        <v>29552.039999999979</v>
      </c>
      <c r="K53" s="34">
        <f t="shared" si="17"/>
        <v>470147760.19999999</v>
      </c>
      <c r="L53" s="50">
        <f>J53/K53</f>
        <v>6.2856919678674209E-5</v>
      </c>
    </row>
    <row r="54" spans="1:12" x14ac:dyDescent="0.3">
      <c r="A54" s="34">
        <v>20221129</v>
      </c>
      <c r="B54" s="34">
        <v>0</v>
      </c>
      <c r="C54" s="34">
        <v>0</v>
      </c>
      <c r="D54" s="34">
        <v>470206864.31</v>
      </c>
      <c r="E54" s="34">
        <v>0</v>
      </c>
      <c r="F54" s="34">
        <f>B53</f>
        <v>470000000</v>
      </c>
      <c r="G54" s="34">
        <f>D54</f>
        <v>470206864.31</v>
      </c>
      <c r="H54" s="34">
        <f>C54-C53+(E54-F54)+D54</f>
        <v>29552.069999992847</v>
      </c>
      <c r="I54" s="51">
        <f>C53</f>
        <v>177312.24</v>
      </c>
      <c r="J54" s="34">
        <f>H54</f>
        <v>29552.069999992847</v>
      </c>
      <c r="K54" s="34">
        <f t="shared" si="17"/>
        <v>470177312.24000001</v>
      </c>
      <c r="L54" s="50">
        <f>J54/K54</f>
        <v>6.2853032740355026E-5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场景</vt:lpstr>
      <vt:lpstr>股票</vt:lpstr>
      <vt:lpstr>债券</vt:lpstr>
      <vt:lpstr>基金</vt:lpstr>
      <vt:lpstr>可转(交)债</vt:lpstr>
      <vt:lpstr>ETF </vt:lpstr>
      <vt:lpstr>回购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tczf</dc:creator>
  <cp:lastModifiedBy>tczf</cp:lastModifiedBy>
  <dcterms:created xsi:type="dcterms:W3CDTF">2023-01-16T01:45:47Z</dcterms:created>
  <dcterms:modified xsi:type="dcterms:W3CDTF">2023-08-11T03:25:55Z</dcterms:modified>
</cp:coreProperties>
</file>