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https://smu365-my.sharepoint.com/personal/tdeason_smu_edu/Documents/StatisticalFoundationsForDataScience/week10/"/>
    </mc:Choice>
  </mc:AlternateContent>
  <bookViews>
    <workbookView xWindow="0" yWindow="460" windowWidth="28800" windowHeight="17600" tabRatio="500"/>
  </bookViews>
  <sheets>
    <sheet name="MaleDisplayDataSet_2_2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" i="1" l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Q3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H26" i="1"/>
  <c r="H2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6" i="1"/>
  <c r="K28" i="1"/>
  <c r="K31" i="1"/>
  <c r="K30" i="1"/>
  <c r="A2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C26" i="1"/>
  <c r="C29" i="1"/>
  <c r="G3" i="1"/>
  <c r="F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3" i="1"/>
  <c r="B26" i="1"/>
  <c r="A26" i="1"/>
</calcChain>
</file>

<file path=xl/sharedStrings.xml><?xml version="1.0" encoding="utf-8"?>
<sst xmlns="http://schemas.openxmlformats.org/spreadsheetml/2006/main" count="31" uniqueCount="31">
  <si>
    <t>Mass</t>
  </si>
  <si>
    <t>Tcell</t>
  </si>
  <si>
    <t>mean(mass)</t>
  </si>
  <si>
    <t>mean(tcell)</t>
  </si>
  <si>
    <t>var(tcell)</t>
  </si>
  <si>
    <t>var(mass)</t>
  </si>
  <si>
    <t>mass rms</t>
  </si>
  <si>
    <t>prod(varx*vary)</t>
  </si>
  <si>
    <t>massi - mean(mass)</t>
  </si>
  <si>
    <t>tcell- mean(tcell)</t>
  </si>
  <si>
    <t>mass ss</t>
  </si>
  <si>
    <t>x1 =</t>
  </si>
  <si>
    <t>MODEL</t>
  </si>
  <si>
    <t>rediduals</t>
  </si>
  <si>
    <t>resid squred</t>
  </si>
  <si>
    <t>x0 =</t>
  </si>
  <si>
    <t>sigma</t>
  </si>
  <si>
    <t>sstd(x)</t>
  </si>
  <si>
    <t xml:space="preserve">SEb1 = </t>
  </si>
  <si>
    <t>SEb0 =</t>
  </si>
  <si>
    <t>Wheater Regression</t>
  </si>
  <si>
    <t>predicted</t>
  </si>
  <si>
    <t>SE mean</t>
  </si>
  <si>
    <t>low_bound</t>
  </si>
  <si>
    <t>upper_bound</t>
  </si>
  <si>
    <t>Conf Intervals</t>
  </si>
  <si>
    <t>SE predict</t>
  </si>
  <si>
    <t>Prediction Interval</t>
  </si>
  <si>
    <t>lower bound</t>
  </si>
  <si>
    <t>upper bound</t>
  </si>
  <si>
    <t xml:space="preserve">RMSE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</si>
</sst>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 tint="-0.149998474074526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/>
    <xf numFmtId="0" fontId="2" fillId="3" borderId="0" xfId="0" applyFont="1" applyFill="1"/>
    <xf numFmtId="0" fontId="1" fillId="0" borderId="1" xfId="0" applyFont="1" applyBorder="1"/>
    <xf numFmtId="0" fontId="0" fillId="0" borderId="1" xfId="0" applyBorder="1"/>
    <xf numFmtId="0" fontId="0" fillId="0" borderId="0" xfId="0" applyFill="1"/>
    <xf numFmtId="0" fontId="0" fillId="0" borderId="1" xfId="0" applyFill="1" applyBorder="1"/>
    <xf numFmtId="0" fontId="0" fillId="0" borderId="0" xfId="0" applyFont="1" applyFill="1"/>
    <xf numFmtId="0" fontId="0" fillId="0" borderId="0" xfId="0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Regression</a:t>
            </a:r>
            <a:r>
              <a:rPr lang="en-US" sz="2800" baseline="0"/>
              <a:t> Equation for T-cell Count vs Annual Nesting Weight Carried</a:t>
            </a:r>
            <a:endParaRPr lang="en-US" sz="2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330217730880806"/>
          <c:y val="0.031591737545565"/>
          <c:w val="0.956287630038148"/>
          <c:h val="0.95004257517628"/>
        </c:manualLayout>
      </c:layout>
      <c:lineChart>
        <c:grouping val="standard"/>
        <c:varyColors val="0"/>
        <c:ser>
          <c:idx val="0"/>
          <c:order val="0"/>
          <c:tx>
            <c:v>Regression Prediciton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"/>
              <c:pt idx="0">
                <c:v>t-cell response</c:v>
              </c:pt>
            </c:strLit>
          </c:cat>
          <c:val>
            <c:numRef>
              <c:f>MaleDisplayDataSet_2_2!$I$3:$I$23</c:f>
              <c:numCache>
                <c:formatCode>General</c:formatCode>
                <c:ptCount val="21"/>
                <c:pt idx="0">
                  <c:v>6.472880967997838</c:v>
                </c:pt>
                <c:pt idx="1">
                  <c:v>6.584697312400552</c:v>
                </c:pt>
                <c:pt idx="2">
                  <c:v>6.46271584577941</c:v>
                </c:pt>
                <c:pt idx="3">
                  <c:v>6.46271584577941</c:v>
                </c:pt>
                <c:pt idx="4">
                  <c:v>5.771487534926275</c:v>
                </c:pt>
                <c:pt idx="5">
                  <c:v>6.076441201479128</c:v>
                </c:pt>
                <c:pt idx="6">
                  <c:v>7.286090745472113</c:v>
                </c:pt>
                <c:pt idx="7">
                  <c:v>5.974789979294844</c:v>
                </c:pt>
                <c:pt idx="8">
                  <c:v>6.472880967997838</c:v>
                </c:pt>
                <c:pt idx="9">
                  <c:v>7.3877419676564</c:v>
                </c:pt>
                <c:pt idx="10">
                  <c:v>8.699042733833667</c:v>
                </c:pt>
                <c:pt idx="11">
                  <c:v>8.29243784509653</c:v>
                </c:pt>
                <c:pt idx="12">
                  <c:v>7.082788301103545</c:v>
                </c:pt>
                <c:pt idx="13">
                  <c:v>7.001467323356117</c:v>
                </c:pt>
                <c:pt idx="14">
                  <c:v>7.672365389772394</c:v>
                </c:pt>
                <c:pt idx="15">
                  <c:v>7.784181734175108</c:v>
                </c:pt>
                <c:pt idx="16">
                  <c:v>8.282272722878101</c:v>
                </c:pt>
                <c:pt idx="17">
                  <c:v>8.282272722878101</c:v>
                </c:pt>
                <c:pt idx="18">
                  <c:v>6.076441201479128</c:v>
                </c:pt>
                <c:pt idx="19">
                  <c:v>9.075152255915522</c:v>
                </c:pt>
                <c:pt idx="20">
                  <c:v>8.08913540072796</c:v>
                </c:pt>
              </c:numCache>
            </c:numRef>
          </c:val>
          <c:smooth val="0"/>
        </c:ser>
        <c:ser>
          <c:idx val="1"/>
          <c:order val="1"/>
          <c:tx>
            <c:v>Upper ci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MaleDisplayDataSet_2_2!$O$3:$O$23</c:f>
              <c:numCache>
                <c:formatCode>General</c:formatCode>
                <c:ptCount val="21"/>
                <c:pt idx="0">
                  <c:v>6.56084164492739</c:v>
                </c:pt>
                <c:pt idx="1">
                  <c:v>6.67261178056914</c:v>
                </c:pt>
                <c:pt idx="2">
                  <c:v>6.550680725914236</c:v>
                </c:pt>
                <c:pt idx="3">
                  <c:v>6.550680725914236</c:v>
                </c:pt>
                <c:pt idx="4">
                  <c:v>5.859739178481866</c:v>
                </c:pt>
                <c:pt idx="5">
                  <c:v>6.164566101616114</c:v>
                </c:pt>
                <c:pt idx="6">
                  <c:v>7.37371646247193</c:v>
                </c:pt>
                <c:pt idx="7">
                  <c:v>6.062957086768939</c:v>
                </c:pt>
                <c:pt idx="8">
                  <c:v>6.56084164492739</c:v>
                </c:pt>
                <c:pt idx="9">
                  <c:v>7.475325993953734</c:v>
                </c:pt>
                <c:pt idx="10">
                  <c:v>8.786092485106143</c:v>
                </c:pt>
                <c:pt idx="11">
                  <c:v>8.379652564493102</c:v>
                </c:pt>
                <c:pt idx="12">
                  <c:v>7.170497518692448</c:v>
                </c:pt>
                <c:pt idx="13">
                  <c:v>7.089209985756656</c:v>
                </c:pt>
                <c:pt idx="14">
                  <c:v>7.759832892873512</c:v>
                </c:pt>
                <c:pt idx="15">
                  <c:v>7.871603545090334</c:v>
                </c:pt>
                <c:pt idx="16">
                  <c:v>8.36949157448933</c:v>
                </c:pt>
                <c:pt idx="17">
                  <c:v>8.36949157448933</c:v>
                </c:pt>
                <c:pt idx="18">
                  <c:v>6.164566101616114</c:v>
                </c:pt>
                <c:pt idx="19">
                  <c:v>9.162049966329</c:v>
                </c:pt>
                <c:pt idx="20">
                  <c:v>8.176432838882485</c:v>
                </c:pt>
              </c:numCache>
            </c:numRef>
          </c:val>
          <c:smooth val="0"/>
        </c:ser>
        <c:ser>
          <c:idx val="2"/>
          <c:order val="2"/>
          <c:tx>
            <c:v>Lower ci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MaleDisplayDataSet_2_2!$N$3:$N$23</c:f>
              <c:numCache>
                <c:formatCode>General</c:formatCode>
                <c:ptCount val="21"/>
                <c:pt idx="0">
                  <c:v>6.384920291068287</c:v>
                </c:pt>
                <c:pt idx="1">
                  <c:v>6.496782844231964</c:v>
                </c:pt>
                <c:pt idx="2">
                  <c:v>6.374750965644584</c:v>
                </c:pt>
                <c:pt idx="3">
                  <c:v>6.374750965644584</c:v>
                </c:pt>
                <c:pt idx="4">
                  <c:v>5.683235891370684</c:v>
                </c:pt>
                <c:pt idx="5">
                  <c:v>5.988316301342142</c:v>
                </c:pt>
                <c:pt idx="6">
                  <c:v>7.198465028472299</c:v>
                </c:pt>
                <c:pt idx="7">
                  <c:v>5.886622871820749</c:v>
                </c:pt>
                <c:pt idx="8">
                  <c:v>6.384920291068287</c:v>
                </c:pt>
                <c:pt idx="9">
                  <c:v>7.300157941359065</c:v>
                </c:pt>
                <c:pt idx="10">
                  <c:v>8.611992982561192</c:v>
                </c:pt>
                <c:pt idx="11">
                  <c:v>8.205223125699959</c:v>
                </c:pt>
                <c:pt idx="12">
                  <c:v>6.995079083514642</c:v>
                </c:pt>
                <c:pt idx="13">
                  <c:v>6.913724660955579</c:v>
                </c:pt>
                <c:pt idx="14">
                  <c:v>7.584897886671277</c:v>
                </c:pt>
                <c:pt idx="15">
                  <c:v>7.696759923259882</c:v>
                </c:pt>
                <c:pt idx="16">
                  <c:v>8.19505387126687</c:v>
                </c:pt>
                <c:pt idx="17">
                  <c:v>8.19505387126687</c:v>
                </c:pt>
                <c:pt idx="18">
                  <c:v>5.988316301342142</c:v>
                </c:pt>
                <c:pt idx="19">
                  <c:v>8.988254545502044</c:v>
                </c:pt>
                <c:pt idx="20">
                  <c:v>8.001837962573438</c:v>
                </c:pt>
              </c:numCache>
            </c:numRef>
          </c:val>
          <c:smooth val="0"/>
        </c:ser>
        <c:ser>
          <c:idx val="3"/>
          <c:order val="3"/>
          <c:tx>
            <c:v>Upper prediction int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MaleDisplayDataSet_2_2!$Q$3:$Q$23</c:f>
              <c:numCache>
                <c:formatCode>General</c:formatCode>
                <c:ptCount val="21"/>
                <c:pt idx="0">
                  <c:v>10.72886615417887</c:v>
                </c:pt>
                <c:pt idx="1">
                  <c:v>10.84068154381164</c:v>
                </c:pt>
                <c:pt idx="2">
                  <c:v>10.71870111883236</c:v>
                </c:pt>
                <c:pt idx="3">
                  <c:v>10.71870111883236</c:v>
                </c:pt>
                <c:pt idx="4">
                  <c:v>10.02747874460901</c:v>
                </c:pt>
                <c:pt idx="5">
                  <c:v>10.33242978491431</c:v>
                </c:pt>
                <c:pt idx="6">
                  <c:v>11.54206902203629</c:v>
                </c:pt>
                <c:pt idx="7">
                  <c:v>10.23077943688832</c:v>
                </c:pt>
                <c:pt idx="8">
                  <c:v>10.72886615417887</c:v>
                </c:pt>
                <c:pt idx="9">
                  <c:v>11.64371938606089</c:v>
                </c:pt>
                <c:pt idx="10">
                  <c:v>12.95500919087995</c:v>
                </c:pt>
                <c:pt idx="11">
                  <c:v>12.54840767952744</c:v>
                </c:pt>
                <c:pt idx="12">
                  <c:v>11.33876829766797</c:v>
                </c:pt>
                <c:pt idx="13">
                  <c:v>11.25744800929815</c:v>
                </c:pt>
                <c:pt idx="14">
                  <c:v>11.92834041183317</c:v>
                </c:pt>
                <c:pt idx="15">
                  <c:v>12.04015581742916</c:v>
                </c:pt>
                <c:pt idx="16">
                  <c:v>12.53824264198971</c:v>
                </c:pt>
                <c:pt idx="17">
                  <c:v>12.53824264198971</c:v>
                </c:pt>
                <c:pt idx="18">
                  <c:v>10.33242978491431</c:v>
                </c:pt>
                <c:pt idx="19">
                  <c:v>13.33111560589653</c:v>
                </c:pt>
                <c:pt idx="20">
                  <c:v>12.34510693106211</c:v>
                </c:pt>
              </c:numCache>
            </c:numRef>
          </c:val>
          <c:smooth val="0"/>
        </c:ser>
        <c:ser>
          <c:idx val="4"/>
          <c:order val="4"/>
          <c:tx>
            <c:v>Lower prediction int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MaleDisplayDataSet_2_2!$P$3:$P$23</c:f>
              <c:numCache>
                <c:formatCode>General</c:formatCode>
                <c:ptCount val="21"/>
                <c:pt idx="0">
                  <c:v>2.216895781816809</c:v>
                </c:pt>
                <c:pt idx="1">
                  <c:v>2.328713080989464</c:v>
                </c:pt>
                <c:pt idx="2">
                  <c:v>2.20673057272646</c:v>
                </c:pt>
                <c:pt idx="3">
                  <c:v>2.20673057272646</c:v>
                </c:pt>
                <c:pt idx="4">
                  <c:v>1.515496325243538</c:v>
                </c:pt>
                <c:pt idx="5">
                  <c:v>1.820452618043945</c:v>
                </c:pt>
                <c:pt idx="6">
                  <c:v>3.030112468907934</c:v>
                </c:pt>
                <c:pt idx="7">
                  <c:v>1.718800521701366</c:v>
                </c:pt>
                <c:pt idx="8">
                  <c:v>2.216895781816809</c:v>
                </c:pt>
                <c:pt idx="9">
                  <c:v>3.131764549251912</c:v>
                </c:pt>
                <c:pt idx="10">
                  <c:v>4.443076276787387</c:v>
                </c:pt>
                <c:pt idx="11">
                  <c:v>4.036468010665617</c:v>
                </c:pt>
                <c:pt idx="12">
                  <c:v>2.82680830453912</c:v>
                </c:pt>
                <c:pt idx="13">
                  <c:v>2.745486637414086</c:v>
                </c:pt>
                <c:pt idx="14">
                  <c:v>3.41639036771162</c:v>
                </c:pt>
                <c:pt idx="15">
                  <c:v>3.528207650921056</c:v>
                </c:pt>
                <c:pt idx="16">
                  <c:v>4.026302803766495</c:v>
                </c:pt>
                <c:pt idx="17">
                  <c:v>4.026302803766495</c:v>
                </c:pt>
                <c:pt idx="18">
                  <c:v>1.820452618043945</c:v>
                </c:pt>
                <c:pt idx="19">
                  <c:v>4.819188905934514</c:v>
                </c:pt>
                <c:pt idx="20">
                  <c:v>3.833163870393811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878016"/>
        <c:axId val="833107072"/>
      </c:lineChart>
      <c:catAx>
        <c:axId val="79287801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T-cell</a:t>
                </a:r>
                <a:r>
                  <a:rPr lang="en-US" sz="2000" baseline="0"/>
                  <a:t> Response</a:t>
                </a:r>
                <a:endParaRPr lang="en-US" sz="2000"/>
              </a:p>
            </c:rich>
          </c:tx>
          <c:layout>
            <c:manualLayout>
              <c:xMode val="edge"/>
              <c:yMode val="edge"/>
              <c:x val="0.47887280844957"/>
              <c:y val="0.9412852518321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3107072"/>
        <c:crosses val="autoZero"/>
        <c:auto val="1"/>
        <c:lblAlgn val="ctr"/>
        <c:lblOffset val="100"/>
        <c:noMultiLvlLbl val="0"/>
      </c:catAx>
      <c:valAx>
        <c:axId val="83310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Annual</a:t>
                </a:r>
                <a:r>
                  <a:rPr lang="en-US" sz="2000" baseline="0"/>
                  <a:t> Nesting Weight Carried</a:t>
                </a:r>
              </a:p>
              <a:p>
                <a:pPr>
                  <a:defRPr/>
                </a:pPr>
                <a:endParaRPr lang="en-US" sz="2000"/>
              </a:p>
            </c:rich>
          </c:tx>
          <c:layout>
            <c:manualLayout>
              <c:xMode val="edge"/>
              <c:yMode val="edge"/>
              <c:x val="0.0"/>
              <c:y val="0.2697761252951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87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45237631852622"/>
          <c:y val="0.0528714676390155"/>
          <c:w val="0.553967152370177"/>
          <c:h val="0.07452163739332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520700</xdr:colOff>
      <xdr:row>30</xdr:row>
      <xdr:rowOff>95250</xdr:rowOff>
    </xdr:from>
    <xdr:to>
      <xdr:col>16</xdr:col>
      <xdr:colOff>0</xdr:colOff>
      <xdr:row>64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abSelected="1" topLeftCell="B27" workbookViewId="0">
      <selection activeCell="N30" sqref="N30"/>
    </sheetView>
  </sheetViews>
  <sheetFormatPr baseColWidth="10" defaultRowHeight="16" x14ac:dyDescent="0.2"/>
  <cols>
    <col min="1" max="1" width="11" customWidth="1"/>
    <col min="3" max="3" width="19.33203125" customWidth="1"/>
    <col min="4" max="4" width="18.6640625" customWidth="1"/>
    <col min="5" max="5" width="19.1640625" customWidth="1"/>
    <col min="6" max="6" width="14.83203125" customWidth="1"/>
    <col min="9" max="9" width="10.83203125" style="7"/>
    <col min="10" max="10" width="12" bestFit="1" customWidth="1"/>
    <col min="15" max="15" width="12.83203125" customWidth="1"/>
  </cols>
  <sheetData>
    <row r="1" spans="1:17" ht="33" customHeight="1" x14ac:dyDescent="0.2">
      <c r="A1" t="s">
        <v>20</v>
      </c>
      <c r="N1" s="10" t="s">
        <v>25</v>
      </c>
      <c r="O1" s="10"/>
      <c r="P1" s="10" t="s">
        <v>27</v>
      </c>
      <c r="Q1" s="10"/>
    </row>
    <row r="2" spans="1:17" s="6" customFormat="1" x14ac:dyDescent="0.2">
      <c r="A2" s="5" t="s">
        <v>0</v>
      </c>
      <c r="B2" s="5" t="s">
        <v>1</v>
      </c>
      <c r="C2" s="6" t="s">
        <v>8</v>
      </c>
      <c r="D2" s="6" t="s">
        <v>9</v>
      </c>
      <c r="E2" s="6" t="s">
        <v>7</v>
      </c>
      <c r="F2" s="6" t="s">
        <v>5</v>
      </c>
      <c r="G2" s="6" t="s">
        <v>4</v>
      </c>
      <c r="H2" s="6" t="s">
        <v>12</v>
      </c>
      <c r="I2" s="8" t="s">
        <v>21</v>
      </c>
      <c r="J2" s="6" t="s">
        <v>13</v>
      </c>
      <c r="K2" s="6" t="s">
        <v>14</v>
      </c>
      <c r="L2" s="8" t="s">
        <v>22</v>
      </c>
      <c r="M2" s="8" t="s">
        <v>26</v>
      </c>
      <c r="N2" s="8" t="s">
        <v>23</v>
      </c>
      <c r="O2" s="8" t="s">
        <v>24</v>
      </c>
      <c r="P2" s="6" t="s">
        <v>28</v>
      </c>
      <c r="Q2" s="6" t="s">
        <v>29</v>
      </c>
    </row>
    <row r="3" spans="1:17" x14ac:dyDescent="0.2">
      <c r="A3" s="3">
        <v>3.33</v>
      </c>
      <c r="B3" s="3">
        <v>0.252</v>
      </c>
      <c r="C3">
        <f>(A$26-A3)</f>
        <v>3.8742857142857137</v>
      </c>
      <c r="D3">
        <f>(B$26-B3)</f>
        <v>7.1952380952380934E-2</v>
      </c>
      <c r="E3">
        <f>C3*D3</f>
        <v>0.27876408163265293</v>
      </c>
      <c r="F3">
        <f>C3^2</f>
        <v>15.010089795918363</v>
      </c>
      <c r="G3">
        <f>D3^2</f>
        <v>5.1771451247165506E-3</v>
      </c>
      <c r="H3" s="4"/>
      <c r="I3" s="9">
        <f>$H$27+$H$26 * B3</f>
        <v>6.4728809679978383</v>
      </c>
      <c r="J3">
        <f>A3- I3</f>
        <v>-3.1428809679978382</v>
      </c>
      <c r="K3" s="11">
        <f>J3^2</f>
        <v>9.8777007790030282</v>
      </c>
      <c r="L3" s="11">
        <f>K$26*SQRT(1/(21 + B3 - B$26)^2*(20*A$28^2))</f>
        <v>4.202564072031998E-2</v>
      </c>
      <c r="M3" s="11">
        <f>K$26*SQRT(1+1/(21 + B3 - B$26)^2*(20*A$28^2))</f>
        <v>2.0334143686581676</v>
      </c>
      <c r="N3" s="11">
        <f>I3-L3*_xlfn.T.INV(0.975, 19)</f>
        <v>6.384920291068287</v>
      </c>
      <c r="O3" s="11">
        <f>I3+L3*_xlfn.T.INV(0.975, 19)</f>
        <v>6.5608416449273896</v>
      </c>
      <c r="P3" s="11">
        <f>I3-M3*_xlfn.T.INV(0.975, 19)</f>
        <v>2.2168957818168087</v>
      </c>
      <c r="Q3" s="11">
        <f>I3+M3*_xlfn.T.INV(0.975, 19)</f>
        <v>10.728866154178867</v>
      </c>
    </row>
    <row r="4" spans="1:17" x14ac:dyDescent="0.2">
      <c r="A4" s="3">
        <v>4.62</v>
      </c>
      <c r="B4" s="3">
        <v>0.26300000000000001</v>
      </c>
      <c r="C4">
        <f t="shared" ref="C4:C23" si="0">(A$26-A4)</f>
        <v>2.5842857142857136</v>
      </c>
      <c r="D4">
        <f t="shared" ref="D4:D23" si="1">(B$26-B4)</f>
        <v>6.0952380952380925E-2</v>
      </c>
      <c r="E4">
        <f t="shared" ref="E4:E23" si="2">C4*D4</f>
        <v>0.15751836734693866</v>
      </c>
      <c r="F4">
        <f t="shared" ref="F4:G23" si="3">C4^2</f>
        <v>6.6785326530612208</v>
      </c>
      <c r="G4">
        <f t="shared" si="3"/>
        <v>3.7151927437641692E-3</v>
      </c>
      <c r="H4" s="4"/>
      <c r="I4" s="9">
        <f t="shared" ref="I4:I23" si="4">$H$27+$H$26 * B4</f>
        <v>6.5846973124005519</v>
      </c>
      <c r="J4" s="11">
        <f t="shared" ref="J4:J23" si="5">A4- I4</f>
        <v>-1.9646973124005518</v>
      </c>
      <c r="K4" s="11">
        <f t="shared" ref="K4:K23" si="6">J4^2</f>
        <v>3.8600355293539512</v>
      </c>
      <c r="L4" s="11">
        <f t="shared" ref="L4:L23" si="7">K$26*SQRT(1/(21 + B4 - B$26)^2*(20*A$28^2))</f>
        <v>4.2003563209616811E-2</v>
      </c>
      <c r="M4" s="11">
        <f t="shared" ref="M4:M23" si="8">K$26*SQRT(1+1/(21 + B4 - B$26)^2*(20*A$28^2))</f>
        <v>2.0334139124904809</v>
      </c>
      <c r="N4" s="11">
        <f t="shared" ref="N4:N23" si="9">I4-L4*_xlfn.T.INV(0.975, 19)</f>
        <v>6.4967828442319639</v>
      </c>
      <c r="O4" s="11">
        <f t="shared" ref="O4:O23" si="10">I4+L4*_xlfn.T.INV(0.975, 19)</f>
        <v>6.6726117805691398</v>
      </c>
      <c r="P4" s="11">
        <f t="shared" ref="P4:P23" si="11">I4-M4*_xlfn.T.INV(0.975, 19)</f>
        <v>2.3287130809894636</v>
      </c>
      <c r="Q4" s="11">
        <f t="shared" ref="Q4:Q23" si="12">I4+M4*_xlfn.T.INV(0.975, 19)</f>
        <v>10.840681543811641</v>
      </c>
    </row>
    <row r="5" spans="1:17" x14ac:dyDescent="0.2">
      <c r="A5" s="3">
        <v>5.43</v>
      </c>
      <c r="B5" s="3">
        <v>0.251</v>
      </c>
      <c r="C5">
        <f t="shared" si="0"/>
        <v>1.774285714285714</v>
      </c>
      <c r="D5">
        <f t="shared" si="1"/>
        <v>7.2952380952380935E-2</v>
      </c>
      <c r="E5">
        <f t="shared" si="2"/>
        <v>0.12943836734693873</v>
      </c>
      <c r="F5">
        <f t="shared" si="3"/>
        <v>3.1480897959183665</v>
      </c>
      <c r="G5">
        <f t="shared" si="3"/>
        <v>5.3220498866213125E-3</v>
      </c>
      <c r="H5" s="4"/>
      <c r="I5" s="9">
        <f t="shared" si="4"/>
        <v>6.4627158457794103</v>
      </c>
      <c r="J5" s="11">
        <f t="shared" si="5"/>
        <v>-1.0327158457794106</v>
      </c>
      <c r="K5" s="11">
        <f t="shared" si="6"/>
        <v>1.0665020181238833</v>
      </c>
      <c r="L5" s="11">
        <f t="shared" si="7"/>
        <v>4.2027648917629286E-2</v>
      </c>
      <c r="M5" s="11">
        <f t="shared" si="8"/>
        <v>2.0334144101636253</v>
      </c>
      <c r="N5" s="11">
        <f t="shared" si="9"/>
        <v>6.3747509656445844</v>
      </c>
      <c r="O5" s="11">
        <f t="shared" si="10"/>
        <v>6.5506807259142361</v>
      </c>
      <c r="P5" s="11">
        <f t="shared" si="11"/>
        <v>2.2067305727264594</v>
      </c>
      <c r="Q5" s="11">
        <f t="shared" si="12"/>
        <v>10.71870111883236</v>
      </c>
    </row>
    <row r="6" spans="1:17" x14ac:dyDescent="0.2">
      <c r="A6" s="3">
        <v>5.73</v>
      </c>
      <c r="B6" s="3">
        <v>0.251</v>
      </c>
      <c r="C6">
        <f t="shared" si="0"/>
        <v>1.4742857142857133</v>
      </c>
      <c r="D6">
        <f t="shared" si="1"/>
        <v>7.2952380952380935E-2</v>
      </c>
      <c r="E6">
        <f t="shared" si="2"/>
        <v>0.1075526530612244</v>
      </c>
      <c r="F6">
        <f t="shared" si="3"/>
        <v>2.173518367346936</v>
      </c>
      <c r="G6">
        <f t="shared" si="3"/>
        <v>5.3220498866213125E-3</v>
      </c>
      <c r="H6" s="4"/>
      <c r="I6" s="9">
        <f t="shared" si="4"/>
        <v>6.4627158457794103</v>
      </c>
      <c r="J6" s="11">
        <f t="shared" si="5"/>
        <v>-0.73271584577940985</v>
      </c>
      <c r="K6" s="11">
        <f t="shared" si="6"/>
        <v>0.53687251065623587</v>
      </c>
      <c r="L6" s="11">
        <f t="shared" si="7"/>
        <v>4.2027648917629286E-2</v>
      </c>
      <c r="M6" s="11">
        <f t="shared" si="8"/>
        <v>2.0334144101636253</v>
      </c>
      <c r="N6" s="11">
        <f t="shared" si="9"/>
        <v>6.3747509656445844</v>
      </c>
      <c r="O6" s="11">
        <f t="shared" si="10"/>
        <v>6.5506807259142361</v>
      </c>
      <c r="P6" s="11">
        <f t="shared" si="11"/>
        <v>2.2067305727264594</v>
      </c>
      <c r="Q6" s="11">
        <f t="shared" si="12"/>
        <v>10.71870111883236</v>
      </c>
    </row>
    <row r="7" spans="1:17" x14ac:dyDescent="0.2">
      <c r="A7" s="3">
        <v>6.12</v>
      </c>
      <c r="B7" s="3">
        <v>0.183</v>
      </c>
      <c r="C7">
        <f t="shared" si="0"/>
        <v>1.0842857142857136</v>
      </c>
      <c r="D7">
        <f t="shared" si="1"/>
        <v>0.14095238095238094</v>
      </c>
      <c r="E7">
        <f t="shared" si="2"/>
        <v>0.15283265306122437</v>
      </c>
      <c r="F7">
        <f t="shared" si="3"/>
        <v>1.1756755102040801</v>
      </c>
      <c r="G7">
        <f t="shared" si="3"/>
        <v>1.986757369614512E-2</v>
      </c>
      <c r="H7" s="4"/>
      <c r="I7" s="9">
        <f t="shared" si="4"/>
        <v>5.7714875349262753</v>
      </c>
      <c r="J7" s="11">
        <f t="shared" si="5"/>
        <v>0.3485124650737248</v>
      </c>
      <c r="K7" s="11">
        <f t="shared" si="6"/>
        <v>0.12146093831176424</v>
      </c>
      <c r="L7" s="11">
        <f t="shared" si="7"/>
        <v>4.2164658055275098E-2</v>
      </c>
      <c r="M7" s="11">
        <f t="shared" si="8"/>
        <v>2.0334172465523301</v>
      </c>
      <c r="N7" s="11">
        <f t="shared" si="9"/>
        <v>5.6832358913706837</v>
      </c>
      <c r="O7" s="11">
        <f t="shared" si="10"/>
        <v>5.8597391784818669</v>
      </c>
      <c r="P7" s="11">
        <f t="shared" si="11"/>
        <v>1.5154963252435376</v>
      </c>
      <c r="Q7" s="11">
        <f t="shared" si="12"/>
        <v>10.027478744609013</v>
      </c>
    </row>
    <row r="8" spans="1:17" x14ac:dyDescent="0.2">
      <c r="A8" s="3">
        <v>6.29</v>
      </c>
      <c r="B8" s="3">
        <v>0.21299999999999999</v>
      </c>
      <c r="C8">
        <f t="shared" si="0"/>
        <v>0.9142857142857137</v>
      </c>
      <c r="D8">
        <f t="shared" si="1"/>
        <v>0.11095238095238094</v>
      </c>
      <c r="E8">
        <f t="shared" si="2"/>
        <v>0.10144217687074822</v>
      </c>
      <c r="F8">
        <f t="shared" si="3"/>
        <v>0.8359183673469377</v>
      </c>
      <c r="G8">
        <f t="shared" si="3"/>
        <v>1.2310430839002266E-2</v>
      </c>
      <c r="H8" s="4"/>
      <c r="I8" s="9">
        <f t="shared" si="4"/>
        <v>6.0764412014791285</v>
      </c>
      <c r="J8" s="11">
        <f t="shared" si="5"/>
        <v>0.21355879852087156</v>
      </c>
      <c r="K8" s="11">
        <f t="shared" si="6"/>
        <v>4.5607360425678214E-2</v>
      </c>
      <c r="L8" s="11">
        <f t="shared" si="7"/>
        <v>4.2104102889490284E-2</v>
      </c>
      <c r="M8" s="11">
        <f t="shared" si="8"/>
        <v>2.0334159917900885</v>
      </c>
      <c r="N8" s="11">
        <f t="shared" si="9"/>
        <v>5.9883163013421425</v>
      </c>
      <c r="O8" s="11">
        <f t="shared" si="10"/>
        <v>6.1645661016161144</v>
      </c>
      <c r="P8" s="11">
        <f t="shared" si="11"/>
        <v>1.8204526180439453</v>
      </c>
      <c r="Q8" s="11">
        <f t="shared" si="12"/>
        <v>10.332429784914311</v>
      </c>
    </row>
    <row r="9" spans="1:17" x14ac:dyDescent="0.2">
      <c r="A9" s="3">
        <v>6.45</v>
      </c>
      <c r="B9" s="3">
        <v>0.33200000000000002</v>
      </c>
      <c r="C9">
        <f t="shared" si="0"/>
        <v>0.75428571428571356</v>
      </c>
      <c r="D9">
        <f t="shared" si="1"/>
        <v>-8.0476190476190812E-3</v>
      </c>
      <c r="E9">
        <f t="shared" si="2"/>
        <v>-6.0702040816326729E-3</v>
      </c>
      <c r="F9">
        <f t="shared" si="3"/>
        <v>0.56894693877550906</v>
      </c>
      <c r="G9">
        <f t="shared" si="3"/>
        <v>6.4764172335601443E-5</v>
      </c>
      <c r="H9" s="4"/>
      <c r="I9" s="9">
        <f t="shared" si="4"/>
        <v>7.286090745472114</v>
      </c>
      <c r="J9" s="11">
        <f t="shared" si="5"/>
        <v>-0.83609074547211382</v>
      </c>
      <c r="K9" s="11">
        <f t="shared" si="6"/>
        <v>0.69904773466411496</v>
      </c>
      <c r="L9" s="11">
        <f t="shared" si="7"/>
        <v>4.1865604370508139E-2</v>
      </c>
      <c r="M9" s="11">
        <f t="shared" si="8"/>
        <v>2.0334110673980432</v>
      </c>
      <c r="N9" s="11">
        <f t="shared" si="9"/>
        <v>7.1984650284722989</v>
      </c>
      <c r="O9" s="11">
        <f t="shared" si="10"/>
        <v>7.3737164624719291</v>
      </c>
      <c r="P9" s="11">
        <f t="shared" si="11"/>
        <v>3.0301124689079346</v>
      </c>
      <c r="Q9" s="11">
        <f t="shared" si="12"/>
        <v>11.542069022036294</v>
      </c>
    </row>
    <row r="10" spans="1:17" x14ac:dyDescent="0.2">
      <c r="A10" s="3">
        <v>6.51</v>
      </c>
      <c r="B10" s="3">
        <v>0.20300000000000001</v>
      </c>
      <c r="C10">
        <f t="shared" si="0"/>
        <v>0.69428571428571395</v>
      </c>
      <c r="D10">
        <f t="shared" si="1"/>
        <v>0.12095238095238092</v>
      </c>
      <c r="E10">
        <f t="shared" si="2"/>
        <v>8.3975510204081574E-2</v>
      </c>
      <c r="F10">
        <f t="shared" si="3"/>
        <v>0.482032653061224</v>
      </c>
      <c r="G10">
        <f t="shared" si="3"/>
        <v>1.4629478458049879E-2</v>
      </c>
      <c r="H10" s="4"/>
      <c r="I10" s="9">
        <f t="shared" si="4"/>
        <v>5.9747899792948438</v>
      </c>
      <c r="J10" s="11">
        <f t="shared" si="5"/>
        <v>0.535210020705156</v>
      </c>
      <c r="K10" s="11">
        <f t="shared" si="6"/>
        <v>0.2864497662632135</v>
      </c>
      <c r="L10" s="11">
        <f t="shared" si="7"/>
        <v>4.212426860952586E-2</v>
      </c>
      <c r="M10" s="11">
        <f t="shared" si="8"/>
        <v>2.0334164094433365</v>
      </c>
      <c r="N10" s="11">
        <f t="shared" si="9"/>
        <v>5.8866228718207489</v>
      </c>
      <c r="O10" s="11">
        <f t="shared" si="10"/>
        <v>6.0629570867689386</v>
      </c>
      <c r="P10" s="11">
        <f t="shared" si="11"/>
        <v>1.7188005217013664</v>
      </c>
      <c r="Q10" s="11">
        <f t="shared" si="12"/>
        <v>10.230779436888321</v>
      </c>
    </row>
    <row r="11" spans="1:17" x14ac:dyDescent="0.2">
      <c r="A11" s="3">
        <v>6.65</v>
      </c>
      <c r="B11" s="3">
        <v>0.252</v>
      </c>
      <c r="C11">
        <f t="shared" si="0"/>
        <v>0.55428571428571338</v>
      </c>
      <c r="D11">
        <f t="shared" si="1"/>
        <v>7.1952380952380934E-2</v>
      </c>
      <c r="E11">
        <f t="shared" si="2"/>
        <v>3.9882176870748222E-2</v>
      </c>
      <c r="F11">
        <f t="shared" si="3"/>
        <v>0.30723265306122349</v>
      </c>
      <c r="G11">
        <f t="shared" si="3"/>
        <v>5.1771451247165506E-3</v>
      </c>
      <c r="H11" s="4"/>
      <c r="I11" s="9">
        <f t="shared" si="4"/>
        <v>6.4728809679978383</v>
      </c>
      <c r="J11" s="11">
        <f t="shared" si="5"/>
        <v>0.17711903200216206</v>
      </c>
      <c r="K11" s="11">
        <f t="shared" si="6"/>
        <v>3.1371151497382906E-2</v>
      </c>
      <c r="L11" s="11">
        <f t="shared" si="7"/>
        <v>4.202564072031998E-2</v>
      </c>
      <c r="M11" s="11">
        <f t="shared" si="8"/>
        <v>2.0334143686581676</v>
      </c>
      <c r="N11" s="11">
        <f t="shared" si="9"/>
        <v>6.384920291068287</v>
      </c>
      <c r="O11" s="11">
        <f t="shared" si="10"/>
        <v>6.5608416449273896</v>
      </c>
      <c r="P11" s="11">
        <f t="shared" si="11"/>
        <v>2.2168957818168087</v>
      </c>
      <c r="Q11" s="11">
        <f t="shared" si="12"/>
        <v>10.728866154178867</v>
      </c>
    </row>
    <row r="12" spans="1:17" x14ac:dyDescent="0.2">
      <c r="A12" s="3">
        <v>6.75</v>
      </c>
      <c r="B12" s="3">
        <v>0.34200000000000003</v>
      </c>
      <c r="C12">
        <f t="shared" si="0"/>
        <v>0.45428571428571374</v>
      </c>
      <c r="D12">
        <f t="shared" si="1"/>
        <v>-1.804761904761909E-2</v>
      </c>
      <c r="E12">
        <f t="shared" si="2"/>
        <v>-8.1987755102040909E-3</v>
      </c>
      <c r="F12">
        <f t="shared" si="3"/>
        <v>0.20637551020408113</v>
      </c>
      <c r="G12">
        <f t="shared" si="3"/>
        <v>3.2571655328798339E-4</v>
      </c>
      <c r="H12" s="4"/>
      <c r="I12" s="9">
        <f t="shared" si="4"/>
        <v>7.3877419676563996</v>
      </c>
      <c r="J12" s="11">
        <f t="shared" si="5"/>
        <v>-0.63774196765639957</v>
      </c>
      <c r="K12" s="11">
        <f t="shared" si="6"/>
        <v>0.40671481731025622</v>
      </c>
      <c r="L12" s="11">
        <f t="shared" si="7"/>
        <v>4.1845685486923273E-2</v>
      </c>
      <c r="M12" s="11">
        <f t="shared" si="8"/>
        <v>2.0334106573885689</v>
      </c>
      <c r="N12" s="11">
        <f t="shared" si="9"/>
        <v>7.3001579413590649</v>
      </c>
      <c r="O12" s="11">
        <f t="shared" si="10"/>
        <v>7.4753259939537342</v>
      </c>
      <c r="P12" s="11">
        <f t="shared" si="11"/>
        <v>3.1317645492519128</v>
      </c>
      <c r="Q12" s="11">
        <f t="shared" si="12"/>
        <v>11.643719386060887</v>
      </c>
    </row>
    <row r="13" spans="1:17" x14ac:dyDescent="0.2">
      <c r="A13" s="3">
        <v>6.81</v>
      </c>
      <c r="B13" s="3">
        <v>0.47099999999999997</v>
      </c>
      <c r="C13">
        <f t="shared" si="0"/>
        <v>0.39428571428571413</v>
      </c>
      <c r="D13">
        <f t="shared" si="1"/>
        <v>-0.14704761904761904</v>
      </c>
      <c r="E13">
        <f t="shared" si="2"/>
        <v>-5.7978775510204056E-2</v>
      </c>
      <c r="F13">
        <f t="shared" si="3"/>
        <v>0.1554612244897958</v>
      </c>
      <c r="G13">
        <f t="shared" si="3"/>
        <v>2.1623002267573695E-2</v>
      </c>
      <c r="H13" s="4"/>
      <c r="I13" s="9">
        <f t="shared" si="4"/>
        <v>8.699042733833668</v>
      </c>
      <c r="J13" s="11">
        <f t="shared" si="5"/>
        <v>-1.8890427338336684</v>
      </c>
      <c r="K13" s="11">
        <f t="shared" si="6"/>
        <v>3.5684824502497796</v>
      </c>
      <c r="L13" s="11">
        <f t="shared" si="7"/>
        <v>4.1590420850220466E-2</v>
      </c>
      <c r="M13" s="11">
        <f t="shared" si="8"/>
        <v>2.0334054202972021</v>
      </c>
      <c r="N13" s="11">
        <f t="shared" si="9"/>
        <v>8.6119929825611923</v>
      </c>
      <c r="O13" s="11">
        <f t="shared" si="10"/>
        <v>8.7860924851061437</v>
      </c>
      <c r="P13" s="11">
        <f t="shared" si="11"/>
        <v>4.4430762767873873</v>
      </c>
      <c r="Q13" s="11">
        <f t="shared" si="12"/>
        <v>12.955009190879949</v>
      </c>
    </row>
    <row r="14" spans="1:17" x14ac:dyDescent="0.2">
      <c r="A14" s="3">
        <v>7.56</v>
      </c>
      <c r="B14" s="3">
        <v>0.43099999999999999</v>
      </c>
      <c r="C14">
        <f t="shared" si="0"/>
        <v>-0.35571428571428587</v>
      </c>
      <c r="D14">
        <f t="shared" si="1"/>
        <v>-0.10704761904761906</v>
      </c>
      <c r="E14">
        <f t="shared" si="2"/>
        <v>3.8078367346938799E-2</v>
      </c>
      <c r="F14">
        <f t="shared" si="3"/>
        <v>0.1265326530612246</v>
      </c>
      <c r="G14">
        <f t="shared" si="3"/>
        <v>1.1459192743764175E-2</v>
      </c>
      <c r="H14" s="4"/>
      <c r="I14" s="9">
        <f t="shared" si="4"/>
        <v>8.292437845096531</v>
      </c>
      <c r="J14" s="11">
        <f t="shared" si="5"/>
        <v>-0.73243784509653143</v>
      </c>
      <c r="K14" s="11">
        <f t="shared" si="6"/>
        <v>0.53646519692965056</v>
      </c>
      <c r="L14" s="11">
        <f t="shared" si="7"/>
        <v>4.1669238923881677E-2</v>
      </c>
      <c r="M14" s="11">
        <f t="shared" si="8"/>
        <v>2.0334070339359105</v>
      </c>
      <c r="N14" s="11">
        <f t="shared" si="9"/>
        <v>8.205223125699959</v>
      </c>
      <c r="O14" s="11">
        <f t="shared" si="10"/>
        <v>8.379652564493103</v>
      </c>
      <c r="P14" s="11">
        <f t="shared" si="11"/>
        <v>4.0364680106656179</v>
      </c>
      <c r="Q14" s="11">
        <f t="shared" si="12"/>
        <v>12.548407679527443</v>
      </c>
    </row>
    <row r="15" spans="1:17" x14ac:dyDescent="0.2">
      <c r="A15" s="3">
        <v>7.83</v>
      </c>
      <c r="B15" s="3">
        <v>0.312</v>
      </c>
      <c r="C15">
        <f t="shared" si="0"/>
        <v>-0.62571428571428633</v>
      </c>
      <c r="D15">
        <f t="shared" si="1"/>
        <v>1.1952380952380937E-2</v>
      </c>
      <c r="E15">
        <f t="shared" si="2"/>
        <v>-7.4787755102040795E-3</v>
      </c>
      <c r="F15">
        <f t="shared" si="3"/>
        <v>0.39151836734693957</v>
      </c>
      <c r="G15">
        <f t="shared" si="3"/>
        <v>1.4285941043083863E-4</v>
      </c>
      <c r="H15" s="4"/>
      <c r="I15" s="9">
        <f t="shared" si="4"/>
        <v>7.0827883011035455</v>
      </c>
      <c r="J15" s="11">
        <f t="shared" si="5"/>
        <v>0.74721169889645456</v>
      </c>
      <c r="K15" s="11">
        <f t="shared" si="6"/>
        <v>0.55832532296772586</v>
      </c>
      <c r="L15" s="11">
        <f t="shared" si="7"/>
        <v>4.1905499081183857E-2</v>
      </c>
      <c r="M15" s="11">
        <f t="shared" si="8"/>
        <v>2.0334118891756252</v>
      </c>
      <c r="N15" s="11">
        <f t="shared" si="9"/>
        <v>6.9950790835146428</v>
      </c>
      <c r="O15" s="11">
        <f t="shared" si="10"/>
        <v>7.1704975186924482</v>
      </c>
      <c r="P15" s="11">
        <f t="shared" si="11"/>
        <v>2.8268083045391199</v>
      </c>
      <c r="Q15" s="11">
        <f t="shared" si="12"/>
        <v>11.338768297667972</v>
      </c>
    </row>
    <row r="16" spans="1:17" x14ac:dyDescent="0.2">
      <c r="A16" s="3">
        <v>8.02</v>
      </c>
      <c r="B16" s="3">
        <v>0.30399999999999999</v>
      </c>
      <c r="C16">
        <f t="shared" si="0"/>
        <v>-0.81571428571428584</v>
      </c>
      <c r="D16">
        <f t="shared" si="1"/>
        <v>1.9952380952380944E-2</v>
      </c>
      <c r="E16">
        <f t="shared" si="2"/>
        <v>-1.6275442176870745E-2</v>
      </c>
      <c r="F16">
        <f t="shared" si="3"/>
        <v>0.66538979591836755</v>
      </c>
      <c r="G16">
        <f t="shared" si="3"/>
        <v>3.980975056689339E-4</v>
      </c>
      <c r="H16" s="4"/>
      <c r="I16" s="9">
        <f t="shared" si="4"/>
        <v>7.0014673233561178</v>
      </c>
      <c r="J16" s="11">
        <f t="shared" si="5"/>
        <v>1.0185326766438818</v>
      </c>
      <c r="K16" s="11">
        <f t="shared" si="6"/>
        <v>1.0374088133913504</v>
      </c>
      <c r="L16" s="11">
        <f t="shared" si="7"/>
        <v>4.1921478262868135E-2</v>
      </c>
      <c r="M16" s="11">
        <f t="shared" si="8"/>
        <v>2.0334122185448003</v>
      </c>
      <c r="N16" s="11">
        <f t="shared" si="9"/>
        <v>6.9137246609555794</v>
      </c>
      <c r="O16" s="11">
        <f t="shared" si="10"/>
        <v>7.0892099857566562</v>
      </c>
      <c r="P16" s="11">
        <f t="shared" si="11"/>
        <v>2.7454866374140856</v>
      </c>
      <c r="Q16" s="11">
        <f t="shared" si="12"/>
        <v>11.25744800929815</v>
      </c>
    </row>
    <row r="17" spans="1:17" x14ac:dyDescent="0.2">
      <c r="A17" s="3">
        <v>8.06</v>
      </c>
      <c r="B17" s="3">
        <v>0.37</v>
      </c>
      <c r="C17">
        <f t="shared" si="0"/>
        <v>-0.85571428571428676</v>
      </c>
      <c r="D17">
        <f t="shared" si="1"/>
        <v>-4.6047619047619059E-2</v>
      </c>
      <c r="E17">
        <f t="shared" si="2"/>
        <v>3.9403605442176928E-2</v>
      </c>
      <c r="F17">
        <f t="shared" si="3"/>
        <v>0.73224693877551195</v>
      </c>
      <c r="G17">
        <f t="shared" si="3"/>
        <v>2.1203832199546495E-3</v>
      </c>
      <c r="H17" s="4"/>
      <c r="I17" s="9">
        <f t="shared" si="4"/>
        <v>7.6723653897723949</v>
      </c>
      <c r="J17" s="11">
        <f t="shared" si="5"/>
        <v>0.38763461022760559</v>
      </c>
      <c r="K17" s="11">
        <f t="shared" si="6"/>
        <v>0.15026059104630771</v>
      </c>
      <c r="L17" s="11">
        <f t="shared" si="7"/>
        <v>4.1790013314416473E-2</v>
      </c>
      <c r="M17" s="11">
        <f t="shared" si="8"/>
        <v>2.0334095124692322</v>
      </c>
      <c r="N17" s="11">
        <f t="shared" si="9"/>
        <v>7.5848978866712775</v>
      </c>
      <c r="O17" s="11">
        <f t="shared" si="10"/>
        <v>7.7598328928735123</v>
      </c>
      <c r="P17" s="11">
        <f t="shared" si="11"/>
        <v>3.4163903677116201</v>
      </c>
      <c r="Q17" s="11">
        <f t="shared" si="12"/>
        <v>11.928340411833169</v>
      </c>
    </row>
    <row r="18" spans="1:17" x14ac:dyDescent="0.2">
      <c r="A18" s="3">
        <v>8.18</v>
      </c>
      <c r="B18" s="3">
        <v>0.38100000000000001</v>
      </c>
      <c r="C18">
        <f t="shared" si="0"/>
        <v>-0.97571428571428598</v>
      </c>
      <c r="D18">
        <f t="shared" si="1"/>
        <v>-5.7047619047619069E-2</v>
      </c>
      <c r="E18">
        <f t="shared" si="2"/>
        <v>5.5662176870748335E-2</v>
      </c>
      <c r="F18">
        <f t="shared" si="3"/>
        <v>0.95201836734693934</v>
      </c>
      <c r="G18">
        <f t="shared" si="3"/>
        <v>3.25443083900227E-3</v>
      </c>
      <c r="H18" s="4"/>
      <c r="I18" s="9">
        <f t="shared" si="4"/>
        <v>7.7841817341751085</v>
      </c>
      <c r="J18" s="11">
        <f t="shared" si="5"/>
        <v>0.39581826582489121</v>
      </c>
      <c r="K18" s="11">
        <f t="shared" si="6"/>
        <v>0.15667209956062425</v>
      </c>
      <c r="L18" s="11">
        <f t="shared" si="7"/>
        <v>4.1768182611709476E-2</v>
      </c>
      <c r="M18" s="11">
        <f t="shared" si="8"/>
        <v>2.0334090639284135</v>
      </c>
      <c r="N18" s="11">
        <f t="shared" si="9"/>
        <v>7.696759923259882</v>
      </c>
      <c r="O18" s="11">
        <f t="shared" si="10"/>
        <v>7.871603545090335</v>
      </c>
      <c r="P18" s="11">
        <f t="shared" si="11"/>
        <v>3.5282076509210567</v>
      </c>
      <c r="Q18" s="11">
        <f t="shared" si="12"/>
        <v>12.040155817429159</v>
      </c>
    </row>
    <row r="19" spans="1:17" x14ac:dyDescent="0.2">
      <c r="A19" s="3">
        <v>9.08</v>
      </c>
      <c r="B19" s="3">
        <v>0.43</v>
      </c>
      <c r="C19">
        <f t="shared" si="0"/>
        <v>-1.8757142857142863</v>
      </c>
      <c r="D19">
        <f t="shared" si="1"/>
        <v>-0.10604761904761906</v>
      </c>
      <c r="E19">
        <f t="shared" si="2"/>
        <v>0.19891503401360552</v>
      </c>
      <c r="F19">
        <f t="shared" si="3"/>
        <v>3.5183040816326554</v>
      </c>
      <c r="G19">
        <f t="shared" si="3"/>
        <v>1.1246097505668936E-2</v>
      </c>
      <c r="H19" s="4"/>
      <c r="I19" s="9">
        <f t="shared" si="4"/>
        <v>8.2822727228781012</v>
      </c>
      <c r="J19" s="11">
        <f t="shared" si="5"/>
        <v>0.79772727712189884</v>
      </c>
      <c r="K19" s="11">
        <f t="shared" si="6"/>
        <v>0.63636880866431877</v>
      </c>
      <c r="L19" s="11">
        <f t="shared" si="7"/>
        <v>4.1671213203466187E-2</v>
      </c>
      <c r="M19" s="11">
        <f t="shared" si="8"/>
        <v>2.0334070743944488</v>
      </c>
      <c r="N19" s="11">
        <f t="shared" si="9"/>
        <v>8.1950538712668699</v>
      </c>
      <c r="O19" s="11">
        <f t="shared" si="10"/>
        <v>8.3694915744893326</v>
      </c>
      <c r="P19" s="11">
        <f t="shared" si="11"/>
        <v>4.0263028037664945</v>
      </c>
      <c r="Q19" s="11">
        <f t="shared" si="12"/>
        <v>12.538242641989708</v>
      </c>
    </row>
    <row r="20" spans="1:17" x14ac:dyDescent="0.2">
      <c r="A20" s="3">
        <v>9.15</v>
      </c>
      <c r="B20" s="3">
        <v>0.43</v>
      </c>
      <c r="C20">
        <f t="shared" si="0"/>
        <v>-1.9457142857142866</v>
      </c>
      <c r="D20">
        <f t="shared" si="1"/>
        <v>-0.10604761904761906</v>
      </c>
      <c r="E20">
        <f t="shared" si="2"/>
        <v>0.20633836734693889</v>
      </c>
      <c r="F20">
        <f t="shared" si="3"/>
        <v>3.7858040816326564</v>
      </c>
      <c r="G20">
        <f t="shared" si="3"/>
        <v>1.1246097505668936E-2</v>
      </c>
      <c r="H20" s="4"/>
      <c r="I20" s="9">
        <f t="shared" si="4"/>
        <v>8.2822727228781012</v>
      </c>
      <c r="J20" s="11">
        <f t="shared" si="5"/>
        <v>0.86772727712189912</v>
      </c>
      <c r="K20" s="11">
        <f t="shared" si="6"/>
        <v>0.75295062746138508</v>
      </c>
      <c r="L20" s="11">
        <f t="shared" si="7"/>
        <v>4.1671213203466187E-2</v>
      </c>
      <c r="M20" s="11">
        <f t="shared" si="8"/>
        <v>2.0334070743944488</v>
      </c>
      <c r="N20" s="11">
        <f t="shared" si="9"/>
        <v>8.1950538712668699</v>
      </c>
      <c r="O20" s="11">
        <f t="shared" si="10"/>
        <v>8.3694915744893326</v>
      </c>
      <c r="P20" s="11">
        <f t="shared" si="11"/>
        <v>4.0263028037664945</v>
      </c>
      <c r="Q20" s="11">
        <f t="shared" si="12"/>
        <v>12.538242641989708</v>
      </c>
    </row>
    <row r="21" spans="1:17" x14ac:dyDescent="0.2">
      <c r="A21" s="3">
        <v>9.35</v>
      </c>
      <c r="B21" s="3">
        <v>0.21299999999999999</v>
      </c>
      <c r="C21">
        <f t="shared" si="0"/>
        <v>-2.1457142857142859</v>
      </c>
      <c r="D21">
        <f t="shared" si="1"/>
        <v>0.11095238095238094</v>
      </c>
      <c r="E21">
        <f t="shared" si="2"/>
        <v>-0.23807210884353741</v>
      </c>
      <c r="F21">
        <f t="shared" si="3"/>
        <v>4.6040897959183678</v>
      </c>
      <c r="G21">
        <f t="shared" si="3"/>
        <v>1.2310430839002266E-2</v>
      </c>
      <c r="H21" s="4"/>
      <c r="I21" s="9">
        <f t="shared" si="4"/>
        <v>6.0764412014791285</v>
      </c>
      <c r="J21" s="11">
        <f t="shared" si="5"/>
        <v>3.2735587985208712</v>
      </c>
      <c r="K21" s="11">
        <f t="shared" si="6"/>
        <v>10.716187207373409</v>
      </c>
      <c r="L21" s="11">
        <f t="shared" si="7"/>
        <v>4.2104102889490284E-2</v>
      </c>
      <c r="M21" s="11">
        <f t="shared" si="8"/>
        <v>2.0334159917900885</v>
      </c>
      <c r="N21" s="11">
        <f t="shared" si="9"/>
        <v>5.9883163013421425</v>
      </c>
      <c r="O21" s="11">
        <f t="shared" si="10"/>
        <v>6.1645661016161144</v>
      </c>
      <c r="P21" s="11">
        <f t="shared" si="11"/>
        <v>1.8204526180439453</v>
      </c>
      <c r="Q21" s="11">
        <f t="shared" si="12"/>
        <v>10.332429784914311</v>
      </c>
    </row>
    <row r="22" spans="1:17" x14ac:dyDescent="0.2">
      <c r="A22" s="3">
        <v>9.42</v>
      </c>
      <c r="B22" s="3">
        <v>0.50800000000000001</v>
      </c>
      <c r="C22">
        <f t="shared" si="0"/>
        <v>-2.2157142857142862</v>
      </c>
      <c r="D22">
        <f t="shared" si="1"/>
        <v>-0.18404761904761907</v>
      </c>
      <c r="E22">
        <f t="shared" si="2"/>
        <v>0.40779693877551032</v>
      </c>
      <c r="F22">
        <f t="shared" si="3"/>
        <v>4.9093897959183694</v>
      </c>
      <c r="G22">
        <f t="shared" si="3"/>
        <v>3.3873526077097517E-2</v>
      </c>
      <c r="H22" s="4"/>
      <c r="I22" s="9">
        <f t="shared" si="4"/>
        <v>9.0751522559155227</v>
      </c>
      <c r="J22" s="11">
        <f t="shared" si="5"/>
        <v>0.34484774408447727</v>
      </c>
      <c r="K22" s="11">
        <f t="shared" si="6"/>
        <v>0.11891996660015312</v>
      </c>
      <c r="L22" s="11">
        <f t="shared" si="7"/>
        <v>4.1517779134192863E-2</v>
      </c>
      <c r="M22" s="11">
        <f t="shared" si="8"/>
        <v>2.0334039358110272</v>
      </c>
      <c r="N22" s="11">
        <f t="shared" si="9"/>
        <v>8.9882545455020448</v>
      </c>
      <c r="O22" s="11">
        <f t="shared" si="10"/>
        <v>9.1620499663290005</v>
      </c>
      <c r="P22" s="11">
        <f t="shared" si="11"/>
        <v>4.8191889059345145</v>
      </c>
      <c r="Q22" s="11">
        <f t="shared" si="12"/>
        <v>13.331115605896532</v>
      </c>
    </row>
    <row r="23" spans="1:17" x14ac:dyDescent="0.2">
      <c r="A23" s="3">
        <v>9.9499999999999993</v>
      </c>
      <c r="B23" s="3">
        <v>0.41099999999999998</v>
      </c>
      <c r="C23">
        <f t="shared" si="0"/>
        <v>-2.7457142857142856</v>
      </c>
      <c r="D23">
        <f t="shared" si="1"/>
        <v>-8.704761904761904E-2</v>
      </c>
      <c r="E23">
        <f t="shared" si="2"/>
        <v>0.23900789115646254</v>
      </c>
      <c r="F23">
        <f t="shared" si="3"/>
        <v>7.538946938775509</v>
      </c>
      <c r="G23">
        <f t="shared" si="3"/>
        <v>7.5772879818594091E-3</v>
      </c>
      <c r="H23" s="4"/>
      <c r="I23" s="9">
        <f t="shared" si="4"/>
        <v>8.0891354007279617</v>
      </c>
      <c r="J23" s="11">
        <f t="shared" si="5"/>
        <v>1.8608645992720376</v>
      </c>
      <c r="K23" s="11">
        <f t="shared" si="6"/>
        <v>3.462817056823881</v>
      </c>
      <c r="L23" s="11">
        <f t="shared" si="7"/>
        <v>4.1708760093157396E-2</v>
      </c>
      <c r="M23" s="11">
        <f t="shared" si="8"/>
        <v>2.0334078442004815</v>
      </c>
      <c r="N23" s="11">
        <f t="shared" si="9"/>
        <v>8.0018379625734379</v>
      </c>
      <c r="O23" s="11">
        <f t="shared" si="10"/>
        <v>8.1764328388824854</v>
      </c>
      <c r="P23" s="11">
        <f t="shared" si="11"/>
        <v>3.8331638703938111</v>
      </c>
      <c r="Q23" s="11">
        <f t="shared" si="12"/>
        <v>12.345106931062112</v>
      </c>
    </row>
    <row r="25" spans="1:17" x14ac:dyDescent="0.2">
      <c r="A25" t="s">
        <v>2</v>
      </c>
      <c r="B25" t="s">
        <v>3</v>
      </c>
      <c r="C25" t="s">
        <v>10</v>
      </c>
    </row>
    <row r="26" spans="1:17" x14ac:dyDescent="0.2">
      <c r="A26">
        <f>AVERAGE(A3:A23)</f>
        <v>7.2042857142857137</v>
      </c>
      <c r="B26">
        <f>AVERAGE(B3:B23)</f>
        <v>0.32395238095238094</v>
      </c>
      <c r="C26">
        <f>SUM(F3:F23) / 19</f>
        <v>3.0508481203007518</v>
      </c>
      <c r="G26" s="1" t="s">
        <v>11</v>
      </c>
      <c r="H26">
        <f>SUM(E3:E23) / SUM(G3:G23)</f>
        <v>10.165122218428451</v>
      </c>
      <c r="J26" s="2" t="s">
        <v>30</v>
      </c>
      <c r="K26">
        <f>SUM(K3:K23) / 19</f>
        <v>2.0329800392988471</v>
      </c>
    </row>
    <row r="27" spans="1:17" x14ac:dyDescent="0.2">
      <c r="A27" t="s">
        <v>17</v>
      </c>
      <c r="G27" s="1" t="s">
        <v>15</v>
      </c>
      <c r="H27">
        <f>A26-B26*H26</f>
        <v>3.9112701689538687</v>
      </c>
    </row>
    <row r="28" spans="1:17" x14ac:dyDescent="0.2">
      <c r="A28">
        <f>_xlfn.STDEV.S(B3:B23)</f>
        <v>9.6737519190062196E-2</v>
      </c>
      <c r="C28" t="s">
        <v>6</v>
      </c>
      <c r="J28" s="2" t="s">
        <v>16</v>
      </c>
      <c r="K28">
        <f>SQRT(K26)</f>
        <v>1.4258260901312079</v>
      </c>
    </row>
    <row r="29" spans="1:17" x14ac:dyDescent="0.2">
      <c r="C29">
        <f>SQRT(C26)</f>
        <v>1.7466677189152926</v>
      </c>
    </row>
    <row r="30" spans="1:17" x14ac:dyDescent="0.2">
      <c r="J30" s="2" t="s">
        <v>18</v>
      </c>
      <c r="K30">
        <f>K28* SQRT(1/(20*A28^2))</f>
        <v>3.2957678554502867</v>
      </c>
    </row>
    <row r="31" spans="1:17" x14ac:dyDescent="0.2">
      <c r="J31" s="2" t="s">
        <v>19</v>
      </c>
      <c r="K31">
        <f>K28*SQRT(1/22+B26^2/(20+A28))</f>
        <v>0.32097414775734673</v>
      </c>
    </row>
  </sheetData>
  <mergeCells count="2">
    <mergeCell ref="N1:O1"/>
    <mergeCell ref="P1:Q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MaleDisplayDataSet_2_2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2017-11-05T21:18:20Z</dcterms:created>
  <dcterms:modified xsi:type="dcterms:W3CDTF">2017-11-06T02:55:49Z</dcterms:modified>
</cp:coreProperties>
</file>