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IIT\SEM2\OE1012\Assignment\1\"/>
    </mc:Choice>
  </mc:AlternateContent>
  <xr:revisionPtr revIDLastSave="0" documentId="10_ncr:8100000_{178B9243-F4DA-4536-A61B-51146C5072BB}" xr6:coauthVersionLast="34" xr6:coauthVersionMax="34" xr10:uidLastSave="{00000000-0000-0000-0000-000000000000}"/>
  <bookViews>
    <workbookView xWindow="0" yWindow="0" windowWidth="23040" windowHeight="966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48" i="1" l="1"/>
  <c r="E73" i="1" l="1"/>
  <c r="E56" i="1"/>
  <c r="D57" i="1"/>
  <c r="K57" i="1" s="1"/>
  <c r="D58" i="1"/>
  <c r="D59" i="1"/>
  <c r="J59" i="1" s="1"/>
  <c r="D60" i="1"/>
  <c r="H60" i="1" s="1"/>
  <c r="D61" i="1"/>
  <c r="G61" i="1" s="1"/>
  <c r="D62" i="1"/>
  <c r="K62" i="1" s="1"/>
  <c r="D63" i="1"/>
  <c r="J63" i="1" s="1"/>
  <c r="D64" i="1"/>
  <c r="H64" i="1" s="1"/>
  <c r="D65" i="1"/>
  <c r="K65" i="1" s="1"/>
  <c r="D66" i="1"/>
  <c r="D67" i="1"/>
  <c r="J67" i="1" s="1"/>
  <c r="D68" i="1"/>
  <c r="K68" i="1" s="1"/>
  <c r="K48" i="1" s="1"/>
  <c r="D69" i="1"/>
  <c r="G69" i="1" s="1"/>
  <c r="D70" i="1"/>
  <c r="K70" i="1" s="1"/>
  <c r="D71" i="1"/>
  <c r="J71" i="1" s="1"/>
  <c r="D72" i="1"/>
  <c r="H72" i="1" s="1"/>
  <c r="D73" i="1"/>
  <c r="K73" i="1" s="1"/>
  <c r="D74" i="1"/>
  <c r="D75" i="1"/>
  <c r="J75" i="1" s="1"/>
  <c r="D76" i="1"/>
  <c r="K76" i="1" s="1"/>
  <c r="D77" i="1"/>
  <c r="G77" i="1" s="1"/>
  <c r="D78" i="1"/>
  <c r="K78" i="1" s="1"/>
  <c r="D79" i="1"/>
  <c r="J79" i="1" s="1"/>
  <c r="D80" i="1"/>
  <c r="K80" i="1" s="1"/>
  <c r="D56" i="1"/>
  <c r="K56" i="1" s="1"/>
  <c r="C80" i="1"/>
  <c r="C57" i="1"/>
  <c r="C58" i="1"/>
  <c r="C59" i="1"/>
  <c r="C60" i="1"/>
  <c r="C61" i="1"/>
  <c r="C62" i="1"/>
  <c r="C63" i="1"/>
  <c r="C64" i="1"/>
  <c r="C65" i="1"/>
  <c r="C66" i="1"/>
  <c r="C67" i="1"/>
  <c r="C68" i="1"/>
  <c r="C48" i="1" s="1"/>
  <c r="C69" i="1"/>
  <c r="C70" i="1"/>
  <c r="C71" i="1"/>
  <c r="C72" i="1"/>
  <c r="C73" i="1"/>
  <c r="C74" i="1"/>
  <c r="C75" i="1"/>
  <c r="C76" i="1"/>
  <c r="C77" i="1"/>
  <c r="C78" i="1"/>
  <c r="C79" i="1"/>
  <c r="C56" i="1"/>
  <c r="Q55" i="1"/>
  <c r="P55" i="1"/>
  <c r="O55" i="1"/>
  <c r="N55" i="1"/>
  <c r="M55" i="1"/>
  <c r="I69" i="1" l="1"/>
  <c r="I61" i="1"/>
  <c r="G56" i="1"/>
  <c r="K71" i="1"/>
  <c r="G65" i="1"/>
  <c r="K69" i="1"/>
  <c r="E65" i="1"/>
  <c r="G73" i="1"/>
  <c r="G57" i="1"/>
  <c r="K79" i="1"/>
  <c r="K63" i="1"/>
  <c r="G75" i="1"/>
  <c r="G59" i="1"/>
  <c r="E57" i="1"/>
  <c r="G67" i="1"/>
  <c r="I77" i="1"/>
  <c r="K77" i="1"/>
  <c r="K61" i="1"/>
  <c r="E71" i="1"/>
  <c r="E77" i="1"/>
  <c r="E69" i="1"/>
  <c r="E61" i="1"/>
  <c r="G79" i="1"/>
  <c r="G71" i="1"/>
  <c r="G63" i="1"/>
  <c r="I56" i="1"/>
  <c r="I73" i="1"/>
  <c r="I65" i="1"/>
  <c r="I57" i="1"/>
  <c r="K75" i="1"/>
  <c r="K67" i="1"/>
  <c r="K59" i="1"/>
  <c r="E79" i="1"/>
  <c r="E63" i="1"/>
  <c r="I75" i="1"/>
  <c r="I67" i="1"/>
  <c r="I59" i="1"/>
  <c r="E75" i="1"/>
  <c r="E67" i="1"/>
  <c r="E59" i="1"/>
  <c r="I79" i="1"/>
  <c r="I71" i="1"/>
  <c r="I63" i="1"/>
  <c r="N74" i="1"/>
  <c r="M74" i="1"/>
  <c r="N66" i="1"/>
  <c r="M66" i="1"/>
  <c r="N58" i="1"/>
  <c r="M58" i="1"/>
  <c r="F80" i="1"/>
  <c r="F76" i="1"/>
  <c r="F72" i="1"/>
  <c r="F68" i="1"/>
  <c r="F48" i="1" s="1"/>
  <c r="F64" i="1"/>
  <c r="F60" i="1"/>
  <c r="H74" i="1"/>
  <c r="H70" i="1"/>
  <c r="H62" i="1"/>
  <c r="H58" i="1"/>
  <c r="J80" i="1"/>
  <c r="J76" i="1"/>
  <c r="J72" i="1"/>
  <c r="J68" i="1"/>
  <c r="J48" i="1" s="1"/>
  <c r="J64" i="1"/>
  <c r="M56" i="1"/>
  <c r="N56" i="1"/>
  <c r="M77" i="1"/>
  <c r="N77" i="1"/>
  <c r="M73" i="1"/>
  <c r="N73" i="1"/>
  <c r="M69" i="1"/>
  <c r="N69" i="1"/>
  <c r="M65" i="1"/>
  <c r="N65" i="1"/>
  <c r="M61" i="1"/>
  <c r="N61" i="1"/>
  <c r="M57" i="1"/>
  <c r="N57" i="1"/>
  <c r="E78" i="1"/>
  <c r="E74" i="1"/>
  <c r="E70" i="1"/>
  <c r="E66" i="1"/>
  <c r="E62" i="1"/>
  <c r="E58" i="1"/>
  <c r="F79" i="1"/>
  <c r="F75" i="1"/>
  <c r="F71" i="1"/>
  <c r="F67" i="1"/>
  <c r="F63" i="1"/>
  <c r="F59" i="1"/>
  <c r="G80" i="1"/>
  <c r="G76" i="1"/>
  <c r="G72" i="1"/>
  <c r="G68" i="1"/>
  <c r="G48" i="1" s="1"/>
  <c r="G64" i="1"/>
  <c r="G60" i="1"/>
  <c r="H56" i="1"/>
  <c r="H77" i="1"/>
  <c r="H73" i="1"/>
  <c r="H69" i="1"/>
  <c r="H65" i="1"/>
  <c r="H61" i="1"/>
  <c r="H57" i="1"/>
  <c r="I78" i="1"/>
  <c r="I74" i="1"/>
  <c r="I70" i="1"/>
  <c r="I66" i="1"/>
  <c r="I62" i="1"/>
  <c r="I58" i="1"/>
  <c r="K72" i="1"/>
  <c r="K64" i="1"/>
  <c r="K60" i="1"/>
  <c r="N76" i="1"/>
  <c r="M76" i="1"/>
  <c r="D48" i="1"/>
  <c r="N68" i="1"/>
  <c r="N48" i="1" s="1"/>
  <c r="M68" i="1"/>
  <c r="F66" i="1"/>
  <c r="H76" i="1"/>
  <c r="H68" i="1"/>
  <c r="H48" i="1" s="1"/>
  <c r="N80" i="1"/>
  <c r="M80" i="1"/>
  <c r="N72" i="1"/>
  <c r="M72" i="1"/>
  <c r="N64" i="1"/>
  <c r="M64" i="1"/>
  <c r="N60" i="1"/>
  <c r="M60" i="1"/>
  <c r="F78" i="1"/>
  <c r="F74" i="1"/>
  <c r="F70" i="1"/>
  <c r="F62" i="1"/>
  <c r="F58" i="1"/>
  <c r="H80" i="1"/>
  <c r="J78" i="1"/>
  <c r="J74" i="1"/>
  <c r="J70" i="1"/>
  <c r="J66" i="1"/>
  <c r="J62" i="1"/>
  <c r="J58" i="1"/>
  <c r="M79" i="1"/>
  <c r="N79" i="1"/>
  <c r="N75" i="1"/>
  <c r="M75" i="1"/>
  <c r="M71" i="1"/>
  <c r="N71" i="1"/>
  <c r="N67" i="1"/>
  <c r="M67" i="1"/>
  <c r="M63" i="1"/>
  <c r="N63" i="1"/>
  <c r="N59" i="1"/>
  <c r="M59" i="1"/>
  <c r="E80" i="1"/>
  <c r="E76" i="1"/>
  <c r="E72" i="1"/>
  <c r="E68" i="1"/>
  <c r="E48" i="1" s="1"/>
  <c r="E64" i="1"/>
  <c r="E60" i="1"/>
  <c r="F56" i="1"/>
  <c r="F77" i="1"/>
  <c r="F73" i="1"/>
  <c r="F69" i="1"/>
  <c r="F65" i="1"/>
  <c r="F61" i="1"/>
  <c r="F57" i="1"/>
  <c r="G78" i="1"/>
  <c r="G74" i="1"/>
  <c r="G70" i="1"/>
  <c r="G66" i="1"/>
  <c r="G62" i="1"/>
  <c r="G58" i="1"/>
  <c r="H79" i="1"/>
  <c r="H75" i="1"/>
  <c r="H71" i="1"/>
  <c r="H67" i="1"/>
  <c r="H63" i="1"/>
  <c r="H59" i="1"/>
  <c r="I80" i="1"/>
  <c r="I76" i="1"/>
  <c r="I72" i="1"/>
  <c r="I68" i="1"/>
  <c r="I48" i="1" s="1"/>
  <c r="I64" i="1"/>
  <c r="I60" i="1"/>
  <c r="J56" i="1"/>
  <c r="J77" i="1"/>
  <c r="J73" i="1"/>
  <c r="J69" i="1"/>
  <c r="J65" i="1"/>
  <c r="J61" i="1"/>
  <c r="J57" i="1"/>
  <c r="K74" i="1"/>
  <c r="K66" i="1"/>
  <c r="K58" i="1"/>
  <c r="N78" i="1"/>
  <c r="M78" i="1"/>
  <c r="N70" i="1"/>
  <c r="M70" i="1"/>
  <c r="N62" i="1"/>
  <c r="M62" i="1"/>
  <c r="H78" i="1"/>
  <c r="H66" i="1"/>
  <c r="J60" i="1"/>
  <c r="B41" i="1"/>
  <c r="C41" i="1"/>
  <c r="D41" i="1"/>
  <c r="E41" i="1"/>
  <c r="F41" i="1"/>
  <c r="G41" i="1"/>
  <c r="H41" i="1"/>
  <c r="I41" i="1"/>
  <c r="J41" i="1"/>
  <c r="K41" i="1"/>
  <c r="M41" i="1"/>
  <c r="N41" i="1"/>
  <c r="O41" i="1"/>
  <c r="P41" i="1"/>
  <c r="Q41" i="1"/>
  <c r="L41" i="1"/>
  <c r="P70" i="1" l="1"/>
  <c r="Q70" i="1" s="1"/>
  <c r="O70" i="1"/>
  <c r="O63" i="1"/>
  <c r="P63" i="1"/>
  <c r="Q63" i="1" s="1"/>
  <c r="O71" i="1"/>
  <c r="P71" i="1"/>
  <c r="Q71" i="1" s="1"/>
  <c r="O79" i="1"/>
  <c r="P79" i="1"/>
  <c r="Q79" i="1" s="1"/>
  <c r="O59" i="1"/>
  <c r="P59" i="1"/>
  <c r="Q59" i="1" s="1"/>
  <c r="O67" i="1"/>
  <c r="P67" i="1"/>
  <c r="Q67" i="1" s="1"/>
  <c r="O75" i="1"/>
  <c r="P75" i="1"/>
  <c r="Q75" i="1" s="1"/>
  <c r="P60" i="1"/>
  <c r="Q60" i="1" s="1"/>
  <c r="O60" i="1"/>
  <c r="P72" i="1"/>
  <c r="Q72" i="1" s="1"/>
  <c r="O72" i="1"/>
  <c r="P76" i="1"/>
  <c r="Q76" i="1" s="1"/>
  <c r="O76" i="1"/>
  <c r="P61" i="1"/>
  <c r="Q61" i="1" s="1"/>
  <c r="O61" i="1"/>
  <c r="P69" i="1"/>
  <c r="Q69" i="1" s="1"/>
  <c r="O69" i="1"/>
  <c r="P77" i="1"/>
  <c r="Q77" i="1" s="1"/>
  <c r="O77" i="1"/>
  <c r="P58" i="1"/>
  <c r="Q58" i="1" s="1"/>
  <c r="O58" i="1"/>
  <c r="P74" i="1"/>
  <c r="Q74" i="1" s="1"/>
  <c r="O74" i="1"/>
  <c r="P62" i="1"/>
  <c r="Q62" i="1" s="1"/>
  <c r="O62" i="1"/>
  <c r="P78" i="1"/>
  <c r="Q78" i="1" s="1"/>
  <c r="O78" i="1"/>
  <c r="M48" i="1"/>
  <c r="P68" i="1"/>
  <c r="O68" i="1"/>
  <c r="O48" i="1" s="1"/>
  <c r="P64" i="1"/>
  <c r="Q64" i="1" s="1"/>
  <c r="O64" i="1"/>
  <c r="P80" i="1"/>
  <c r="Q80" i="1" s="1"/>
  <c r="O80" i="1"/>
  <c r="P57" i="1"/>
  <c r="Q57" i="1" s="1"/>
  <c r="O57" i="1"/>
  <c r="P65" i="1"/>
  <c r="Q65" i="1" s="1"/>
  <c r="O65" i="1"/>
  <c r="P73" i="1"/>
  <c r="Q73" i="1" s="1"/>
  <c r="O73" i="1"/>
  <c r="O56" i="1"/>
  <c r="P56" i="1"/>
  <c r="P66" i="1"/>
  <c r="Q66" i="1" s="1"/>
  <c r="O66" i="1"/>
  <c r="S5" i="1"/>
  <c r="S4" i="1"/>
  <c r="P48" i="1" l="1"/>
  <c r="Q68" i="1"/>
  <c r="Q48" i="1" s="1"/>
  <c r="Q56" i="1"/>
  <c r="B35" i="1"/>
  <c r="O30" i="1" l="1"/>
  <c r="P30" i="1"/>
  <c r="Q30" i="1"/>
  <c r="I30" i="1"/>
  <c r="J30" i="1"/>
  <c r="K30" i="1"/>
  <c r="L30" i="1"/>
  <c r="M30" i="1"/>
  <c r="N30" i="1"/>
  <c r="C30" i="1"/>
  <c r="D30" i="1"/>
  <c r="E30" i="1"/>
  <c r="F30" i="1"/>
  <c r="G30" i="1"/>
  <c r="H30" i="1"/>
  <c r="S6" i="1"/>
  <c r="S7" i="1"/>
  <c r="S8" i="1"/>
  <c r="S9" i="1"/>
  <c r="S10" i="1"/>
  <c r="S11" i="1"/>
  <c r="S12" i="1"/>
  <c r="S13" i="1"/>
  <c r="S14" i="1"/>
  <c r="S15" i="1"/>
  <c r="S27" i="1"/>
  <c r="S28" i="1"/>
  <c r="S18" i="1"/>
  <c r="S19" i="1"/>
  <c r="S20" i="1"/>
  <c r="S21" i="1"/>
  <c r="S22" i="1"/>
  <c r="S23" i="1"/>
  <c r="S24" i="1"/>
  <c r="S25" i="1"/>
  <c r="S26" i="1"/>
  <c r="S17" i="1"/>
  <c r="S3" i="1"/>
  <c r="S16" i="1"/>
  <c r="B30" i="1"/>
  <c r="B47" i="1" s="1"/>
  <c r="M47" i="1" l="1"/>
  <c r="M43" i="1"/>
  <c r="H47" i="1"/>
  <c r="H43" i="1"/>
  <c r="D47" i="1"/>
  <c r="D43" i="1"/>
  <c r="L47" i="1"/>
  <c r="L43" i="1"/>
  <c r="Q43" i="1"/>
  <c r="Q47" i="1"/>
  <c r="G47" i="1"/>
  <c r="G43" i="1"/>
  <c r="K47" i="1"/>
  <c r="K43" i="1"/>
  <c r="P47" i="1"/>
  <c r="P43" i="1"/>
  <c r="C47" i="1"/>
  <c r="C43" i="1"/>
  <c r="F47" i="1"/>
  <c r="F43" i="1"/>
  <c r="N47" i="1"/>
  <c r="N43" i="1"/>
  <c r="J47" i="1"/>
  <c r="J43" i="1"/>
  <c r="O47" i="1"/>
  <c r="O43" i="1"/>
  <c r="E47" i="1"/>
  <c r="E43" i="1"/>
  <c r="I47" i="1"/>
  <c r="I43" i="1"/>
  <c r="L34" i="1"/>
  <c r="L49" i="1" s="1"/>
  <c r="Q34" i="1"/>
  <c r="Q49" i="1" s="1"/>
  <c r="J34" i="1"/>
  <c r="J49" i="1" s="1"/>
  <c r="K34" i="1"/>
  <c r="K49" i="1" s="1"/>
  <c r="E34" i="1"/>
  <c r="H34" i="1"/>
  <c r="H49" i="1" s="1"/>
  <c r="I34" i="1"/>
  <c r="I49" i="1" s="1"/>
  <c r="P34" i="1"/>
  <c r="P49" i="1" s="1"/>
  <c r="N34" i="1"/>
  <c r="N49" i="1" s="1"/>
  <c r="O34" i="1"/>
  <c r="O49" i="1" s="1"/>
  <c r="G34" i="1"/>
  <c r="G49" i="1" s="1"/>
  <c r="F34" i="1"/>
  <c r="F49" i="1" s="1"/>
  <c r="M34" i="1"/>
  <c r="D34" i="1"/>
  <c r="D49" i="1" s="1"/>
  <c r="B37" i="1"/>
  <c r="E37" i="1"/>
  <c r="M37" i="1"/>
  <c r="I37" i="1"/>
  <c r="H37" i="1"/>
  <c r="D37" i="1"/>
  <c r="L37" i="1"/>
  <c r="Q37" i="1"/>
  <c r="G37" i="1"/>
  <c r="C34" i="1"/>
  <c r="C37" i="1"/>
  <c r="K37" i="1"/>
  <c r="P37" i="1"/>
  <c r="F37" i="1"/>
  <c r="N37" i="1"/>
  <c r="J37" i="1"/>
  <c r="O37" i="1"/>
  <c r="U28" i="1"/>
  <c r="U29" i="1" s="1"/>
  <c r="U30" i="1" s="1"/>
  <c r="U31" i="1" s="1"/>
  <c r="U32" i="1" s="1"/>
  <c r="U33" i="1" s="1"/>
  <c r="U34" i="1" s="1"/>
  <c r="U37" i="1" s="1"/>
  <c r="U38" i="1" s="1"/>
  <c r="U39" i="1" s="1"/>
  <c r="U11" i="1"/>
  <c r="U12" i="1" s="1"/>
  <c r="U13" i="1" s="1"/>
  <c r="U14" i="1" s="1"/>
  <c r="C36" i="1" l="1"/>
  <c r="C39" i="1" s="1"/>
  <c r="C49" i="1"/>
  <c r="M36" i="1"/>
  <c r="M39" i="1" s="1"/>
  <c r="M49" i="1"/>
  <c r="E36" i="1"/>
  <c r="E39" i="1" s="1"/>
  <c r="E49" i="1"/>
  <c r="N35" i="1"/>
  <c r="N45" i="1"/>
  <c r="N44" i="1"/>
  <c r="N46" i="1"/>
  <c r="F35" i="1"/>
  <c r="F44" i="1"/>
  <c r="F45" i="1"/>
  <c r="F46" i="1"/>
  <c r="P35" i="1"/>
  <c r="P45" i="1"/>
  <c r="P44" i="1"/>
  <c r="P46" i="1"/>
  <c r="K35" i="1"/>
  <c r="K45" i="1"/>
  <c r="K44" i="1"/>
  <c r="K46" i="1"/>
  <c r="P36" i="1"/>
  <c r="P39" i="1" s="1"/>
  <c r="L36" i="1"/>
  <c r="L39" i="1" s="1"/>
  <c r="L46" i="1"/>
  <c r="L44" i="1"/>
  <c r="L45" i="1"/>
  <c r="G35" i="1"/>
  <c r="G45" i="1"/>
  <c r="G44" i="1"/>
  <c r="G46" i="1"/>
  <c r="J35" i="1"/>
  <c r="J44" i="1"/>
  <c r="J45" i="1"/>
  <c r="J46" i="1"/>
  <c r="I35" i="1"/>
  <c r="I44" i="1"/>
  <c r="I45" i="1"/>
  <c r="I46" i="1"/>
  <c r="D35" i="1"/>
  <c r="D44" i="1"/>
  <c r="D45" i="1"/>
  <c r="D46" i="1"/>
  <c r="O35" i="1"/>
  <c r="O45" i="1"/>
  <c r="O44" i="1"/>
  <c r="O46" i="1"/>
  <c r="H35" i="1"/>
  <c r="H44" i="1"/>
  <c r="H45" i="1"/>
  <c r="H46" i="1"/>
  <c r="Q35" i="1"/>
  <c r="Q45" i="1"/>
  <c r="Q44" i="1"/>
  <c r="Q46" i="1"/>
  <c r="N36" i="1"/>
  <c r="N39" i="1" s="1"/>
  <c r="C35" i="1"/>
  <c r="C44" i="1"/>
  <c r="C45" i="1"/>
  <c r="C46" i="1"/>
  <c r="M35" i="1"/>
  <c r="M44" i="1"/>
  <c r="M45" i="1"/>
  <c r="M46" i="1"/>
  <c r="E35" i="1"/>
  <c r="E45" i="1"/>
  <c r="E44" i="1"/>
  <c r="E46" i="1"/>
  <c r="G36" i="1"/>
  <c r="G39" i="1" s="1"/>
  <c r="J36" i="1"/>
  <c r="J39" i="1" s="1"/>
  <c r="D36" i="1"/>
  <c r="D39" i="1" s="1"/>
  <c r="F36" i="1"/>
  <c r="F39" i="1" s="1"/>
  <c r="H36" i="1"/>
  <c r="H39" i="1" s="1"/>
  <c r="K36" i="1"/>
  <c r="K39" i="1" s="1"/>
  <c r="I36" i="1"/>
  <c r="I39" i="1" s="1"/>
  <c r="O36" i="1"/>
  <c r="O39" i="1" s="1"/>
  <c r="Q36" i="1"/>
  <c r="Q39" i="1" s="1"/>
  <c r="L35" i="1"/>
</calcChain>
</file>

<file path=xl/sharedStrings.xml><?xml version="1.0" encoding="utf-8"?>
<sst xmlns="http://schemas.openxmlformats.org/spreadsheetml/2006/main" count="31" uniqueCount="27">
  <si>
    <t>WL</t>
  </si>
  <si>
    <t>Distance</t>
  </si>
  <si>
    <t>Stations</t>
  </si>
  <si>
    <t>Water Lines</t>
  </si>
  <si>
    <t>Station Area</t>
  </si>
  <si>
    <t>Stern</t>
  </si>
  <si>
    <t>Stem</t>
  </si>
  <si>
    <t>WP Area</t>
  </si>
  <si>
    <t>Hydrostatic Parameters</t>
  </si>
  <si>
    <t>Volume</t>
  </si>
  <si>
    <t>KB</t>
  </si>
  <si>
    <t>Disp</t>
  </si>
  <si>
    <t>TPC</t>
  </si>
  <si>
    <t>MCT</t>
  </si>
  <si>
    <t>KMT</t>
  </si>
  <si>
    <t>KML</t>
  </si>
  <si>
    <t>IT</t>
  </si>
  <si>
    <t>IL</t>
  </si>
  <si>
    <t>CB</t>
  </si>
  <si>
    <t>CW</t>
  </si>
  <si>
    <t>CP</t>
  </si>
  <si>
    <t>LCB</t>
  </si>
  <si>
    <t>LCF</t>
  </si>
  <si>
    <t>Draft</t>
  </si>
  <si>
    <t>Station Areas</t>
  </si>
  <si>
    <t>CM</t>
  </si>
  <si>
    <t>WSA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</si>
</sst>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AA0F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rgb="FFFAA0F4"/>
      </patternFill>
    </fill>
    <fill>
      <patternFill patternType="solid">
        <fgColor rgb="FFFF0000"/>
        <bgColor rgb="FFFAA0F4"/>
      </patternFill>
    </fill>
    <fill>
      <patternFill patternType="solid">
        <fgColor rgb="FFFF99FF"/>
        <bgColor indexed="64"/>
      </patternFill>
    </fill>
    <fill>
      <patternFill patternType="solid">
        <fgColor theme="0" tint="-0.149967955565050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3" fontId="0" fillId="9" borderId="0" xfId="0" applyNumberFormat="1" applyFill="1" applyBorder="1" applyAlignment="1">
      <alignment horizontal="center"/>
    </xf>
    <xf numFmtId="3" fontId="0" fillId="9" borderId="15" xfId="0" applyNumberFormat="1" applyFill="1" applyBorder="1" applyAlignment="1">
      <alignment horizontal="center"/>
    </xf>
    <xf numFmtId="0" fontId="1" fillId="10" borderId="19" xfId="0" applyFont="1" applyFill="1" applyBorder="1" applyAlignment="1">
      <alignment horizontal="center"/>
    </xf>
    <xf numFmtId="3" fontId="0" fillId="10" borderId="0" xfId="0" applyNumberForma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164" fontId="1" fillId="5" borderId="26" xfId="0" applyNumberFormat="1" applyFont="1" applyFill="1" applyBorder="1" applyAlignment="1">
      <alignment horizontal="center"/>
    </xf>
    <xf numFmtId="164" fontId="1" fillId="10" borderId="26" xfId="0" applyNumberFormat="1" applyFont="1" applyFill="1" applyBorder="1" applyAlignment="1">
      <alignment horizontal="center"/>
    </xf>
    <xf numFmtId="164" fontId="1" fillId="5" borderId="25" xfId="0" applyNumberFormat="1" applyFont="1" applyFill="1" applyBorder="1" applyAlignment="1">
      <alignment horizontal="center"/>
    </xf>
    <xf numFmtId="164" fontId="1" fillId="4" borderId="27" xfId="0" applyNumberFormat="1" applyFont="1" applyFill="1" applyBorder="1" applyAlignment="1">
      <alignment horizontal="center"/>
    </xf>
    <xf numFmtId="164" fontId="1" fillId="11" borderId="27" xfId="0" applyNumberFormat="1" applyFont="1" applyFill="1" applyBorder="1" applyAlignment="1">
      <alignment horizontal="center"/>
    </xf>
    <xf numFmtId="164" fontId="1" fillId="4" borderId="28" xfId="0" applyNumberFormat="1" applyFont="1" applyFill="1" applyBorder="1" applyAlignment="1">
      <alignment horizontal="center"/>
    </xf>
    <xf numFmtId="0" fontId="1" fillId="0" borderId="23" xfId="0" applyFont="1" applyBorder="1"/>
    <xf numFmtId="0" fontId="1" fillId="0" borderId="23" xfId="0" applyFont="1" applyFill="1" applyBorder="1"/>
    <xf numFmtId="165" fontId="0" fillId="9" borderId="0" xfId="0" applyNumberFormat="1" applyFill="1" applyBorder="1" applyAlignment="1">
      <alignment horizontal="center"/>
    </xf>
    <xf numFmtId="165" fontId="0" fillId="10" borderId="0" xfId="0" applyNumberFormat="1" applyFill="1" applyBorder="1" applyAlignment="1">
      <alignment horizontal="center"/>
    </xf>
    <xf numFmtId="165" fontId="0" fillId="9" borderId="15" xfId="0" applyNumberFormat="1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2" fontId="0" fillId="14" borderId="0" xfId="0" applyNumberFormat="1" applyFill="1" applyBorder="1" applyAlignment="1">
      <alignment horizontal="center"/>
    </xf>
    <xf numFmtId="2" fontId="0" fillId="10" borderId="0" xfId="0" applyNumberFormat="1" applyFill="1" applyBorder="1" applyAlignment="1">
      <alignment horizontal="center"/>
    </xf>
    <xf numFmtId="2" fontId="0" fillId="9" borderId="15" xfId="0" applyNumberFormat="1" applyFill="1" applyBorder="1" applyAlignment="1">
      <alignment horizontal="center"/>
    </xf>
    <xf numFmtId="3" fontId="0" fillId="12" borderId="0" xfId="0" applyNumberFormat="1" applyFill="1" applyBorder="1" applyAlignment="1">
      <alignment horizontal="center"/>
    </xf>
    <xf numFmtId="3" fontId="0" fillId="13" borderId="0" xfId="0" applyNumberFormat="1" applyFill="1" applyBorder="1" applyAlignment="1">
      <alignment horizontal="center"/>
    </xf>
    <xf numFmtId="3" fontId="0" fillId="12" borderId="29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0" fontId="1" fillId="0" borderId="0" xfId="0" applyFont="1" applyAlignment="1"/>
    <xf numFmtId="2" fontId="0" fillId="9" borderId="29" xfId="0" applyNumberFormat="1" applyFill="1" applyBorder="1" applyAlignment="1">
      <alignment horizontal="center"/>
    </xf>
    <xf numFmtId="165" fontId="0" fillId="14" borderId="0" xfId="0" applyNumberFormat="1" applyFill="1" applyBorder="1" applyAlignment="1">
      <alignment horizontal="center"/>
    </xf>
    <xf numFmtId="165" fontId="0" fillId="14" borderId="29" xfId="0" applyNumberFormat="1" applyFill="1" applyBorder="1" applyAlignment="1">
      <alignment horizontal="center"/>
    </xf>
    <xf numFmtId="3" fontId="0" fillId="9" borderId="29" xfId="0" applyNumberFormat="1" applyFill="1" applyBorder="1" applyAlignment="1">
      <alignment horizontal="center"/>
    </xf>
    <xf numFmtId="0" fontId="0" fillId="0" borderId="0" xfId="0" applyFill="1" applyBorder="1"/>
    <xf numFmtId="3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1" fontId="0" fillId="10" borderId="0" xfId="0" applyNumberFormat="1" applyFill="1" applyBorder="1" applyAlignment="1">
      <alignment horizontal="center"/>
    </xf>
    <xf numFmtId="1" fontId="0" fillId="9" borderId="29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6" fontId="0" fillId="9" borderId="0" xfId="0" applyNumberFormat="1" applyFill="1" applyBorder="1" applyAlignment="1">
      <alignment horizontal="center"/>
    </xf>
    <xf numFmtId="166" fontId="0" fillId="14" borderId="0" xfId="0" applyNumberFormat="1" applyFill="1" applyBorder="1" applyAlignment="1">
      <alignment horizontal="center"/>
    </xf>
    <xf numFmtId="166" fontId="0" fillId="10" borderId="0" xfId="0" applyNumberFormat="1" applyFill="1" applyBorder="1" applyAlignment="1">
      <alignment horizontal="center"/>
    </xf>
    <xf numFmtId="166" fontId="0" fillId="14" borderId="29" xfId="0" applyNumberFormat="1" applyFill="1" applyBorder="1" applyAlignment="1">
      <alignment horizontal="center"/>
    </xf>
    <xf numFmtId="166" fontId="0" fillId="9" borderId="15" xfId="0" applyNumberFormat="1" applyFill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0" fillId="0" borderId="0" xfId="0" applyBorder="1"/>
    <xf numFmtId="0" fontId="1" fillId="0" borderId="17" xfId="0" applyFont="1" applyFill="1" applyBorder="1" applyAlignment="1">
      <alignment horizontal="center" vertical="center"/>
    </xf>
    <xf numFmtId="166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0" fontId="1" fillId="15" borderId="24" xfId="0" applyFont="1" applyFill="1" applyBorder="1" applyAlignment="1">
      <alignment horizontal="center"/>
    </xf>
    <xf numFmtId="0" fontId="1" fillId="15" borderId="2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3" fontId="0" fillId="9" borderId="16" xfId="0" applyNumberFormat="1" applyFill="1" applyBorder="1" applyAlignment="1">
      <alignment horizontal="center"/>
    </xf>
    <xf numFmtId="3" fontId="0" fillId="10" borderId="16" xfId="0" applyNumberFormat="1" applyFill="1" applyBorder="1" applyAlignment="1">
      <alignment horizontal="center"/>
    </xf>
    <xf numFmtId="3" fontId="0" fillId="9" borderId="1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FF"/>
      <color rgb="FFFF66FF"/>
      <color rgb="FFFAA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0"/>
  <sheetViews>
    <sheetView tabSelected="1" zoomScale="90" zoomScaleNormal="90" workbookViewId="0"/>
  </sheetViews>
  <sheetFormatPr defaultRowHeight="14.4" x14ac:dyDescent="0.3"/>
  <cols>
    <col min="1" max="17" width="10.77734375" customWidth="1"/>
    <col min="19" max="19" width="12.77734375" customWidth="1"/>
    <col min="20" max="21" width="8.88671875" customWidth="1"/>
    <col min="23" max="24" width="8.88671875" customWidth="1"/>
  </cols>
  <sheetData>
    <row r="1" spans="1:22" ht="15" thickBot="1" x14ac:dyDescent="0.35">
      <c r="A1" s="1"/>
      <c r="C1" s="2"/>
      <c r="D1" s="2"/>
      <c r="E1" s="2"/>
      <c r="F1" s="2"/>
      <c r="G1" s="2"/>
      <c r="H1" s="2"/>
      <c r="I1" s="93" t="s">
        <v>3</v>
      </c>
      <c r="J1" s="94"/>
      <c r="K1" s="2"/>
      <c r="L1" s="2"/>
      <c r="M1" s="2"/>
      <c r="N1" s="2"/>
      <c r="O1" s="2"/>
      <c r="P1" s="2"/>
      <c r="Q1" s="3"/>
    </row>
    <row r="2" spans="1:22" ht="15" thickBot="1" x14ac:dyDescent="0.35">
      <c r="A2" s="83" t="s">
        <v>2</v>
      </c>
      <c r="B2" s="5">
        <v>0</v>
      </c>
      <c r="C2" s="5">
        <v>0.5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31">
        <v>6</v>
      </c>
      <c r="J2" s="31">
        <v>7</v>
      </c>
      <c r="K2" s="5">
        <v>8</v>
      </c>
      <c r="L2" s="5">
        <v>8.8000000000000007</v>
      </c>
      <c r="M2" s="5">
        <v>10</v>
      </c>
      <c r="N2" s="5">
        <v>11</v>
      </c>
      <c r="O2" s="5">
        <v>12</v>
      </c>
      <c r="P2" s="5">
        <v>13</v>
      </c>
      <c r="Q2" s="6">
        <v>13.5</v>
      </c>
      <c r="S2" s="38" t="s">
        <v>4</v>
      </c>
    </row>
    <row r="3" spans="1:22" x14ac:dyDescent="0.3">
      <c r="A3" s="16">
        <v>-0.5</v>
      </c>
      <c r="B3" s="7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2.972</v>
      </c>
      <c r="N3" s="8">
        <v>3.379</v>
      </c>
      <c r="O3" s="8">
        <v>3.827</v>
      </c>
      <c r="P3" s="8">
        <v>4.3339999999999996</v>
      </c>
      <c r="Q3" s="9">
        <v>4.4770000000000003</v>
      </c>
      <c r="S3" s="35">
        <f>2*( (0.5/3)*(B3+4*C3+D3) + (1/3)*(D3+4*E3+2*F3+4*G3+2*H3+4*I3+2*J3+4*K3+L3) )</f>
        <v>0</v>
      </c>
      <c r="U3" s="96" t="s">
        <v>5</v>
      </c>
      <c r="V3" s="96"/>
    </row>
    <row r="4" spans="1:22" x14ac:dyDescent="0.3">
      <c r="A4" s="16">
        <v>0</v>
      </c>
      <c r="B4" s="10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1.5</v>
      </c>
      <c r="L4" s="11">
        <v>3.15</v>
      </c>
      <c r="M4" s="11">
        <v>3.95</v>
      </c>
      <c r="N4" s="11">
        <v>4.5</v>
      </c>
      <c r="O4" s="11">
        <v>4.9000000000000004</v>
      </c>
      <c r="P4" s="11">
        <v>5.25</v>
      </c>
      <c r="Q4" s="12">
        <v>5.45</v>
      </c>
      <c r="S4" s="35">
        <f>2*0.4*(K4+L4)</f>
        <v>3.7200000000000006</v>
      </c>
      <c r="U4" s="76" t="s">
        <v>0</v>
      </c>
      <c r="V4" s="4" t="s">
        <v>1</v>
      </c>
    </row>
    <row r="5" spans="1:22" x14ac:dyDescent="0.3">
      <c r="A5" s="16">
        <v>0.5</v>
      </c>
      <c r="B5" s="10">
        <v>0</v>
      </c>
      <c r="C5" s="11">
        <v>0</v>
      </c>
      <c r="D5" s="11">
        <v>0</v>
      </c>
      <c r="E5" s="11">
        <v>0.3</v>
      </c>
      <c r="F5" s="11">
        <v>0.6</v>
      </c>
      <c r="G5" s="11">
        <v>0.7</v>
      </c>
      <c r="H5" s="11">
        <v>0.7</v>
      </c>
      <c r="I5" s="11">
        <v>0.75</v>
      </c>
      <c r="J5" s="11">
        <v>1.95</v>
      </c>
      <c r="K5" s="11">
        <v>3.7</v>
      </c>
      <c r="L5" s="11">
        <v>4.4000000000000004</v>
      </c>
      <c r="M5" s="11">
        <v>5.125</v>
      </c>
      <c r="N5" s="11">
        <v>5.7569999999999997</v>
      </c>
      <c r="O5" s="11">
        <v>5.95</v>
      </c>
      <c r="P5" s="11">
        <v>6.25</v>
      </c>
      <c r="Q5" s="12">
        <v>6.35</v>
      </c>
      <c r="S5" s="35">
        <f>2*(  (1/3)*(D5+4*E5+2*F5+4*G5+2*H5+4*I5+2*J5+4*K5+L5) )</f>
        <v>21.8</v>
      </c>
      <c r="U5" s="89">
        <v>0</v>
      </c>
      <c r="V5" s="89">
        <v>6.3</v>
      </c>
    </row>
    <row r="6" spans="1:22" x14ac:dyDescent="0.3">
      <c r="A6" s="16">
        <v>1</v>
      </c>
      <c r="B6" s="10">
        <v>0.2</v>
      </c>
      <c r="C6" s="11">
        <v>0.7</v>
      </c>
      <c r="D6" s="11">
        <v>0.9</v>
      </c>
      <c r="E6" s="11">
        <v>1</v>
      </c>
      <c r="F6" s="11">
        <v>1.3</v>
      </c>
      <c r="G6" s="11">
        <v>1.9</v>
      </c>
      <c r="H6" s="11">
        <v>2.25</v>
      </c>
      <c r="I6" s="11">
        <v>2.8</v>
      </c>
      <c r="J6" s="11">
        <v>3.75</v>
      </c>
      <c r="K6" s="11">
        <v>4.8499999999999996</v>
      </c>
      <c r="L6" s="11">
        <v>5.5</v>
      </c>
      <c r="M6" s="11">
        <v>6.15</v>
      </c>
      <c r="N6" s="11">
        <v>6.5250000000000004</v>
      </c>
      <c r="O6" s="11">
        <v>6.9</v>
      </c>
      <c r="P6" s="11">
        <v>7.2</v>
      </c>
      <c r="Q6" s="12">
        <v>7.3</v>
      </c>
      <c r="S6" s="35">
        <f t="shared" ref="S6:S15" si="0">2*( (0.5/3)*(B6+4*C6+D6) + (1/3)*(D6+4*E6+2*F6+4*G6+2*H6+4*I6+2*J6+4*K6+L6) )</f>
        <v>43.433333333333323</v>
      </c>
      <c r="U6" s="90">
        <v>0.5</v>
      </c>
      <c r="V6" s="90">
        <v>5.2</v>
      </c>
    </row>
    <row r="7" spans="1:22" x14ac:dyDescent="0.3">
      <c r="A7" s="16">
        <v>1.5</v>
      </c>
      <c r="B7" s="10">
        <v>0.2</v>
      </c>
      <c r="C7" s="11">
        <v>0.95</v>
      </c>
      <c r="D7" s="11">
        <v>1.3</v>
      </c>
      <c r="E7" s="11">
        <v>1.85</v>
      </c>
      <c r="F7" s="11">
        <v>2.25</v>
      </c>
      <c r="G7" s="11">
        <v>2.7</v>
      </c>
      <c r="H7" s="11">
        <v>3.25</v>
      </c>
      <c r="I7" s="11">
        <v>4.1500000000000004</v>
      </c>
      <c r="J7" s="11">
        <v>5.15</v>
      </c>
      <c r="K7" s="11">
        <v>6</v>
      </c>
      <c r="L7" s="11">
        <v>6.45</v>
      </c>
      <c r="M7" s="11">
        <v>7.05</v>
      </c>
      <c r="N7" s="11">
        <v>7.45</v>
      </c>
      <c r="O7" s="11">
        <v>7.8</v>
      </c>
      <c r="P7" s="11">
        <v>8.1</v>
      </c>
      <c r="Q7" s="12">
        <v>8.25</v>
      </c>
      <c r="S7" s="35">
        <f t="shared" si="0"/>
        <v>60.333333333333336</v>
      </c>
      <c r="U7" s="90">
        <v>1</v>
      </c>
      <c r="V7" s="90">
        <v>4.7</v>
      </c>
    </row>
    <row r="8" spans="1:22" x14ac:dyDescent="0.3">
      <c r="A8" s="16">
        <v>2</v>
      </c>
      <c r="B8" s="10">
        <v>0.4</v>
      </c>
      <c r="C8" s="11">
        <v>1.45</v>
      </c>
      <c r="D8" s="11">
        <v>1.8</v>
      </c>
      <c r="E8" s="11">
        <v>2.5</v>
      </c>
      <c r="F8" s="11">
        <v>3.05</v>
      </c>
      <c r="G8" s="11">
        <v>3.8</v>
      </c>
      <c r="H8" s="11">
        <v>4.5</v>
      </c>
      <c r="I8" s="11">
        <v>5.55</v>
      </c>
      <c r="J8" s="11">
        <v>6.35</v>
      </c>
      <c r="K8" s="11">
        <v>7.05</v>
      </c>
      <c r="L8" s="11">
        <v>7.45</v>
      </c>
      <c r="M8" s="11">
        <v>8.0500000000000007</v>
      </c>
      <c r="N8" s="11">
        <v>8.4</v>
      </c>
      <c r="O8" s="11">
        <v>8.6999999999999993</v>
      </c>
      <c r="P8" s="11">
        <v>9</v>
      </c>
      <c r="Q8" s="12">
        <v>9.1</v>
      </c>
      <c r="S8" s="35">
        <f t="shared" si="0"/>
        <v>77.766666666666666</v>
      </c>
      <c r="U8" s="90">
        <v>2</v>
      </c>
      <c r="V8" s="90">
        <v>4</v>
      </c>
    </row>
    <row r="9" spans="1:22" x14ac:dyDescent="0.3">
      <c r="A9" s="16">
        <v>3</v>
      </c>
      <c r="B9" s="10">
        <v>1.425</v>
      </c>
      <c r="C9" s="11">
        <v>2.85</v>
      </c>
      <c r="D9" s="11">
        <v>3.55</v>
      </c>
      <c r="E9" s="11">
        <v>4.7</v>
      </c>
      <c r="F9" s="11">
        <v>5.6</v>
      </c>
      <c r="G9" s="11">
        <v>6.45</v>
      </c>
      <c r="H9" s="11">
        <v>7.2</v>
      </c>
      <c r="I9" s="11">
        <v>7.9</v>
      </c>
      <c r="J9" s="11">
        <v>8.4</v>
      </c>
      <c r="K9" s="11">
        <v>8.85</v>
      </c>
      <c r="L9" s="11">
        <v>9.25</v>
      </c>
      <c r="M9" s="11">
        <v>9.5500000000000007</v>
      </c>
      <c r="N9" s="11">
        <v>9.8249999999999993</v>
      </c>
      <c r="O9" s="11">
        <v>10.050000000000001</v>
      </c>
      <c r="P9" s="11">
        <v>10.35</v>
      </c>
      <c r="Q9" s="12">
        <v>10.45</v>
      </c>
      <c r="S9" s="35">
        <f t="shared" si="0"/>
        <v>116.65833333333332</v>
      </c>
      <c r="U9" s="90">
        <v>3</v>
      </c>
      <c r="V9" s="90">
        <v>3.2</v>
      </c>
    </row>
    <row r="10" spans="1:22" x14ac:dyDescent="0.3">
      <c r="A10" s="16">
        <v>4</v>
      </c>
      <c r="B10" s="10">
        <v>3.7</v>
      </c>
      <c r="C10" s="11">
        <v>5.45</v>
      </c>
      <c r="D10" s="11">
        <v>6.2</v>
      </c>
      <c r="E10" s="11">
        <v>7.3</v>
      </c>
      <c r="F10" s="11">
        <v>8.15</v>
      </c>
      <c r="G10" s="11">
        <v>8.85</v>
      </c>
      <c r="H10" s="11">
        <v>9.35</v>
      </c>
      <c r="I10" s="11">
        <v>9.75</v>
      </c>
      <c r="J10" s="11">
        <v>10.1</v>
      </c>
      <c r="K10" s="11">
        <v>10.4</v>
      </c>
      <c r="L10" s="11">
        <v>10.65</v>
      </c>
      <c r="M10" s="11">
        <v>10.85</v>
      </c>
      <c r="N10" s="11">
        <v>11.05</v>
      </c>
      <c r="O10" s="11">
        <v>11.25</v>
      </c>
      <c r="P10" s="11">
        <v>11.45</v>
      </c>
      <c r="Q10" s="12">
        <v>11.6</v>
      </c>
      <c r="S10" s="35">
        <f t="shared" si="0"/>
        <v>155.39999999999998</v>
      </c>
      <c r="U10" s="90">
        <v>4</v>
      </c>
      <c r="V10" s="92">
        <v>3.2</v>
      </c>
    </row>
    <row r="11" spans="1:22" x14ac:dyDescent="0.3">
      <c r="A11" s="16">
        <v>5</v>
      </c>
      <c r="B11" s="10">
        <v>6.4</v>
      </c>
      <c r="C11" s="11">
        <v>8</v>
      </c>
      <c r="D11" s="11">
        <v>8.6</v>
      </c>
      <c r="E11" s="11">
        <v>9.5</v>
      </c>
      <c r="F11" s="11">
        <v>10.1</v>
      </c>
      <c r="G11" s="11">
        <v>10.6</v>
      </c>
      <c r="H11" s="11">
        <v>10.9</v>
      </c>
      <c r="I11" s="11">
        <v>11.15</v>
      </c>
      <c r="J11" s="11">
        <v>11.4</v>
      </c>
      <c r="K11" s="11">
        <v>11.55</v>
      </c>
      <c r="L11" s="11">
        <v>11.7</v>
      </c>
      <c r="M11" s="11">
        <v>11.85</v>
      </c>
      <c r="N11" s="11">
        <v>12</v>
      </c>
      <c r="O11" s="11">
        <v>12.1</v>
      </c>
      <c r="P11" s="11">
        <v>12.25</v>
      </c>
      <c r="Q11" s="12">
        <v>12.3</v>
      </c>
      <c r="S11" s="35">
        <f t="shared" si="0"/>
        <v>186.53333333333333</v>
      </c>
      <c r="U11" s="90">
        <f>U10+1</f>
        <v>5</v>
      </c>
      <c r="V11" s="90">
        <v>4.05</v>
      </c>
    </row>
    <row r="12" spans="1:22" x14ac:dyDescent="0.3">
      <c r="A12" s="16">
        <v>6</v>
      </c>
      <c r="B12" s="10">
        <v>8.0250000000000004</v>
      </c>
      <c r="C12" s="11">
        <v>9.6</v>
      </c>
      <c r="D12" s="11">
        <v>10.25</v>
      </c>
      <c r="E12" s="11">
        <v>11</v>
      </c>
      <c r="F12" s="11">
        <v>11.5</v>
      </c>
      <c r="G12" s="11">
        <v>11.8</v>
      </c>
      <c r="H12" s="11">
        <v>12</v>
      </c>
      <c r="I12" s="11">
        <v>12.15</v>
      </c>
      <c r="J12" s="11">
        <v>12.3</v>
      </c>
      <c r="K12" s="11">
        <v>12.35</v>
      </c>
      <c r="L12" s="11">
        <v>12.45</v>
      </c>
      <c r="M12" s="11">
        <v>12.55</v>
      </c>
      <c r="N12" s="11">
        <v>12.6</v>
      </c>
      <c r="O12" s="11">
        <v>12.7</v>
      </c>
      <c r="P12" s="11">
        <v>12.8</v>
      </c>
      <c r="Q12" s="12">
        <v>12.8</v>
      </c>
      <c r="S12" s="35">
        <f t="shared" si="0"/>
        <v>207.89166666666659</v>
      </c>
      <c r="U12" s="90">
        <f t="shared" ref="U12:U14" si="1">U11+1</f>
        <v>6</v>
      </c>
      <c r="V12" s="90">
        <v>3.95</v>
      </c>
    </row>
    <row r="13" spans="1:22" x14ac:dyDescent="0.3">
      <c r="A13" s="16">
        <v>7</v>
      </c>
      <c r="B13" s="10">
        <v>9.0500000000000007</v>
      </c>
      <c r="C13" s="11">
        <v>10.55</v>
      </c>
      <c r="D13" s="11">
        <v>11.05</v>
      </c>
      <c r="E13" s="11">
        <v>11.75</v>
      </c>
      <c r="F13" s="11">
        <v>12.25</v>
      </c>
      <c r="G13" s="11">
        <v>12.55</v>
      </c>
      <c r="H13" s="11">
        <v>12.65</v>
      </c>
      <c r="I13" s="11">
        <v>12.75</v>
      </c>
      <c r="J13" s="11">
        <v>12.8</v>
      </c>
      <c r="K13" s="11">
        <v>12.8</v>
      </c>
      <c r="L13" s="11">
        <v>12.8</v>
      </c>
      <c r="M13" s="11">
        <v>12.8</v>
      </c>
      <c r="N13" s="11">
        <v>12.8</v>
      </c>
      <c r="O13" s="11">
        <v>12.8</v>
      </c>
      <c r="P13" s="11">
        <v>12.8</v>
      </c>
      <c r="Q13" s="12">
        <v>12.8</v>
      </c>
      <c r="S13" s="35">
        <f t="shared" si="0"/>
        <v>219.86666666666667</v>
      </c>
      <c r="U13" s="90">
        <f t="shared" si="1"/>
        <v>7</v>
      </c>
      <c r="V13" s="90">
        <v>2.9</v>
      </c>
    </row>
    <row r="14" spans="1:22" x14ac:dyDescent="0.3">
      <c r="A14" s="16">
        <v>8</v>
      </c>
      <c r="B14" s="10">
        <v>9.5</v>
      </c>
      <c r="C14" s="11">
        <v>10.95</v>
      </c>
      <c r="D14" s="11">
        <v>11.5</v>
      </c>
      <c r="E14" s="11">
        <v>12.1</v>
      </c>
      <c r="F14" s="11">
        <v>12.45</v>
      </c>
      <c r="G14" s="11">
        <v>12.75</v>
      </c>
      <c r="H14" s="11">
        <v>12.8</v>
      </c>
      <c r="I14" s="11">
        <v>12.8</v>
      </c>
      <c r="J14" s="11">
        <v>12.8</v>
      </c>
      <c r="K14" s="11">
        <v>12.8</v>
      </c>
      <c r="L14" s="11">
        <v>12.8</v>
      </c>
      <c r="M14" s="11">
        <v>12.8</v>
      </c>
      <c r="N14" s="11">
        <v>12.8</v>
      </c>
      <c r="O14" s="11">
        <v>12.8</v>
      </c>
      <c r="P14" s="11">
        <v>12.8</v>
      </c>
      <c r="Q14" s="12">
        <v>12.8</v>
      </c>
      <c r="S14" s="35">
        <f t="shared" si="0"/>
        <v>223.06666666666669</v>
      </c>
      <c r="U14" s="90">
        <f t="shared" si="1"/>
        <v>8</v>
      </c>
      <c r="V14" s="90">
        <v>-0.8</v>
      </c>
    </row>
    <row r="15" spans="1:22" x14ac:dyDescent="0.3">
      <c r="A15" s="16">
        <v>9</v>
      </c>
      <c r="B15" s="10">
        <v>9.5</v>
      </c>
      <c r="C15" s="11">
        <v>10.95</v>
      </c>
      <c r="D15" s="11">
        <v>11.5</v>
      </c>
      <c r="E15" s="11">
        <v>12.1</v>
      </c>
      <c r="F15" s="11">
        <v>12.45</v>
      </c>
      <c r="G15" s="11">
        <v>12.75</v>
      </c>
      <c r="H15" s="11">
        <v>12.8</v>
      </c>
      <c r="I15" s="11">
        <v>12.8</v>
      </c>
      <c r="J15" s="11">
        <v>12.8</v>
      </c>
      <c r="K15" s="11">
        <v>12.8</v>
      </c>
      <c r="L15" s="11">
        <v>12.8</v>
      </c>
      <c r="M15" s="11">
        <v>12.8</v>
      </c>
      <c r="N15" s="11">
        <v>12.8</v>
      </c>
      <c r="O15" s="11">
        <v>12.8</v>
      </c>
      <c r="P15" s="11">
        <v>12.8</v>
      </c>
      <c r="Q15" s="12">
        <v>12.8</v>
      </c>
      <c r="S15" s="35">
        <f t="shared" si="0"/>
        <v>223.06666666666669</v>
      </c>
      <c r="U15" s="90">
        <v>8.35</v>
      </c>
      <c r="V15" s="90">
        <v>-4</v>
      </c>
    </row>
    <row r="16" spans="1:22" x14ac:dyDescent="0.3">
      <c r="A16" s="16">
        <v>10</v>
      </c>
      <c r="B16" s="10">
        <v>9.5</v>
      </c>
      <c r="C16" s="11">
        <v>10.95</v>
      </c>
      <c r="D16" s="11">
        <v>11.5</v>
      </c>
      <c r="E16" s="11">
        <v>12.1</v>
      </c>
      <c r="F16" s="11">
        <v>12.45</v>
      </c>
      <c r="G16" s="11">
        <v>12.75</v>
      </c>
      <c r="H16" s="11">
        <v>12.8</v>
      </c>
      <c r="I16" s="11">
        <v>12.8</v>
      </c>
      <c r="J16" s="11">
        <v>12.8</v>
      </c>
      <c r="K16" s="11">
        <v>12.8</v>
      </c>
      <c r="L16" s="11">
        <v>12.8</v>
      </c>
      <c r="M16" s="11">
        <v>12.8</v>
      </c>
      <c r="N16" s="11">
        <v>12.8</v>
      </c>
      <c r="O16" s="11">
        <v>12.8</v>
      </c>
      <c r="P16" s="11">
        <v>12.8</v>
      </c>
      <c r="Q16" s="12">
        <v>12.8</v>
      </c>
      <c r="S16" s="36">
        <f>2*( (0.5/3)*(B16+4*C16+D16) + (1/3)*(D16+4*E16+2*F16+4*G16+2*H16+4*I16+2*J16+4*K16+L16) )</f>
        <v>223.06666666666669</v>
      </c>
      <c r="U16" s="90">
        <v>8.8000000000000007</v>
      </c>
      <c r="V16" s="90">
        <v>-4.0999999999999996</v>
      </c>
    </row>
    <row r="17" spans="1:22" x14ac:dyDescent="0.3">
      <c r="A17" s="16">
        <v>11</v>
      </c>
      <c r="B17" s="10">
        <v>9.5</v>
      </c>
      <c r="C17" s="11">
        <v>10.95</v>
      </c>
      <c r="D17" s="11">
        <v>11.5</v>
      </c>
      <c r="E17" s="11">
        <v>12.1</v>
      </c>
      <c r="F17" s="11">
        <v>12.45</v>
      </c>
      <c r="G17" s="11">
        <v>12.75</v>
      </c>
      <c r="H17" s="11">
        <v>12.8</v>
      </c>
      <c r="I17" s="11">
        <v>12.8</v>
      </c>
      <c r="J17" s="11">
        <v>12.8</v>
      </c>
      <c r="K17" s="11">
        <v>12.8</v>
      </c>
      <c r="L17" s="11">
        <v>12.8</v>
      </c>
      <c r="M17" s="11">
        <v>12.8</v>
      </c>
      <c r="N17" s="11">
        <v>12.8</v>
      </c>
      <c r="O17" s="11">
        <v>12.8</v>
      </c>
      <c r="P17" s="11">
        <v>12.8</v>
      </c>
      <c r="Q17" s="12">
        <v>12.8</v>
      </c>
      <c r="S17" s="35">
        <f>2*( (0.5/3)*(B17+4*C17+D17) + (1/3)*(D17+4*E17+2*F17+4*G17+2*H17+4*I17+2*J17+4*K17+L17) )</f>
        <v>223.06666666666669</v>
      </c>
      <c r="U17" s="90">
        <v>10</v>
      </c>
      <c r="V17" s="90">
        <v>-4.4000000000000004</v>
      </c>
    </row>
    <row r="18" spans="1:22" x14ac:dyDescent="0.3">
      <c r="A18" s="16">
        <v>12</v>
      </c>
      <c r="B18" s="10">
        <v>9.0500000000000007</v>
      </c>
      <c r="C18" s="11">
        <v>10.25</v>
      </c>
      <c r="D18" s="11">
        <v>10.9</v>
      </c>
      <c r="E18" s="11">
        <v>11.65</v>
      </c>
      <c r="F18" s="11">
        <v>11.95</v>
      </c>
      <c r="G18" s="11">
        <v>12.25</v>
      </c>
      <c r="H18" s="11">
        <v>12.45</v>
      </c>
      <c r="I18" s="11">
        <v>12.6</v>
      </c>
      <c r="J18" s="11">
        <v>12.725</v>
      </c>
      <c r="K18" s="11">
        <v>12.8</v>
      </c>
      <c r="L18" s="11">
        <v>12.8</v>
      </c>
      <c r="M18" s="11">
        <v>12.8</v>
      </c>
      <c r="N18" s="11">
        <v>12.8</v>
      </c>
      <c r="O18" s="11">
        <v>12.8</v>
      </c>
      <c r="P18" s="11">
        <v>12.8</v>
      </c>
      <c r="Q18" s="12">
        <v>12.8</v>
      </c>
      <c r="S18" s="35">
        <f t="shared" ref="S18:S26" si="2">2*( (0.5/3)*(B18+4*C18+D18) + (1/3)*(D18+4*E18+2*F18+4*G18+2*H18+4*I18+2*J18+4*K18+L18) )</f>
        <v>217.08333333333334</v>
      </c>
      <c r="U18" s="90">
        <v>11</v>
      </c>
      <c r="V18" s="90">
        <v>-4.5999999999999996</v>
      </c>
    </row>
    <row r="19" spans="1:22" x14ac:dyDescent="0.3">
      <c r="A19" s="16">
        <v>13</v>
      </c>
      <c r="B19" s="10">
        <v>7.8</v>
      </c>
      <c r="C19" s="11">
        <v>9.35</v>
      </c>
      <c r="D19" s="11">
        <v>9.9499999999999993</v>
      </c>
      <c r="E19" s="11">
        <v>10.7</v>
      </c>
      <c r="F19" s="11">
        <v>11.15</v>
      </c>
      <c r="G19" s="11">
        <v>11.55</v>
      </c>
      <c r="H19" s="11">
        <v>11.8</v>
      </c>
      <c r="I19" s="11">
        <v>12.05</v>
      </c>
      <c r="J19" s="11">
        <v>12.275</v>
      </c>
      <c r="K19" s="11">
        <v>12.35</v>
      </c>
      <c r="L19" s="11">
        <v>12.45</v>
      </c>
      <c r="M19" s="11">
        <v>12.6</v>
      </c>
      <c r="N19" s="11">
        <v>12.725</v>
      </c>
      <c r="O19" s="11">
        <v>12.8</v>
      </c>
      <c r="P19" s="11">
        <v>12.8</v>
      </c>
      <c r="Q19" s="12">
        <v>12.8</v>
      </c>
      <c r="S19" s="35">
        <f t="shared" si="2"/>
        <v>204.68333333333331</v>
      </c>
      <c r="U19" s="90">
        <v>12</v>
      </c>
      <c r="V19" s="90">
        <v>-4.8</v>
      </c>
    </row>
    <row r="20" spans="1:22" x14ac:dyDescent="0.3">
      <c r="A20" s="16">
        <v>14</v>
      </c>
      <c r="B20" s="10">
        <v>6.2</v>
      </c>
      <c r="C20" s="11">
        <v>7.95</v>
      </c>
      <c r="D20" s="11">
        <v>8.65</v>
      </c>
      <c r="E20" s="11">
        <v>9.4499999999999993</v>
      </c>
      <c r="F20" s="11">
        <v>10.050000000000001</v>
      </c>
      <c r="G20" s="11">
        <v>10.55</v>
      </c>
      <c r="H20" s="11">
        <v>10.95</v>
      </c>
      <c r="I20" s="11">
        <v>11.33</v>
      </c>
      <c r="J20" s="11">
        <v>11.725</v>
      </c>
      <c r="K20" s="11">
        <v>11.95</v>
      </c>
      <c r="L20" s="11">
        <v>12.15</v>
      </c>
      <c r="M20" s="11">
        <v>12.4</v>
      </c>
      <c r="N20" s="11">
        <v>12.55</v>
      </c>
      <c r="O20" s="11">
        <v>12.65</v>
      </c>
      <c r="P20" s="11">
        <v>12.8</v>
      </c>
      <c r="Q20" s="12">
        <v>12.8</v>
      </c>
      <c r="S20" s="35">
        <f t="shared" si="2"/>
        <v>188.46333333333331</v>
      </c>
      <c r="U20" s="90">
        <v>13</v>
      </c>
      <c r="V20" s="90">
        <v>-5</v>
      </c>
    </row>
    <row r="21" spans="1:22" x14ac:dyDescent="0.3">
      <c r="A21" s="16">
        <v>15</v>
      </c>
      <c r="B21" s="10">
        <v>4.2249999999999996</v>
      </c>
      <c r="C21" s="11">
        <v>6.1</v>
      </c>
      <c r="D21" s="11">
        <v>6.8</v>
      </c>
      <c r="E21" s="11">
        <v>7.85</v>
      </c>
      <c r="F21" s="11">
        <v>8.65</v>
      </c>
      <c r="G21" s="11">
        <v>9.15</v>
      </c>
      <c r="H21" s="11">
        <v>9.8000000000000007</v>
      </c>
      <c r="I21" s="11">
        <v>10.199999999999999</v>
      </c>
      <c r="J21" s="11">
        <v>10.65</v>
      </c>
      <c r="K21" s="11">
        <v>11</v>
      </c>
      <c r="L21" s="11">
        <v>11.3</v>
      </c>
      <c r="M21" s="11">
        <v>11.65</v>
      </c>
      <c r="N21" s="11">
        <v>12</v>
      </c>
      <c r="O21" s="11">
        <v>12.35</v>
      </c>
      <c r="P21" s="11">
        <v>12.45</v>
      </c>
      <c r="Q21" s="12">
        <v>12.55</v>
      </c>
      <c r="S21" s="35">
        <f t="shared" si="2"/>
        <v>164.54166666666669</v>
      </c>
      <c r="U21" s="91">
        <v>13.5</v>
      </c>
      <c r="V21" s="91">
        <v>-5.0999999999999996</v>
      </c>
    </row>
    <row r="22" spans="1:22" x14ac:dyDescent="0.3">
      <c r="A22" s="16">
        <v>16</v>
      </c>
      <c r="B22" s="10">
        <v>2.4</v>
      </c>
      <c r="C22" s="11">
        <v>3.85</v>
      </c>
      <c r="D22" s="11">
        <v>4.7</v>
      </c>
      <c r="E22" s="11">
        <v>5.8</v>
      </c>
      <c r="F22" s="11">
        <v>6.65</v>
      </c>
      <c r="G22" s="11">
        <v>7.45</v>
      </c>
      <c r="H22" s="11">
        <v>8.1</v>
      </c>
      <c r="I22" s="11">
        <v>8.75</v>
      </c>
      <c r="J22" s="11">
        <v>9.3249999999999993</v>
      </c>
      <c r="K22" s="11">
        <v>9.75</v>
      </c>
      <c r="L22" s="11">
        <v>10.15</v>
      </c>
      <c r="M22" s="11">
        <v>10.75</v>
      </c>
      <c r="N22" s="11">
        <v>11</v>
      </c>
      <c r="O22" s="11">
        <v>11.4</v>
      </c>
      <c r="P22" s="11">
        <v>11.7</v>
      </c>
      <c r="Q22" s="12">
        <v>11.75</v>
      </c>
      <c r="S22" s="35">
        <f t="shared" si="2"/>
        <v>134.16666666666666</v>
      </c>
    </row>
    <row r="23" spans="1:22" x14ac:dyDescent="0.3">
      <c r="A23" s="16">
        <v>17</v>
      </c>
      <c r="B23" s="10">
        <v>1.4</v>
      </c>
      <c r="C23" s="11">
        <v>2.4</v>
      </c>
      <c r="D23" s="11">
        <v>2.9</v>
      </c>
      <c r="E23" s="11">
        <v>3.75</v>
      </c>
      <c r="F23" s="11">
        <v>4.55</v>
      </c>
      <c r="G23" s="11">
        <v>5.25</v>
      </c>
      <c r="H23" s="11">
        <v>5.9</v>
      </c>
      <c r="I23" s="11">
        <v>6.55</v>
      </c>
      <c r="J23" s="11">
        <v>7.15</v>
      </c>
      <c r="K23" s="11">
        <v>7.8</v>
      </c>
      <c r="L23" s="11">
        <v>8.15</v>
      </c>
      <c r="M23" s="11">
        <v>8.8000000000000007</v>
      </c>
      <c r="N23" s="11">
        <v>9.25</v>
      </c>
      <c r="O23" s="11">
        <v>9.75</v>
      </c>
      <c r="P23" s="11">
        <v>10.15</v>
      </c>
      <c r="Q23" s="12">
        <v>10.35</v>
      </c>
      <c r="S23" s="35">
        <f t="shared" si="2"/>
        <v>97.73333333333332</v>
      </c>
      <c r="U23" s="97" t="s">
        <v>6</v>
      </c>
      <c r="V23" s="98"/>
    </row>
    <row r="24" spans="1:22" x14ac:dyDescent="0.3">
      <c r="A24" s="16">
        <v>18</v>
      </c>
      <c r="B24" s="10">
        <v>0.6</v>
      </c>
      <c r="C24" s="11">
        <v>1.5</v>
      </c>
      <c r="D24" s="11">
        <v>1.85</v>
      </c>
      <c r="E24" s="11">
        <v>2.4</v>
      </c>
      <c r="F24" s="11">
        <v>2.9</v>
      </c>
      <c r="G24" s="11">
        <v>3.25</v>
      </c>
      <c r="H24" s="11">
        <v>3.7</v>
      </c>
      <c r="I24" s="11">
        <v>4.1500000000000004</v>
      </c>
      <c r="J24" s="11">
        <v>4.5750000000000002</v>
      </c>
      <c r="K24" s="11">
        <v>4.95</v>
      </c>
      <c r="L24" s="11">
        <v>5.3</v>
      </c>
      <c r="M24" s="11">
        <v>5.9</v>
      </c>
      <c r="N24" s="11">
        <v>6.4</v>
      </c>
      <c r="O24" s="11">
        <v>6.9</v>
      </c>
      <c r="P24" s="11">
        <v>7.45</v>
      </c>
      <c r="Q24" s="12">
        <v>7.75</v>
      </c>
      <c r="S24" s="35">
        <f t="shared" si="2"/>
        <v>61.816666666666663</v>
      </c>
      <c r="U24" s="76" t="s">
        <v>0</v>
      </c>
      <c r="V24" s="4" t="s">
        <v>1</v>
      </c>
    </row>
    <row r="25" spans="1:22" x14ac:dyDescent="0.3">
      <c r="A25" s="16">
        <v>18.5</v>
      </c>
      <c r="B25" s="10">
        <v>0.27500000000000002</v>
      </c>
      <c r="C25" s="11">
        <v>1.05</v>
      </c>
      <c r="D25" s="11">
        <v>1.4</v>
      </c>
      <c r="E25" s="11">
        <v>1.85</v>
      </c>
      <c r="F25" s="11">
        <v>2.25</v>
      </c>
      <c r="G25" s="11">
        <v>2.5499999999999998</v>
      </c>
      <c r="H25" s="11">
        <v>2.8</v>
      </c>
      <c r="I25" s="11">
        <v>2.9750000000000001</v>
      </c>
      <c r="J25" s="11">
        <v>3.2</v>
      </c>
      <c r="K25" s="11">
        <v>3.3</v>
      </c>
      <c r="L25" s="11">
        <v>3.4</v>
      </c>
      <c r="M25" s="11">
        <v>3.8</v>
      </c>
      <c r="N25" s="11">
        <v>4.3</v>
      </c>
      <c r="O25" s="11">
        <v>4.9000000000000004</v>
      </c>
      <c r="P25" s="11">
        <v>5.625</v>
      </c>
      <c r="Q25" s="12">
        <v>5.95</v>
      </c>
      <c r="S25" s="35">
        <f t="shared" si="2"/>
        <v>44.624999999999993</v>
      </c>
      <c r="U25" s="86">
        <v>0</v>
      </c>
      <c r="V25" s="89">
        <v>-3.6</v>
      </c>
    </row>
    <row r="26" spans="1:22" x14ac:dyDescent="0.3">
      <c r="A26" s="16">
        <v>19</v>
      </c>
      <c r="B26" s="10">
        <v>0.125</v>
      </c>
      <c r="C26" s="11">
        <v>0.5</v>
      </c>
      <c r="D26" s="11">
        <v>1.1499999999999999</v>
      </c>
      <c r="E26" s="11">
        <v>1.5549999999999999</v>
      </c>
      <c r="F26" s="11">
        <v>1.875</v>
      </c>
      <c r="G26" s="11">
        <v>2.1</v>
      </c>
      <c r="H26" s="11">
        <v>2.2000000000000002</v>
      </c>
      <c r="I26" s="11">
        <v>2.2000000000000002</v>
      </c>
      <c r="J26" s="11">
        <v>2.0499999999999998</v>
      </c>
      <c r="K26" s="11">
        <v>1.85</v>
      </c>
      <c r="L26" s="11">
        <v>1.8</v>
      </c>
      <c r="M26" s="11">
        <v>1.95</v>
      </c>
      <c r="N26" s="11">
        <v>1.55</v>
      </c>
      <c r="O26" s="11">
        <v>2.85</v>
      </c>
      <c r="P26" s="11">
        <v>3.6</v>
      </c>
      <c r="Q26" s="12">
        <v>4</v>
      </c>
      <c r="S26" s="35">
        <f t="shared" si="2"/>
        <v>31.771666666666661</v>
      </c>
      <c r="U26" s="87">
        <v>0.5</v>
      </c>
      <c r="V26" s="90">
        <v>0</v>
      </c>
    </row>
    <row r="27" spans="1:22" x14ac:dyDescent="0.3">
      <c r="A27" s="16">
        <v>19.5</v>
      </c>
      <c r="B27" s="10">
        <v>0.1</v>
      </c>
      <c r="C27" s="11">
        <v>0.55000000000000004</v>
      </c>
      <c r="D27" s="11">
        <v>0.8</v>
      </c>
      <c r="E27" s="11">
        <v>1.2</v>
      </c>
      <c r="F27" s="11">
        <v>1.5249999999999999</v>
      </c>
      <c r="G27" s="11">
        <v>1.75</v>
      </c>
      <c r="H27" s="11">
        <v>1.9</v>
      </c>
      <c r="I27" s="11">
        <v>1.95</v>
      </c>
      <c r="J27" s="11">
        <v>1.55</v>
      </c>
      <c r="K27" s="11">
        <v>0.9</v>
      </c>
      <c r="L27" s="11">
        <v>0.65</v>
      </c>
      <c r="M27" s="11">
        <v>0.8</v>
      </c>
      <c r="N27" s="11">
        <v>0.8</v>
      </c>
      <c r="O27" s="11">
        <v>1.55</v>
      </c>
      <c r="P27" s="11">
        <v>2.15</v>
      </c>
      <c r="Q27" s="12">
        <v>2.4</v>
      </c>
      <c r="S27" s="35">
        <f>2*( (0.5/3)*(B27+4*C27+D27) + (1/3)*(D27+4*E27+2*F27+4*G27+2*H27+4*I27+2*J27+4*K27+L27) )</f>
        <v>24.1</v>
      </c>
      <c r="U27" s="87">
        <v>1</v>
      </c>
      <c r="V27" s="90">
        <v>1.3</v>
      </c>
    </row>
    <row r="28" spans="1:22" ht="15" thickBot="1" x14ac:dyDescent="0.35">
      <c r="A28" s="17">
        <v>20</v>
      </c>
      <c r="B28" s="13">
        <v>0</v>
      </c>
      <c r="C28" s="14">
        <v>0</v>
      </c>
      <c r="D28" s="14">
        <v>0.55000000000000004</v>
      </c>
      <c r="E28" s="14">
        <v>0.95</v>
      </c>
      <c r="F28" s="14">
        <v>1.25</v>
      </c>
      <c r="G28" s="14">
        <v>1.55</v>
      </c>
      <c r="H28" s="14">
        <v>1.65</v>
      </c>
      <c r="I28" s="14">
        <v>1.65</v>
      </c>
      <c r="J28" s="14">
        <v>1.1000000000000001</v>
      </c>
      <c r="K28" s="14">
        <v>0.35</v>
      </c>
      <c r="L28" s="14">
        <v>0</v>
      </c>
      <c r="M28" s="14">
        <v>0.1</v>
      </c>
      <c r="N28" s="14">
        <v>0.4</v>
      </c>
      <c r="O28" s="14">
        <v>0.8</v>
      </c>
      <c r="P28" s="14">
        <v>1.3</v>
      </c>
      <c r="Q28" s="15">
        <v>1.6</v>
      </c>
      <c r="S28" s="37">
        <f>2*( (0.5/3)*(B28+4*C28+D28) + (1/3)*(D28+4*E28+2*F28+4*G28+2*H28+4*I28+2*J28+4*K28+L28) )</f>
        <v>17.883333333333333</v>
      </c>
      <c r="U28" s="87">
        <f>U27+1</f>
        <v>2</v>
      </c>
      <c r="V28" s="90">
        <v>2.9</v>
      </c>
    </row>
    <row r="29" spans="1:22" ht="15" thickBot="1" x14ac:dyDescent="0.35">
      <c r="U29" s="87">
        <f t="shared" ref="U29:U39" si="3">U28+1</f>
        <v>3</v>
      </c>
      <c r="V29" s="90">
        <v>3.7</v>
      </c>
    </row>
    <row r="30" spans="1:22" ht="15" thickBot="1" x14ac:dyDescent="0.35">
      <c r="A30" s="39" t="s">
        <v>7</v>
      </c>
      <c r="B30" s="32">
        <f xml:space="preserve"> 2*( (4.25/3)*(B3+4*B4+2*B5+4*B6+B7 )+(4.25/12)*(5*B8+8*B7-B6) + (8.5/3)*(B8+4*B9+2*B10+4*B11+2*B12+4*B13+2*B14+4*B15+2*B16+4*B17+2*B18+4*B19+2*B20+4*B21+2*B22+4*B23+B24) + (4.25/3)*(B24+4*B25+2*B26+4*B27+B28) )</f>
        <v>1683.2833333333335</v>
      </c>
      <c r="C30" s="32">
        <f t="shared" ref="C30:Q30" si="4" xml:space="preserve"> 2*( (4.25/3)*(C3+4*C4+2*C5+4*C6+C7 )+(4.25/12)*(5*C8+8*C7-C6) + (8.5/3)*(C8+4*C9+2*C10+4*C11+2*C12+4*C13+2*C14+4*C15+2*C16+4*C17+2*C18+4*C19+2*C20+4*C21+2*C22+4*C23+C24) + (4.25/3)*(C24+4*C25+2*C26+4*C27+C28) )</f>
        <v>2117.3145833333333</v>
      </c>
      <c r="D30" s="32">
        <f t="shared" si="4"/>
        <v>2300.4541666666673</v>
      </c>
      <c r="E30" s="32">
        <f t="shared" si="4"/>
        <v>2546.2741666666666</v>
      </c>
      <c r="F30" s="32">
        <f t="shared" si="4"/>
        <v>2725.4895833333335</v>
      </c>
      <c r="G30" s="32">
        <f t="shared" si="4"/>
        <v>2877.7458333333334</v>
      </c>
      <c r="H30" s="32">
        <f t="shared" si="4"/>
        <v>2988.4937500000001</v>
      </c>
      <c r="I30" s="32">
        <f xml:space="preserve"> 2*( (4.25/3)*(I3+4*I4+2*I5+4*I6+I7 )+(4.25/12)*(5*I8+8*I7-I6) + (8.5/3)*(I8+4*I9+2*I10+4*I11+2*I12+4*I13+2*I14+4*I15+2*I16+4*I17+2*I18+4*I19+2*I20+4*I21+2*I22+4*I23+I24) + (4.25/3)*(I24+4*I25+2*I26+4*I27+I28) )</f>
        <v>3091.1879166666672</v>
      </c>
      <c r="J30" s="32">
        <f t="shared" si="4"/>
        <v>3188.2791666666672</v>
      </c>
      <c r="K30" s="32">
        <f t="shared" si="4"/>
        <v>3284.4000000000005</v>
      </c>
      <c r="L30" s="33">
        <f t="shared" si="4"/>
        <v>3361.7145833333338</v>
      </c>
      <c r="M30" s="32">
        <f t="shared" si="4"/>
        <v>3462.6081666666673</v>
      </c>
      <c r="N30" s="32">
        <f t="shared" si="4"/>
        <v>3530.6499583333339</v>
      </c>
      <c r="O30" s="32">
        <f xml:space="preserve"> 2*( (4.25/3)*(O3+4*O4+2*O5+4*O6+O7 )+(4.25/12)*(5*O8+8*O7-O6) + (8.5/3)*(O8+4*O9+2*O10+4*O11+2*O12+4*O13+2*O14+4*O15+2*O16+4*O17+2*O18+4*O19+2*O20+4*O21+2*O22+4*O23+O24) + (4.25/3)*(O24+4*O25+2*O26+4*O27+O28) )</f>
        <v>3612.718166666667</v>
      </c>
      <c r="P30" s="32">
        <f t="shared" si="4"/>
        <v>3683.7130000000011</v>
      </c>
      <c r="Q30" s="34">
        <f t="shared" si="4"/>
        <v>3714.8598333333339</v>
      </c>
      <c r="U30" s="87">
        <f t="shared" si="3"/>
        <v>4</v>
      </c>
      <c r="V30" s="90">
        <v>4.0999999999999996</v>
      </c>
    </row>
    <row r="31" spans="1:22" ht="15" thickBot="1" x14ac:dyDescent="0.35">
      <c r="U31" s="87">
        <f t="shared" si="3"/>
        <v>5</v>
      </c>
      <c r="V31" s="90">
        <v>3.85</v>
      </c>
    </row>
    <row r="32" spans="1:22" ht="15" thickBot="1" x14ac:dyDescent="0.35">
      <c r="A32" s="84"/>
      <c r="B32" s="18"/>
      <c r="C32" s="18"/>
      <c r="D32" s="18"/>
      <c r="E32" s="18"/>
      <c r="F32" s="18"/>
      <c r="G32" s="19"/>
      <c r="H32" s="99" t="s">
        <v>8</v>
      </c>
      <c r="I32" s="100"/>
      <c r="J32" s="101"/>
      <c r="K32" s="20"/>
      <c r="L32" s="18"/>
      <c r="M32" s="18"/>
      <c r="N32" s="18"/>
      <c r="O32" s="18"/>
      <c r="P32" s="18"/>
      <c r="Q32" s="18"/>
      <c r="U32" s="87">
        <f t="shared" si="3"/>
        <v>6</v>
      </c>
      <c r="V32" s="90">
        <v>2.65</v>
      </c>
    </row>
    <row r="33" spans="1:22" ht="15" thickBot="1" x14ac:dyDescent="0.35">
      <c r="A33" s="85" t="s">
        <v>23</v>
      </c>
      <c r="B33" s="23">
        <v>0</v>
      </c>
      <c r="C33" s="23">
        <v>0.5</v>
      </c>
      <c r="D33" s="23">
        <v>1</v>
      </c>
      <c r="E33" s="23">
        <v>2</v>
      </c>
      <c r="F33" s="23">
        <v>3</v>
      </c>
      <c r="G33" s="23">
        <v>4</v>
      </c>
      <c r="H33" s="23">
        <v>5</v>
      </c>
      <c r="I33" s="23">
        <v>6</v>
      </c>
      <c r="J33" s="23">
        <v>7</v>
      </c>
      <c r="K33" s="23">
        <v>8</v>
      </c>
      <c r="L33" s="29">
        <v>8.8000000000000007</v>
      </c>
      <c r="M33" s="23">
        <v>10</v>
      </c>
      <c r="N33" s="24">
        <v>11</v>
      </c>
      <c r="O33" s="24">
        <v>12</v>
      </c>
      <c r="P33" s="24">
        <v>13</v>
      </c>
      <c r="Q33" s="25">
        <v>13.5</v>
      </c>
      <c r="U33" s="87">
        <f t="shared" si="3"/>
        <v>7</v>
      </c>
      <c r="V33" s="90">
        <v>1.2</v>
      </c>
    </row>
    <row r="34" spans="1:22" x14ac:dyDescent="0.3">
      <c r="A34" s="21" t="s">
        <v>9</v>
      </c>
      <c r="B34" s="27">
        <v>0</v>
      </c>
      <c r="C34" s="27">
        <f>(0.5/2)*(C30+B30)</f>
        <v>950.14947916666665</v>
      </c>
      <c r="D34" s="27">
        <f>(0.5/3)*(B30+4*C30+D30)</f>
        <v>2075.4993055555556</v>
      </c>
      <c r="E34" s="27">
        <f>(1/3)*(B30+4*D30+E30)</f>
        <v>4477.1247222222228</v>
      </c>
      <c r="F34" s="27">
        <f>(3/8)*(B30+3*D30+3*E30+F30)</f>
        <v>7105.8592187500017</v>
      </c>
      <c r="G34" s="27">
        <f>(1/3)*(B30+4*D30+2*E30+4*F30+G30)</f>
        <v>9919.1175000000003</v>
      </c>
      <c r="H34" s="27">
        <f>(3/8)*(B30+3*D30+3*E30+F30)+(1/3)*(F30+4*G30+H30)</f>
        <v>12847.514774305557</v>
      </c>
      <c r="I34" s="27">
        <f>(3/8)*(B30+3*D30+3*E30+2*F30+3*G30+3*H30+I30)</f>
        <v>15886.632812500002</v>
      </c>
      <c r="J34" s="27">
        <f>(3/8)*(B30+3*D30+3*E30+2*F30+3*G30+3*H30+I30)+(1/12)*(5*J30+8*I30-H30)</f>
        <v>19026.83326388889</v>
      </c>
      <c r="K34" s="27">
        <f>(1/3)*(B30+4*D30+2*E30+4*F30+2*G30+4*H30+2*I30+4*J30+K30)</f>
        <v>22269.655277777776</v>
      </c>
      <c r="L34" s="30">
        <f>(3/8)*(B30+3*D30+3*E30+2*F30+3*G30+3*H30+2*I30+3*J30+3*K30+L30)</f>
        <v>25588.235312500001</v>
      </c>
      <c r="M34" s="27">
        <f>(1/3)*(B30+4*D30+2*E30+4*F30+2*G30+4*H30+2*I30+4*J30+2*K30+4*L30+M30)</f>
        <v>29000.944111111112</v>
      </c>
      <c r="N34" s="27">
        <f>(3/8)*(B30+3*D30+3*E30+2*F30+3*G30+3*H30+2*I30+3*J30+3*K30+L30)+(1/3)*(L30+4*M30+N30)</f>
        <v>32502.501048611113</v>
      </c>
      <c r="O34" s="27">
        <f>(1/3)*(B30+4*D30+2*E30+4*F30+2*G30+4*H30+2*I30+4*J30+2*K30+4*L30+2*M30+4*N30+O30)</f>
        <v>36066.919500000004</v>
      </c>
      <c r="P34" s="27">
        <f>(1/3)*(B30+4*D30+2*E30+4*F30+2*G30+4*H30+2*I30+4*J30+2*K30+4*L30+2*M30+4*N30+O30)+(1/12)*(5*P30+8*O30-N30)</f>
        <v>39716.057864583338</v>
      </c>
      <c r="Q34" s="28">
        <f>(1/3)*(B30+4*D30+2*E30+4*F30+2*G30+4*H30+2*I30+4*J30+2*K30+4*L30+2*M30+4*N30+O30)+(1/12)*(5*P30+8*O30-N30)+(0.25)*(Q30+P30)</f>
        <v>41565.701072916672</v>
      </c>
      <c r="U34" s="87">
        <f t="shared" si="3"/>
        <v>8</v>
      </c>
      <c r="V34" s="90">
        <v>0.3</v>
      </c>
    </row>
    <row r="35" spans="1:22" x14ac:dyDescent="0.3">
      <c r="A35" s="21" t="s">
        <v>11</v>
      </c>
      <c r="B35" s="27">
        <f t="shared" ref="B35:Q35" si="5">(B$34*1.025)</f>
        <v>0</v>
      </c>
      <c r="C35" s="27">
        <f t="shared" si="5"/>
        <v>973.9032161458332</v>
      </c>
      <c r="D35" s="27">
        <f t="shared" si="5"/>
        <v>2127.3867881944443</v>
      </c>
      <c r="E35" s="27">
        <f t="shared" si="5"/>
        <v>4589.0528402777782</v>
      </c>
      <c r="F35" s="27">
        <f t="shared" si="5"/>
        <v>7283.505699218751</v>
      </c>
      <c r="G35" s="27">
        <f t="shared" si="5"/>
        <v>10167.0954375</v>
      </c>
      <c r="H35" s="27">
        <f t="shared" si="5"/>
        <v>13168.702643663195</v>
      </c>
      <c r="I35" s="27">
        <f t="shared" si="5"/>
        <v>16283.798632812501</v>
      </c>
      <c r="J35" s="27">
        <f t="shared" si="5"/>
        <v>19502.504095486111</v>
      </c>
      <c r="K35" s="27">
        <f t="shared" si="5"/>
        <v>22826.396659722217</v>
      </c>
      <c r="L35" s="30">
        <f t="shared" si="5"/>
        <v>26227.941195312498</v>
      </c>
      <c r="M35" s="27">
        <f t="shared" si="5"/>
        <v>29725.967713888887</v>
      </c>
      <c r="N35" s="27">
        <f t="shared" si="5"/>
        <v>33315.063574826389</v>
      </c>
      <c r="O35" s="27">
        <f t="shared" si="5"/>
        <v>36968.592487499998</v>
      </c>
      <c r="P35" s="27">
        <f t="shared" si="5"/>
        <v>40708.959311197919</v>
      </c>
      <c r="Q35" s="28">
        <f t="shared" si="5"/>
        <v>42604.843599739586</v>
      </c>
      <c r="U35" s="87">
        <v>8.8000000000000007</v>
      </c>
      <c r="V35" s="90">
        <v>0</v>
      </c>
    </row>
    <row r="36" spans="1:22" x14ac:dyDescent="0.3">
      <c r="A36" s="21" t="s">
        <v>10</v>
      </c>
      <c r="B36" s="40">
        <v>0</v>
      </c>
      <c r="C36" s="40">
        <f>((0.5/2)*(C30*C33+B30*B33))/C34</f>
        <v>0.27855019522695718</v>
      </c>
      <c r="D36" s="40">
        <f>((0.5/3)*(B30*B33+4*C30*C33+D30*D33))/D34</f>
        <v>0.52478001444766142</v>
      </c>
      <c r="E36" s="40">
        <f>((1/3)*(B30*B33+4*D30*D33+E30*E33))/E34</f>
        <v>1.0642518645244106</v>
      </c>
      <c r="F36" s="40">
        <f>((3/8)*(B30*B33+3*D30*D33+3*E30*E33+F30*F33))/F34</f>
        <v>1.601960191346494</v>
      </c>
      <c r="G36" s="40">
        <f>((1/3)*(B30*B33+4*D30*D33+2*E30*E33+4*F30*F33+G30*G33))/G34</f>
        <v>2.1374136582435104</v>
      </c>
      <c r="H36" s="40">
        <f>((3/8)*(B30*B33+3*D30*D33+3*E30*E33+F30*F33)+(1/3)*(F30*F33+4*G30*G33+H30*H33))/H34</f>
        <v>2.6804868082659379</v>
      </c>
      <c r="I36" s="40">
        <f>((3/8)*(B30*B33+3*D30*D33+3*E30*E33+2*F30*F33+3*G30*G33+3*H30*H33+I30*I33))/I34</f>
        <v>3.2206186411630453</v>
      </c>
      <c r="J36" s="40">
        <f>((3/8)*(B30*B33+3*D30*D33+3*E30*E33+2*F30*F33+3*G30*G33+3*H30*H33+I30*I33)+(1/12)*(5*J30*J33+8*I30*I33-H30*H33))/J34</f>
        <v>3.7622382188029704</v>
      </c>
      <c r="K36" s="40">
        <f>((1/3)*(B30*B33+4*D30*D33+2*E30*E33+4*F30*F33+2*G30*G33+4*H30*H33+2*I30*I33+4*J30*J33+K30*K33))/K34</f>
        <v>4.3037023261810452</v>
      </c>
      <c r="L36" s="41">
        <f>((3/8)*(B33*B30+3*D33*D30+3*E33*E30+2*F33*F30+3*G33*G30+3*H33*H30+2*I33*I30+3*J33*J30+3*K33*K30+L33*L30))/L34</f>
        <v>4.8413231175708882</v>
      </c>
      <c r="M36" s="40">
        <f>((1/3)*(B30*B33+4*D30*D33+2*E30*E33+4*F30*F33+2*G30*G33+4*H30*H33+2*I30*I33+4*J30*J33+2*K30*K33+4*L30*L33+M30*M33))/M34</f>
        <v>5.3648774890267266</v>
      </c>
      <c r="N36" s="40">
        <f>((3/8)*(B30*B33+3*D30*D33+3*E30*E33+2*F30*F33+3*G30*G33+3*H30*H33+2*I30*I33+3*J30*J33+3*K30*K33+L30*L33)+(1/3)*(L30*L33+4*M30*M33+N30*N33))/N34</f>
        <v>5.9335670727318774</v>
      </c>
      <c r="O36" s="40">
        <f>((1/3)*(B30*B33+4*D30*D33+2*E30*E33+4*F30*F33+2*G30*G33+4*H30*H33+2*I30*I33+4*J30*J33+2*K30*K33+4*L30*L33+2*M30*M33+4*N30*N33+O30*O33))/O34</f>
        <v>6.4702581035973052</v>
      </c>
      <c r="P36" s="40">
        <f>((1/3)*(B30*B33+4*D30*D33+2*E30*E33+4*F30*F33+2*G30*G33+4*H30*H33+2*I30*I33+4*J30*J33+2*K30*K33+4*L30*L33+2*M30*M33+4*N30*N33+O30*O33)+(1/12)*(5*P30*P33+8*O30*O33-N30*M33))/P34</f>
        <v>7.0317971025794677</v>
      </c>
      <c r="Q36" s="42">
        <f>((1/3)*(B30*B33+4*D30*D33+2*E30*E33+4*F30*F33+2*G30*G33+4*H30*H33+2*I30*I33+4*J30*J33+2*K30*K33+4*L30*L33+2*M30*M33+4*N30*N33+O30*O33)+(1/12)*(5*P30*P33+8*O30*O33-N30*N33)+(0.25)*(Q30*Q33+P30*P33))/Q34</f>
        <v>7.3014709518142258</v>
      </c>
      <c r="U36" s="87">
        <v>10</v>
      </c>
      <c r="V36" s="90">
        <v>0.55000000000000004</v>
      </c>
    </row>
    <row r="37" spans="1:22" x14ac:dyDescent="0.3">
      <c r="A37" s="21" t="s">
        <v>12</v>
      </c>
      <c r="B37" s="43">
        <f t="shared" ref="B37:Q37" si="6">(B$30*1.025)/100</f>
        <v>17.253654166666667</v>
      </c>
      <c r="C37" s="44">
        <f t="shared" si="6"/>
        <v>21.702474479166664</v>
      </c>
      <c r="D37" s="44">
        <f t="shared" si="6"/>
        <v>23.579655208333339</v>
      </c>
      <c r="E37" s="44">
        <f t="shared" si="6"/>
        <v>26.099310208333332</v>
      </c>
      <c r="F37" s="44">
        <f t="shared" si="6"/>
        <v>27.936268229166668</v>
      </c>
      <c r="G37" s="44">
        <f t="shared" si="6"/>
        <v>29.496894791666662</v>
      </c>
      <c r="H37" s="44">
        <f t="shared" si="6"/>
        <v>30.6320609375</v>
      </c>
      <c r="I37" s="44">
        <f t="shared" si="6"/>
        <v>31.684676145833336</v>
      </c>
      <c r="J37" s="44">
        <f t="shared" si="6"/>
        <v>32.679861458333335</v>
      </c>
      <c r="K37" s="44">
        <f t="shared" si="6"/>
        <v>33.665100000000002</v>
      </c>
      <c r="L37" s="45">
        <f t="shared" si="6"/>
        <v>34.457574479166666</v>
      </c>
      <c r="M37" s="43">
        <f t="shared" si="6"/>
        <v>35.491733708333335</v>
      </c>
      <c r="N37" s="43">
        <f t="shared" si="6"/>
        <v>36.189162072916673</v>
      </c>
      <c r="O37" s="43">
        <f t="shared" si="6"/>
        <v>37.030361208333332</v>
      </c>
      <c r="P37" s="43">
        <f t="shared" si="6"/>
        <v>37.758058250000005</v>
      </c>
      <c r="Q37" s="46">
        <f t="shared" si="6"/>
        <v>38.07731329166667</v>
      </c>
      <c r="U37" s="87">
        <f t="shared" si="3"/>
        <v>11</v>
      </c>
      <c r="V37" s="90">
        <v>1.3</v>
      </c>
    </row>
    <row r="38" spans="1:22" x14ac:dyDescent="0.3">
      <c r="A38" s="21" t="s">
        <v>13</v>
      </c>
      <c r="B38" s="78">
        <v>0</v>
      </c>
      <c r="C38" s="79">
        <v>157.36632092177766</v>
      </c>
      <c r="D38" s="79">
        <v>176.88233501926243</v>
      </c>
      <c r="E38" s="79">
        <v>205.95867567551272</v>
      </c>
      <c r="F38" s="79">
        <v>229.33737366204733</v>
      </c>
      <c r="G38" s="79">
        <v>249.6604884793837</v>
      </c>
      <c r="H38" s="79">
        <v>257.98447143698462</v>
      </c>
      <c r="I38" s="79">
        <v>276.30943835210428</v>
      </c>
      <c r="J38" s="79">
        <v>297.29805258467024</v>
      </c>
      <c r="K38" s="79">
        <v>316.87488603156044</v>
      </c>
      <c r="L38" s="80">
        <v>332.06096639862147</v>
      </c>
      <c r="M38" s="78">
        <v>351.37410117176336</v>
      </c>
      <c r="N38" s="78">
        <v>365.34910034110288</v>
      </c>
      <c r="O38" s="78">
        <v>390.926029079616</v>
      </c>
      <c r="P38" s="78">
        <v>408.37804091928245</v>
      </c>
      <c r="Q38" s="82">
        <v>423.58559806876531</v>
      </c>
      <c r="U38" s="87">
        <f t="shared" si="3"/>
        <v>12</v>
      </c>
      <c r="V38" s="90">
        <v>2.2999999999999998</v>
      </c>
    </row>
    <row r="39" spans="1:22" x14ac:dyDescent="0.3">
      <c r="A39" s="21" t="s">
        <v>14</v>
      </c>
      <c r="B39" s="78">
        <v>0</v>
      </c>
      <c r="C39" s="79">
        <f t="shared" ref="C39:K39" si="7">C36+(C41/C34)</f>
        <v>64.304501837338833</v>
      </c>
      <c r="D39" s="79">
        <f t="shared" si="7"/>
        <v>35.490866120234124</v>
      </c>
      <c r="E39" s="79">
        <f t="shared" si="7"/>
        <v>21.060839145730863</v>
      </c>
      <c r="F39" s="79">
        <f t="shared" si="7"/>
        <v>15.994007839153838</v>
      </c>
      <c r="G39" s="79">
        <f t="shared" si="7"/>
        <v>13.598412249544042</v>
      </c>
      <c r="H39" s="79">
        <f t="shared" si="7"/>
        <v>12.104904374535657</v>
      </c>
      <c r="I39" s="79">
        <f t="shared" si="7"/>
        <v>11.263552008189098</v>
      </c>
      <c r="J39" s="79">
        <f t="shared" si="7"/>
        <v>10.835137763763596</v>
      </c>
      <c r="K39" s="79">
        <f t="shared" si="7"/>
        <v>10.593149204811695</v>
      </c>
      <c r="L39" s="80">
        <f>L36+(L41/L34)</f>
        <v>10.508640164573135</v>
      </c>
      <c r="M39" s="79">
        <f t="shared" ref="M39:Q39" si="8">M36+(M41/M34)</f>
        <v>10.591926074675964</v>
      </c>
      <c r="N39" s="79">
        <f t="shared" si="8"/>
        <v>10.765401443358018</v>
      </c>
      <c r="O39" s="79">
        <f t="shared" si="8"/>
        <v>10.980136324544667</v>
      </c>
      <c r="P39" s="79">
        <f t="shared" si="8"/>
        <v>11.251348021884958</v>
      </c>
      <c r="Q39" s="81">
        <f t="shared" si="8"/>
        <v>11.385744726453098</v>
      </c>
      <c r="U39" s="87">
        <f t="shared" si="3"/>
        <v>13</v>
      </c>
      <c r="V39" s="90">
        <v>3.4</v>
      </c>
    </row>
    <row r="40" spans="1:22" x14ac:dyDescent="0.3">
      <c r="A40" s="21" t="s">
        <v>15</v>
      </c>
      <c r="B40" s="68">
        <v>0</v>
      </c>
      <c r="C40" s="68">
        <v>2663.1683792832932</v>
      </c>
      <c r="D40" s="68">
        <v>1385.7264357612951</v>
      </c>
      <c r="E40" s="68">
        <v>759.09475472289762</v>
      </c>
      <c r="F40" s="68">
        <v>538.45912519052069</v>
      </c>
      <c r="G40" s="68">
        <v>421.79490328655089</v>
      </c>
      <c r="H40" s="68">
        <v>335.33104803176968</v>
      </c>
      <c r="I40" s="68">
        <v>289.47693573950977</v>
      </c>
      <c r="J40" s="68">
        <v>260.32038072718348</v>
      </c>
      <c r="K40" s="68">
        <v>241.82385852178351</v>
      </c>
      <c r="L40" s="69">
        <v>225.26203330405025</v>
      </c>
      <c r="M40" s="68">
        <v>212.1635243545347</v>
      </c>
      <c r="N40" s="68">
        <v>198.83401466053118</v>
      </c>
      <c r="O40" s="68">
        <v>193.74544250075658</v>
      </c>
      <c r="P40" s="68">
        <v>185.99643715408695</v>
      </c>
      <c r="Q40" s="70">
        <v>185.42580926170501</v>
      </c>
      <c r="U40" s="88">
        <v>13.5</v>
      </c>
      <c r="V40" s="91">
        <v>4.05</v>
      </c>
    </row>
    <row r="41" spans="1:22" x14ac:dyDescent="0.3">
      <c r="A41" s="21" t="s">
        <v>16</v>
      </c>
      <c r="B41" s="47">
        <f t="shared" ref="B41:K41" si="9" xml:space="preserve"> (2/3)*( (4.25/3)*(B3^3+4*B4^3+2*B5^3+4*B6^3+B7^3 )+(4.25/12)*(5*B8^3+8*B7^3-B6^3) + (8.5/3)*(B8^3+4*B9^3+2*B10^3+4*B11^3+2*B12^3+4*B13^3+2*B14^3+4*B15^3+2*B16^3+4*B17^3+2*B18^3+4*B19^3+2*B20^3+4*B21^3+2*B22^3+4*B23^3+B24^3) + (4.25/3)*(B24^3+4*B25^3+2*B26^3+4*B27^3+B28^3) )</f>
        <v>37110.162189236115</v>
      </c>
      <c r="C41" s="47">
        <f t="shared" si="9"/>
        <v>60834.224605902782</v>
      </c>
      <c r="D41" s="47">
        <f t="shared" si="9"/>
        <v>72572.087430555563</v>
      </c>
      <c r="E41" s="47">
        <f t="shared" si="9"/>
        <v>89527.215276763862</v>
      </c>
      <c r="F41" s="47">
        <f t="shared" si="9"/>
        <v>102267.86445486109</v>
      </c>
      <c r="G41" s="47">
        <f t="shared" si="9"/>
        <v>113682.99169444446</v>
      </c>
      <c r="H41" s="47">
        <f t="shared" si="9"/>
        <v>121080.34392187503</v>
      </c>
      <c r="I41" s="47">
        <f t="shared" si="9"/>
        <v>127775.12913734723</v>
      </c>
      <c r="J41" s="47">
        <f t="shared" si="9"/>
        <v>134574.88033420141</v>
      </c>
      <c r="K41" s="47">
        <f t="shared" si="9"/>
        <v>140063.81387499999</v>
      </c>
      <c r="L41" s="48">
        <f xml:space="preserve"> (2/3)*( (4.25/3)*(L3^3+4*L4^3+2*L5^3+4*L6^3+L7^3 )+(4.25/12)*(5*L8^3+8*L7^3-L6^3) + (8.5/3)*(L8^3+4*L9^3+2*L10^3+4*L11^3+2*L12^3+4*L13^3+2*L14^3+4*L15^3+2*L16^3+4*L17^3+2*L18^3+4*L19^3+2*L20^3+4*L21^3+2*L22^3+4*L23^3+L24^3) + (4.25/3)*(L24^3+4*L25^3+2*L26^3+4*L27^3+L28^3) )</f>
        <v>145016.64218923612</v>
      </c>
      <c r="M41" s="47">
        <f t="shared" ref="M41:Q41" si="10" xml:space="preserve"> (2/3)*( (4.25/3)*(M3^3+4*M4^3+2*M5^3+4*M6^3+M7^3 )+(4.25/12)*(5*M8^3+8*M7^3-M6^3) + (8.5/3)*(M8^3+4*M9^3+2*M10^3+4*M11^3+2*M12^3+4*M13^3+2*M14^3+4*M15^3+2*M16^3+4*M17^3+2*M18^3+4*M19^3+2*M20^3+4*M21^3+2*M22^3+4*M23^3+M24^3) + (4.25/3)*(M24^3+4*M25^3+2*M26^3+4*M27^3+M28^3) )</f>
        <v>151589.34389847593</v>
      </c>
      <c r="N41" s="47">
        <f t="shared" si="10"/>
        <v>157046.70169799135</v>
      </c>
      <c r="O41" s="47">
        <f t="shared" si="10"/>
        <v>162657.41474971175</v>
      </c>
      <c r="P41" s="47">
        <f t="shared" si="10"/>
        <v>167583.92847369268</v>
      </c>
      <c r="Q41" s="49">
        <f t="shared" si="10"/>
        <v>169765.70281659233</v>
      </c>
    </row>
    <row r="42" spans="1:22" x14ac:dyDescent="0.3">
      <c r="A42" s="21" t="s">
        <v>17</v>
      </c>
      <c r="B42" s="26">
        <v>0</v>
      </c>
      <c r="C42" s="27">
        <v>2530143.3841862399</v>
      </c>
      <c r="D42" s="27">
        <v>2874985.0745569873</v>
      </c>
      <c r="E42" s="27">
        <v>3393797.104545766</v>
      </c>
      <c r="F42" s="27">
        <v>3814831.4350613728</v>
      </c>
      <c r="G42" s="27">
        <v>4162631.949378212</v>
      </c>
      <c r="H42" s="27">
        <v>4273733</v>
      </c>
      <c r="I42" s="27">
        <v>4547649</v>
      </c>
      <c r="J42" s="27">
        <v>4881489</v>
      </c>
      <c r="K42" s="27">
        <v>5289492</v>
      </c>
      <c r="L42" s="30">
        <v>5640177</v>
      </c>
      <c r="M42" s="27">
        <v>5997356</v>
      </c>
      <c r="N42" s="27">
        <v>6269747</v>
      </c>
      <c r="O42" s="27">
        <v>6754439</v>
      </c>
      <c r="P42" s="27">
        <v>7107770</v>
      </c>
      <c r="Q42" s="63">
        <v>7403863</v>
      </c>
    </row>
    <row r="43" spans="1:22" x14ac:dyDescent="0.3">
      <c r="A43" s="21" t="s">
        <v>19</v>
      </c>
      <c r="B43" s="40">
        <v>0</v>
      </c>
      <c r="C43" s="40">
        <f>(C30)/(164.8*2*MAX(C3:C28))</f>
        <v>0.58665674273322399</v>
      </c>
      <c r="D43" s="40">
        <f>(D30)/(166.6*2*MAX(D3:D28))</f>
        <v>0.60035862170955356</v>
      </c>
      <c r="E43" s="40">
        <f>(E30)/(168.9*2*MAX(E3:E28))</f>
        <v>0.6229599808842502</v>
      </c>
      <c r="F43" s="40">
        <f>(F30)/(170.5*2*MAX(F3:F28))</f>
        <v>0.64197896179046599</v>
      </c>
      <c r="G43" s="40">
        <f>(G30)/(170.9*2*MAX(G3:G28))</f>
        <v>0.66034393082374365</v>
      </c>
      <c r="H43" s="40">
        <f>(H30)/(169.8*2*MAX(H3:H28))</f>
        <v>0.68750316318830973</v>
      </c>
      <c r="I43" s="40">
        <f>(I30)/(168.7*2*MAX(I3:I28))</f>
        <v>0.71576483695786419</v>
      </c>
      <c r="J43" s="40">
        <f>(J30)/(168.3*2*MAX(J3:J28))</f>
        <v>0.74000092066498324</v>
      </c>
      <c r="K43" s="40">
        <f>(K30)/(171.1*2*MAX(K3:K28))</f>
        <v>0.74983562244301594</v>
      </c>
      <c r="L43" s="41">
        <f>(L30)/(174.1*2*MAX(L3:L28))</f>
        <v>0.75426178007730238</v>
      </c>
      <c r="M43" s="61">
        <f>(M30)/(174.95*2*MAX(M3:M28))</f>
        <v>0.77312450134562272</v>
      </c>
      <c r="N43" s="61">
        <f>(N30)/(175.9*2*MAX(N3:N28))</f>
        <v>0.78405920407843011</v>
      </c>
      <c r="O43" s="61">
        <f>(O30)/(177.1*2*MAX(O3:O28))</f>
        <v>0.79684812752917378</v>
      </c>
      <c r="P43" s="61">
        <f>(P30)/(178.4*2*MAX(P3:P28))</f>
        <v>0.80658654183015721</v>
      </c>
      <c r="Q43" s="62">
        <f>(Q30)/(179.15*2*MAX(Q3:Q28))</f>
        <v>0.81000118470322824</v>
      </c>
    </row>
    <row r="44" spans="1:22" x14ac:dyDescent="0.3">
      <c r="A44" s="21" t="s">
        <v>18</v>
      </c>
      <c r="B44" s="40">
        <v>0</v>
      </c>
      <c r="C44" s="40">
        <f>(C34)/(164.8*2*MAX(C3:C28)*C33)</f>
        <v>0.5265269534771172</v>
      </c>
      <c r="D44" s="40">
        <f>(D34)/(166.6*2*MAX(D3:D28)*D33)</f>
        <v>0.541651261954057</v>
      </c>
      <c r="E44" s="40">
        <f>(E34)/(168.9*2*MAX(E3:E28)*E33)</f>
        <v>0.54767659505872013</v>
      </c>
      <c r="F44" s="40">
        <f>(F34)/(170.5*2*MAX(F3:F28)*F33)</f>
        <v>0.55791959382005063</v>
      </c>
      <c r="G44" s="40">
        <f>(G34)/(170.9*2*MAX(G3:G28)*G33)</f>
        <v>0.56902428320655363</v>
      </c>
      <c r="H44" s="40">
        <f>(H34)/(169.8*2*MAX(H3:H28)*H33)</f>
        <v>0.59111430609106097</v>
      </c>
      <c r="I44" s="40">
        <f>(I34)/(168.7*2*MAX(I3:I28)*I33)</f>
        <v>0.61309187338300863</v>
      </c>
      <c r="J44" s="40">
        <f>(J34)/(168.3*2*MAX(J3:J28)*J33)</f>
        <v>0.6308765591805956</v>
      </c>
      <c r="K44" s="40">
        <f>(K34)/(171.1*2*MAX(K3:K28)*K33)</f>
        <v>0.63552630719476511</v>
      </c>
      <c r="L44" s="41">
        <f>(L34)/(174.1*2*MAX(L3:L28)*L33)</f>
        <v>0.65240747343123795</v>
      </c>
      <c r="M44" s="40">
        <f>(M34)/(174.95*2*MAX(M3:M28)*M33)</f>
        <v>0.64752751034025591</v>
      </c>
      <c r="N44" s="40">
        <f>(N34)/(175.9*2*MAX(N3:N28)*N33)</f>
        <v>0.65617290155117658</v>
      </c>
      <c r="O44" s="40">
        <f>(O34)/(177.1*2*MAX(O3:O28)*O33)</f>
        <v>0.66293245010763702</v>
      </c>
      <c r="P44" s="40">
        <f>(P34)/(178.4*2*MAX(P3:P28)*P33)</f>
        <v>0.66894123419079277</v>
      </c>
      <c r="Q44" s="42">
        <f>(Q34)/(179.15*2*MAX(Q3:Q28)*Q33)</f>
        <v>0.67134315260781141</v>
      </c>
    </row>
    <row r="45" spans="1:22" x14ac:dyDescent="0.3">
      <c r="A45" s="21" t="s">
        <v>20</v>
      </c>
      <c r="B45" s="40">
        <v>0</v>
      </c>
      <c r="C45" s="40">
        <f>(C34/(C68*164.8))</f>
        <v>0.5638601604473773</v>
      </c>
      <c r="D45" s="40">
        <f>(D34/(D68*166.6))</f>
        <v>0.57675828819182007</v>
      </c>
      <c r="E45" s="40">
        <f>(E34/(E68*168.9))</f>
        <v>0.5864501593106648</v>
      </c>
      <c r="F45" s="40">
        <f>(F34/(F68*170.5))</f>
        <v>0.59680086384283226</v>
      </c>
      <c r="G45" s="40">
        <f>(G34/(G68*170.9))</f>
        <v>0.61079165363923671</v>
      </c>
      <c r="H45" s="40">
        <f>(H34/(H68*169.8))</f>
        <v>0.62703837994189893</v>
      </c>
      <c r="I45" s="40">
        <f>(I34/(I68*168.7))</f>
        <v>0.64379361990517947</v>
      </c>
      <c r="J45" s="40">
        <f>(J34/(J68*168.3))</f>
        <v>0.65809840299883704</v>
      </c>
      <c r="K45" s="40">
        <f>(K34/(K68*171.1))</f>
        <v>0.65912789186438825</v>
      </c>
      <c r="L45" s="41">
        <f>(L34/(L68*174.1))</f>
        <v>0.6588710073725258</v>
      </c>
      <c r="M45" s="40">
        <f>(M34/(M68*174.95))</f>
        <v>0.66683579281784289</v>
      </c>
      <c r="N45" s="40">
        <f>(N34/(N68*175.9))</f>
        <v>0.67371763153917585</v>
      </c>
      <c r="O45" s="40">
        <f>(O34/(O68*177.1))</f>
        <v>0.67932401675542209</v>
      </c>
      <c r="P45" s="40">
        <f>(P34/(P68*178.4))</f>
        <v>0.6841800706502118</v>
      </c>
      <c r="Q45" s="42">
        <f>(Q34/(Q68*179.15))</f>
        <v>0.6860578629939299</v>
      </c>
    </row>
    <row r="46" spans="1:22" x14ac:dyDescent="0.3">
      <c r="A46" s="21" t="s">
        <v>21</v>
      </c>
      <c r="B46" s="43">
        <v>0</v>
      </c>
      <c r="C46" s="43">
        <f>(( (3/8)*(4.25^2)*(C57*$A$57+3*C58*$A$58+3*C59*$A$59+C60*$A$60) + (1/3)*(8.5^2)*(C60*$A$60+4*C61*$A$61+2*C62*$A$62+4*C63*$A$63+2*C64*$A$64+4*C65*$A$65+2*C66*$A$66+4*C67*$A$67+2*C68*$A$68+4*C69*$A$69+2*$A$70*C70+4*C71*$A$71+2*C72*$A$72+4*C73*$A$73+2*C74*$A$74+4*C75*$A$75+C76*$A$76) + (4.25^2)*(1/3)*(C76*$A$76+4*C77*$A$77+2*C78*$A$78+4*C79*$A$79+$A$80*C80) ) )/C34</f>
        <v>82.015314716105507</v>
      </c>
      <c r="D46" s="43">
        <f>(( (3/8)*(4.25^2)*(D57*$A$57+3*D58*$A$58+3*D59*$A$59+D60*$A$60) + (1/3)*(8.5^2)*(D60*$A$60+4*D61*$A$61+2*D62*$A$62+4*D63*$A$63+2*D64*$A$64+4*D65*$A$65+2*D66*$A$66+4*D67*$A$67+2*D68*$A$68+4*D69*$A$69+2*$A$70*D70+4*D71*$A$71+2*D72*$A$72+4*D73*$A$73+2*D74*$A$74+4*D75*$A$75+D76*$A$76) + (4.25^2)*(1/3)*(D76*$A$76+4*D77*$A$77+2*D78*$A$78+4*D79*$A$79+$A$80*D80) ) )/D34</f>
        <v>81.931413069445441</v>
      </c>
      <c r="E46" s="43">
        <f t="shared" ref="E46:J46" si="11">(( (1/3)*(4.25^2)*(E56*$A$56+4*E57*$A$57+2*E58*$A$58+4*E59*$A$59+E60*$A$60) + (1/3)*(8.5^2)*(E60*$A$60+4*E61*$A$61+2*E62*$A$62+4*E63*$A$63+2*E64*$A$64+4*E65*$A$65+2*E66*$A$66+4*E67*$A$67+2*E68*$A$68+4*E69*$A$69+2*$A$70*E70+4*E71*$A$71+2*E72*$A$72+4*E73*$A$73+2*E74*$A$74+4*E75*$A$75+E76*$A$76) + (4.25^2)*(1/3)*(E76*$A$76+4*E77*$A$77+2*E78*$A$78+4*E79*$A$79+$A$80*E80) ) )/E34</f>
        <v>82.27031332237101</v>
      </c>
      <c r="F46" s="43">
        <f t="shared" si="11"/>
        <v>82.27489122819955</v>
      </c>
      <c r="G46" s="43">
        <f t="shared" si="11"/>
        <v>81.981193427671897</v>
      </c>
      <c r="H46" s="43">
        <f t="shared" si="11"/>
        <v>81.902112783104698</v>
      </c>
      <c r="I46" s="43">
        <f t="shared" si="11"/>
        <v>81.784452525792929</v>
      </c>
      <c r="J46" s="43">
        <f t="shared" si="11"/>
        <v>81.624785775406309</v>
      </c>
      <c r="K46" s="43">
        <f t="shared" ref="K46:Q46" si="12">(( (1/3)*(4.25^2)*(K55*$A$55+4*K56*$A$56+K57*$A$57) +(3/8)*(4.25^2)*(K57*$A$57+3*K58*$A$58+3*K59*$A$59+K60*$A$60) + (1/3)*(8.5^2)*(K60*$A$60+4*K61*$A$61+2*K62*$A$62+4*K63*$A$63+2*K64*$A$64+4*K65*$A$65+2*K66*$A$66+4*K67*$A$67+2*K68*$A$68+4*K69*$A$69+2*$A$70*K70+4*K71*$A$71+2*K72*$A$72+4*K73*$A$73+2*K74*$A$74+4*K75*$A$75+K76*$A$76) + (4.25^2)*(1/3)*(K76*$A$76+4*K77*$A$77+2*K78*$A$78+4*K79*$A$79+$A$80*K80) ) )/K34</f>
        <v>81.413421703563003</v>
      </c>
      <c r="L46" s="45">
        <f t="shared" si="12"/>
        <v>81.166153599970428</v>
      </c>
      <c r="M46" s="43">
        <f t="shared" si="12"/>
        <v>80.876037821747005</v>
      </c>
      <c r="N46" s="43">
        <f t="shared" si="12"/>
        <v>80.646541245384384</v>
      </c>
      <c r="O46" s="43">
        <f t="shared" si="12"/>
        <v>80.419962891005355</v>
      </c>
      <c r="P46" s="43">
        <f t="shared" si="12"/>
        <v>80.244489098586953</v>
      </c>
      <c r="Q46" s="60">
        <f t="shared" si="12"/>
        <v>80.160927045807369</v>
      </c>
    </row>
    <row r="47" spans="1:22" x14ac:dyDescent="0.3">
      <c r="A47" s="21" t="s">
        <v>22</v>
      </c>
      <c r="B47" s="43">
        <f t="shared" ref="B47:Q47" si="13">(8.5)* (2*( (4.25/3)*($A$3*B3+4*$A$4*B4+2*$A$5*B5+4*$A$6*B6+$A$7*B7 )+(4.25/12)*(5*$A$8*B8+8*$A$7*B7-$A$6*B6) + (8.5/3)*($A$8*B8+4*$A$9*B9+2*$A$10*B10+4*$A$11*B11+2*$A$12*B12+4*$A$13*B13+2*$A$14*B14+4*$A$15*B15+2*$A$16*B16+4*$A$17*B17+2*$A$18*B18+4*$A$19*B19+2*$A$20*B20+4*$A$21*B21+2*$A$22*B22+4*$A$23*B23+$A$24*B24) + (4.25/3)*($A$24*B24+4*$A$25*B25+2*$A$26*B26+4*$A$27*B27+$A$28*B28) ))/B30</f>
        <v>82.498358862144414</v>
      </c>
      <c r="C47" s="43">
        <f t="shared" si="13"/>
        <v>82.903116270511674</v>
      </c>
      <c r="D47" s="43">
        <f t="shared" si="13"/>
        <v>83.294346768482299</v>
      </c>
      <c r="E47" s="43">
        <f t="shared" si="13"/>
        <v>83.516613162565321</v>
      </c>
      <c r="F47" s="43">
        <f t="shared" si="13"/>
        <v>83.691780910921949</v>
      </c>
      <c r="G47" s="43">
        <f t="shared" si="13"/>
        <v>83.599268959066634</v>
      </c>
      <c r="H47" s="43">
        <f t="shared" si="13"/>
        <v>83.681498204572122</v>
      </c>
      <c r="I47" s="43">
        <f t="shared" si="13"/>
        <v>83.464829526836425</v>
      </c>
      <c r="J47" s="43">
        <f t="shared" si="13"/>
        <v>82.917914509786499</v>
      </c>
      <c r="K47" s="43">
        <f t="shared" si="13"/>
        <v>81.759796626984112</v>
      </c>
      <c r="L47" s="45">
        <f t="shared" si="13"/>
        <v>81.014665135536589</v>
      </c>
      <c r="M47" s="43">
        <f t="shared" si="13"/>
        <v>80.788462577029463</v>
      </c>
      <c r="N47" s="43">
        <f t="shared" si="13"/>
        <v>80.720666204295057</v>
      </c>
      <c r="O47" s="43">
        <f t="shared" si="13"/>
        <v>81.261502442597589</v>
      </c>
      <c r="P47" s="43">
        <f t="shared" si="13"/>
        <v>81.564673718247491</v>
      </c>
      <c r="Q47" s="46">
        <f t="shared" si="13"/>
        <v>81.735768350434384</v>
      </c>
    </row>
    <row r="48" spans="1:22" x14ac:dyDescent="0.3">
      <c r="A48" s="21" t="s">
        <v>25</v>
      </c>
      <c r="B48" s="40">
        <v>0</v>
      </c>
      <c r="C48" s="40">
        <f>(C68)/(C33*2*MAX(C3:C28))</f>
        <v>0.93378995433789957</v>
      </c>
      <c r="D48" s="40">
        <f t="shared" ref="D48:Q48" si="14">(D68)/(D33*2*MAX(D3:D28))</f>
        <v>0.9391304347826086</v>
      </c>
      <c r="E48" s="40">
        <f t="shared" si="14"/>
        <v>0.93388429752066127</v>
      </c>
      <c r="F48" s="40">
        <f t="shared" si="14"/>
        <v>0.93485051316376622</v>
      </c>
      <c r="G48" s="40">
        <f t="shared" si="14"/>
        <v>0.93161764705882344</v>
      </c>
      <c r="H48" s="40">
        <f t="shared" si="14"/>
        <v>0.94270833333333337</v>
      </c>
      <c r="I48" s="40">
        <f t="shared" si="14"/>
        <v>0.95231119791666652</v>
      </c>
      <c r="J48" s="40">
        <f t="shared" si="14"/>
        <v>0.95863560267857151</v>
      </c>
      <c r="K48" s="40">
        <f t="shared" si="14"/>
        <v>0.96419270833333326</v>
      </c>
      <c r="L48" s="41">
        <f t="shared" si="14"/>
        <v>0.99018998579545436</v>
      </c>
      <c r="M48" s="40">
        <f t="shared" si="14"/>
        <v>0.97104492187500002</v>
      </c>
      <c r="N48" s="40">
        <f t="shared" si="14"/>
        <v>0.97395833333333337</v>
      </c>
      <c r="O48" s="40">
        <f t="shared" si="14"/>
        <v>0.97587076822916663</v>
      </c>
      <c r="P48" s="40">
        <f t="shared" si="14"/>
        <v>0.97772686298076938</v>
      </c>
      <c r="Q48" s="42">
        <f t="shared" si="14"/>
        <v>0.97855179398148162</v>
      </c>
    </row>
    <row r="49" spans="1:17" ht="15" thickBot="1" x14ac:dyDescent="0.35">
      <c r="A49" s="22" t="s">
        <v>26</v>
      </c>
      <c r="B49" s="103">
        <v>0</v>
      </c>
      <c r="C49" s="103">
        <f>(1.7*170*C33)+(C34/C33)</f>
        <v>2044.7989583333333</v>
      </c>
      <c r="D49" s="103">
        <f t="shared" ref="D49:Q49" si="15">(1.7*170*D33)+(D34/D33)</f>
        <v>2364.4993055555556</v>
      </c>
      <c r="E49" s="103">
        <f t="shared" si="15"/>
        <v>2816.5623611111114</v>
      </c>
      <c r="F49" s="103">
        <f t="shared" si="15"/>
        <v>3235.6197395833337</v>
      </c>
      <c r="G49" s="103">
        <f t="shared" si="15"/>
        <v>3635.7793750000001</v>
      </c>
      <c r="H49" s="103">
        <f t="shared" si="15"/>
        <v>4014.5029548611114</v>
      </c>
      <c r="I49" s="103">
        <f t="shared" si="15"/>
        <v>4381.772135416667</v>
      </c>
      <c r="J49" s="103">
        <f t="shared" si="15"/>
        <v>4741.1190376984123</v>
      </c>
      <c r="K49" s="103">
        <f t="shared" si="15"/>
        <v>5095.706909722222</v>
      </c>
      <c r="L49" s="104">
        <f t="shared" si="15"/>
        <v>5450.954012784091</v>
      </c>
      <c r="M49" s="103">
        <f t="shared" si="15"/>
        <v>5790.0944111111112</v>
      </c>
      <c r="N49" s="103">
        <f t="shared" si="15"/>
        <v>6133.7728226010104</v>
      </c>
      <c r="O49" s="103">
        <f t="shared" si="15"/>
        <v>6473.5766249999997</v>
      </c>
      <c r="P49" s="103">
        <f t="shared" si="15"/>
        <v>6812.0813741987185</v>
      </c>
      <c r="Q49" s="105">
        <f t="shared" si="15"/>
        <v>6980.4408202160503</v>
      </c>
    </row>
    <row r="50" spans="1:17" x14ac:dyDescent="0.3">
      <c r="A50" s="77"/>
      <c r="B50" s="71"/>
      <c r="C50" s="64"/>
    </row>
    <row r="51" spans="1:17" x14ac:dyDescent="0.3">
      <c r="H51" s="95" t="s">
        <v>24</v>
      </c>
      <c r="I51" s="95"/>
    </row>
    <row r="52" spans="1:17" ht="15" thickBot="1" x14ac:dyDescent="0.35">
      <c r="H52" s="59"/>
      <c r="I52" s="59"/>
    </row>
    <row r="53" spans="1:17" ht="15" thickBot="1" x14ac:dyDescent="0.35">
      <c r="H53" s="93" t="s">
        <v>3</v>
      </c>
      <c r="I53" s="94"/>
    </row>
    <row r="54" spans="1:17" ht="15" thickBot="1" x14ac:dyDescent="0.35">
      <c r="A54" s="83" t="s">
        <v>2</v>
      </c>
      <c r="B54" s="5">
        <v>0</v>
      </c>
      <c r="C54" s="5">
        <v>0.5</v>
      </c>
      <c r="D54" s="5">
        <v>1</v>
      </c>
      <c r="E54" s="5">
        <v>2</v>
      </c>
      <c r="F54" s="5">
        <v>3</v>
      </c>
      <c r="G54" s="5">
        <v>4</v>
      </c>
      <c r="H54" s="5">
        <v>5</v>
      </c>
      <c r="I54" s="31">
        <v>6</v>
      </c>
      <c r="J54" s="5">
        <v>7</v>
      </c>
      <c r="K54" s="5">
        <v>8</v>
      </c>
      <c r="L54" s="5">
        <v>8.8000000000000007</v>
      </c>
      <c r="M54" s="5">
        <v>10</v>
      </c>
      <c r="N54" s="5">
        <v>11</v>
      </c>
      <c r="O54" s="5">
        <v>12</v>
      </c>
      <c r="P54" s="5">
        <v>13</v>
      </c>
      <c r="Q54" s="6">
        <v>13.5</v>
      </c>
    </row>
    <row r="55" spans="1:17" x14ac:dyDescent="0.3">
      <c r="A55" s="16">
        <v>-0.5</v>
      </c>
      <c r="B55" s="50">
        <v>0</v>
      </c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f>1.2*(2.972)</f>
        <v>3.5663999999999998</v>
      </c>
      <c r="N55" s="51">
        <f>(1/3)*(L3+4*M3+N3)*2</f>
        <v>10.177999999999999</v>
      </c>
      <c r="O55" s="51">
        <f>2*(3/8)*(L3+3*M3+3*N3+O3)</f>
        <v>17.160000000000004</v>
      </c>
      <c r="P55" s="51">
        <f>2*(1/3)*(L3+4*M3+2*N3+4*O3+P3)</f>
        <v>25.525333333333329</v>
      </c>
      <c r="Q55" s="52">
        <f>2*((1/3)*(L3+4*M3+2*N3+4*O3+P3)+(1/12)*(5*Q3+8*P3-O3))</f>
        <v>34.396999999999991</v>
      </c>
    </row>
    <row r="56" spans="1:17" x14ac:dyDescent="0.3">
      <c r="A56" s="16">
        <v>0</v>
      </c>
      <c r="B56" s="53">
        <v>0</v>
      </c>
      <c r="C56" s="54">
        <f>(0.5)*(B4+C4)</f>
        <v>0</v>
      </c>
      <c r="D56" s="54">
        <f>(1/3)*(B4+4*C4+D4)</f>
        <v>0</v>
      </c>
      <c r="E56" s="54">
        <f>D56+(D4+E4)</f>
        <v>0</v>
      </c>
      <c r="F56" s="54">
        <f>D56+2*(1/3)*(D4+4*E4+F4)</f>
        <v>0</v>
      </c>
      <c r="G56" s="54">
        <f>D56+2*(3/8)*(D4+3*E4+3*F4+G4)</f>
        <v>0</v>
      </c>
      <c r="H56" s="54">
        <f>D56+2*(1/3)*(D4+4*E4+2*F4+4*G4+H4)</f>
        <v>0</v>
      </c>
      <c r="I56" s="54">
        <f>D56+2*( (1/3)*(D4+4*E4+2*F4+4*G4+H4)+(1/12)*(5*I4+8*H4-G4) )</f>
        <v>0</v>
      </c>
      <c r="J56" s="54">
        <f>D56+2*(3/8)*(D4+3*E4+3*F4+2*G4+3*H4+3*I4+J4)</f>
        <v>0</v>
      </c>
      <c r="K56" s="54">
        <f>D56+2*( (1/3)*(D4+4*E4+2*F4+4*G4+H4) + (3/8)*(H4+3*I4+3*J4+K4) )</f>
        <v>1.125</v>
      </c>
      <c r="L56" s="54">
        <v>3.72</v>
      </c>
      <c r="M56" s="54">
        <f>D56+2*(3/8)*(D4+3*E4+3*F4+2*G4+3*H4+3*I4+2*J4+3*K4+3*L4+M4)</f>
        <v>13.424999999999999</v>
      </c>
      <c r="N56" s="54">
        <f>D56+2*(1/3)*(D4+4*E4+2*F4+4*G4+2*H4+4*I4+2*J4+4*K4+2*L4+4*M4+N4)</f>
        <v>21.733333333333334</v>
      </c>
      <c r="O56" s="54">
        <f>M56+2*(1/3)*(M4+4*N4+O4)</f>
        <v>31.324999999999996</v>
      </c>
      <c r="P56" s="54">
        <f>M56+2*(3/8)*(M4+3*N4+3*O4+P4)</f>
        <v>41.474999999999994</v>
      </c>
      <c r="Q56" s="55">
        <f>P56+0.5*(P4+Q4)</f>
        <v>46.824999999999996</v>
      </c>
    </row>
    <row r="57" spans="1:17" x14ac:dyDescent="0.3">
      <c r="A57" s="16">
        <v>0.5</v>
      </c>
      <c r="B57" s="53">
        <v>0</v>
      </c>
      <c r="C57" s="54">
        <f t="shared" ref="C57:C79" si="16">(0.5)*(B5+C5)</f>
        <v>0</v>
      </c>
      <c r="D57" s="54">
        <f t="shared" ref="D57:D80" si="17">(1/3)*(B5+4*C5+D5)</f>
        <v>0</v>
      </c>
      <c r="E57" s="54">
        <f t="shared" ref="E57:E80" si="18">D57+(D5+E5)</f>
        <v>0.3</v>
      </c>
      <c r="F57" s="54">
        <f t="shared" ref="F57:F80" si="19">D57+2*(1/3)*(D5+4*E5+F5)</f>
        <v>1.1999999999999997</v>
      </c>
      <c r="G57" s="54">
        <f t="shared" ref="G57:G80" si="20">D57+2*(3/8)*(D5+3*E5+3*F5+G5)</f>
        <v>2.5499999999999998</v>
      </c>
      <c r="H57" s="54">
        <f t="shared" ref="H57:H80" si="21">D57+2*(1/3)*(D5+4*E5+2*F5+4*G5+H5)</f>
        <v>3.9333333333333327</v>
      </c>
      <c r="I57" s="54">
        <f t="shared" ref="I57:I80" si="22">D57+2*( (1/3)*(D5+4*E5+2*F5+4*G5+H5)+(1/12)*(5*I5+8*H5-G5) )</f>
        <v>5.3749999999999991</v>
      </c>
      <c r="J57" s="54">
        <f t="shared" ref="J57:J80" si="23">D57+2*(3/8)*(D5+3*E5+3*F5+2*G5+3*H5+3*I5+J5)</f>
        <v>7.7999999999999989</v>
      </c>
      <c r="K57" s="54">
        <f t="shared" ref="K57:K80" si="24">D57+2*( (1/3)*(D5+4*E5+2*F5+4*G5+H5) + (3/8)*(H5+3*I5+3*J5+K5) )</f>
        <v>13.308333333333334</v>
      </c>
      <c r="L57" s="54">
        <v>21.8</v>
      </c>
      <c r="M57" s="54">
        <f t="shared" ref="M57:M80" si="25">D57+2*(3/8)*(D5+3*E5+3*F5+2*G5+3*H5+3*I5+2*J5+3*K5+3*L5+M5)</f>
        <v>31.331250000000004</v>
      </c>
      <c r="N57" s="54">
        <f t="shared" ref="N57:N80" si="26">D57+2*(1/3)*(D5+4*E5+2*F5+4*G5+2*H5+4*I5+2*J5+4*K5+2*L5+4*M5+N5)</f>
        <v>42.238</v>
      </c>
      <c r="O57" s="54">
        <f t="shared" ref="O57:O80" si="27">M57+2*(1/3)*(M5+4*N5+O5)</f>
        <v>54.066583333333341</v>
      </c>
      <c r="P57" s="54">
        <f t="shared" ref="P57:P80" si="28">M57+2*(3/8)*(M5+3*N5+3*O5+P5)</f>
        <v>66.203249999999997</v>
      </c>
      <c r="Q57" s="55">
        <f t="shared" ref="Q57:Q80" si="29">P57+0.5*(P5+Q5)</f>
        <v>72.503249999999994</v>
      </c>
    </row>
    <row r="58" spans="1:17" x14ac:dyDescent="0.3">
      <c r="A58" s="16">
        <v>1</v>
      </c>
      <c r="B58" s="53">
        <v>0</v>
      </c>
      <c r="C58" s="54">
        <f t="shared" si="16"/>
        <v>0.44999999999999996</v>
      </c>
      <c r="D58" s="54">
        <f t="shared" si="17"/>
        <v>1.2999999999999998</v>
      </c>
      <c r="E58" s="54">
        <f t="shared" si="18"/>
        <v>3.1999999999999997</v>
      </c>
      <c r="F58" s="54">
        <f t="shared" si="19"/>
        <v>5.4333333333333327</v>
      </c>
      <c r="G58" s="54">
        <f t="shared" si="20"/>
        <v>8.5749999999999993</v>
      </c>
      <c r="H58" s="54">
        <f t="shared" si="21"/>
        <v>12.866666666666667</v>
      </c>
      <c r="I58" s="54">
        <f t="shared" si="22"/>
        <v>17.883333333333333</v>
      </c>
      <c r="J58" s="54">
        <f t="shared" si="23"/>
        <v>24.175000000000001</v>
      </c>
      <c r="K58" s="54">
        <f t="shared" si="24"/>
        <v>32.929166666666667</v>
      </c>
      <c r="L58" s="54">
        <v>43.43</v>
      </c>
      <c r="M58" s="54">
        <f t="shared" si="25"/>
        <v>54.887500000000003</v>
      </c>
      <c r="N58" s="54">
        <f t="shared" si="26"/>
        <v>67.84999999999998</v>
      </c>
      <c r="O58" s="54">
        <f t="shared" si="27"/>
        <v>80.987499999999997</v>
      </c>
      <c r="P58" s="54">
        <f t="shared" si="28"/>
        <v>95.106250000000017</v>
      </c>
      <c r="Q58" s="55">
        <f t="shared" si="29"/>
        <v>102.35625000000002</v>
      </c>
    </row>
    <row r="59" spans="1:17" x14ac:dyDescent="0.3">
      <c r="A59" s="16">
        <v>1.5</v>
      </c>
      <c r="B59" s="53">
        <v>0</v>
      </c>
      <c r="C59" s="54">
        <f t="shared" si="16"/>
        <v>0.57499999999999996</v>
      </c>
      <c r="D59" s="54">
        <f t="shared" si="17"/>
        <v>1.7666666666666666</v>
      </c>
      <c r="E59" s="54">
        <f t="shared" si="18"/>
        <v>4.916666666666667</v>
      </c>
      <c r="F59" s="54">
        <f t="shared" si="19"/>
        <v>9.0666666666666664</v>
      </c>
      <c r="G59" s="54">
        <f t="shared" si="20"/>
        <v>13.991666666666667</v>
      </c>
      <c r="H59" s="54">
        <f t="shared" si="21"/>
        <v>19.93333333333333</v>
      </c>
      <c r="I59" s="54">
        <f t="shared" si="22"/>
        <v>27.274999999999995</v>
      </c>
      <c r="J59" s="54">
        <f t="shared" si="23"/>
        <v>36.529166666666669</v>
      </c>
      <c r="K59" s="54">
        <f t="shared" si="24"/>
        <v>47.795833333333334</v>
      </c>
      <c r="L59" s="54">
        <v>60.33</v>
      </c>
      <c r="M59" s="54">
        <f t="shared" si="25"/>
        <v>73.691666666666663</v>
      </c>
      <c r="N59" s="54">
        <f t="shared" si="26"/>
        <v>88.4</v>
      </c>
      <c r="O59" s="54">
        <f t="shared" si="27"/>
        <v>103.45833333333333</v>
      </c>
      <c r="P59" s="54">
        <f t="shared" si="28"/>
        <v>119.36666666666666</v>
      </c>
      <c r="Q59" s="55">
        <f t="shared" si="29"/>
        <v>127.54166666666666</v>
      </c>
    </row>
    <row r="60" spans="1:17" x14ac:dyDescent="0.3">
      <c r="A60" s="16">
        <v>2</v>
      </c>
      <c r="B60" s="53">
        <v>0</v>
      </c>
      <c r="C60" s="54">
        <f t="shared" si="16"/>
        <v>0.92500000000000004</v>
      </c>
      <c r="D60" s="54">
        <f t="shared" si="17"/>
        <v>2.6666666666666665</v>
      </c>
      <c r="E60" s="54">
        <f t="shared" si="18"/>
        <v>6.9666666666666668</v>
      </c>
      <c r="F60" s="54">
        <f t="shared" si="19"/>
        <v>12.566666666666666</v>
      </c>
      <c r="G60" s="54">
        <f t="shared" si="20"/>
        <v>19.354166666666668</v>
      </c>
      <c r="H60" s="54">
        <f t="shared" si="21"/>
        <v>27.733333333333331</v>
      </c>
      <c r="I60" s="54">
        <f t="shared" si="22"/>
        <v>37.724999999999994</v>
      </c>
      <c r="J60" s="54">
        <f t="shared" si="23"/>
        <v>49.579166666666659</v>
      </c>
      <c r="K60" s="54">
        <f t="shared" si="24"/>
        <v>63.17083333333332</v>
      </c>
      <c r="L60" s="54">
        <v>77.67</v>
      </c>
      <c r="M60" s="54">
        <f t="shared" si="25"/>
        <v>93.004166666666649</v>
      </c>
      <c r="N60" s="54">
        <f t="shared" si="26"/>
        <v>109.80000000000001</v>
      </c>
      <c r="O60" s="54">
        <f t="shared" si="27"/>
        <v>126.57083333333333</v>
      </c>
      <c r="P60" s="54">
        <f t="shared" si="28"/>
        <v>144.26666666666665</v>
      </c>
      <c r="Q60" s="55">
        <f t="shared" si="29"/>
        <v>153.31666666666666</v>
      </c>
    </row>
    <row r="61" spans="1:17" x14ac:dyDescent="0.3">
      <c r="A61" s="16">
        <v>3</v>
      </c>
      <c r="B61" s="53">
        <v>0</v>
      </c>
      <c r="C61" s="54">
        <f t="shared" si="16"/>
        <v>2.1375000000000002</v>
      </c>
      <c r="D61" s="54">
        <f t="shared" si="17"/>
        <v>5.458333333333333</v>
      </c>
      <c r="E61" s="54">
        <f t="shared" si="18"/>
        <v>13.708333333333332</v>
      </c>
      <c r="F61" s="54">
        <f t="shared" si="19"/>
        <v>24.091666666666665</v>
      </c>
      <c r="G61" s="54">
        <f t="shared" si="20"/>
        <v>36.13333333333334</v>
      </c>
      <c r="H61" s="54">
        <f t="shared" si="21"/>
        <v>49.824999999999996</v>
      </c>
      <c r="I61" s="54">
        <f t="shared" si="22"/>
        <v>64.933333333333323</v>
      </c>
      <c r="J61" s="54">
        <f t="shared" si="23"/>
        <v>81.245833333333337</v>
      </c>
      <c r="K61" s="54">
        <f t="shared" si="24"/>
        <v>98.537499999999994</v>
      </c>
      <c r="L61" s="54">
        <v>116.658</v>
      </c>
      <c r="M61" s="54">
        <f t="shared" si="25"/>
        <v>135.43333333333337</v>
      </c>
      <c r="N61" s="54">
        <f t="shared" si="26"/>
        <v>154.84166666666667</v>
      </c>
      <c r="O61" s="54">
        <f t="shared" si="27"/>
        <v>174.70000000000002</v>
      </c>
      <c r="P61" s="54">
        <f t="shared" si="28"/>
        <v>195.07708333333335</v>
      </c>
      <c r="Q61" s="55">
        <f t="shared" si="29"/>
        <v>205.47708333333335</v>
      </c>
    </row>
    <row r="62" spans="1:17" x14ac:dyDescent="0.3">
      <c r="A62" s="16">
        <v>4</v>
      </c>
      <c r="B62" s="53">
        <v>0</v>
      </c>
      <c r="C62" s="54">
        <f t="shared" si="16"/>
        <v>4.5750000000000002</v>
      </c>
      <c r="D62" s="54">
        <f t="shared" si="17"/>
        <v>10.566666666666666</v>
      </c>
      <c r="E62" s="54">
        <f t="shared" si="18"/>
        <v>24.066666666666666</v>
      </c>
      <c r="F62" s="54">
        <f t="shared" si="19"/>
        <v>39.599999999999994</v>
      </c>
      <c r="G62" s="54">
        <f t="shared" si="20"/>
        <v>56.61666666666666</v>
      </c>
      <c r="H62" s="54">
        <f t="shared" si="21"/>
        <v>74.866666666666646</v>
      </c>
      <c r="I62" s="54">
        <f t="shared" si="22"/>
        <v>93.98333333333332</v>
      </c>
      <c r="J62" s="54">
        <f t="shared" si="23"/>
        <v>113.80416666666667</v>
      </c>
      <c r="K62" s="54">
        <f t="shared" si="24"/>
        <v>134.34166666666667</v>
      </c>
      <c r="L62" s="54">
        <v>155.4</v>
      </c>
      <c r="M62" s="54">
        <f t="shared" si="25"/>
        <v>176.87916666666663</v>
      </c>
      <c r="N62" s="54">
        <f t="shared" si="26"/>
        <v>198.8</v>
      </c>
      <c r="O62" s="54">
        <f t="shared" si="27"/>
        <v>221.07916666666665</v>
      </c>
      <c r="P62" s="54">
        <f t="shared" si="28"/>
        <v>243.77916666666664</v>
      </c>
      <c r="Q62" s="55">
        <f t="shared" si="29"/>
        <v>255.30416666666665</v>
      </c>
    </row>
    <row r="63" spans="1:17" x14ac:dyDescent="0.3">
      <c r="A63" s="16">
        <v>5</v>
      </c>
      <c r="B63" s="53">
        <v>0</v>
      </c>
      <c r="C63" s="54">
        <f t="shared" si="16"/>
        <v>7.2</v>
      </c>
      <c r="D63" s="54">
        <f t="shared" si="17"/>
        <v>15.666666666666666</v>
      </c>
      <c r="E63" s="54">
        <f t="shared" si="18"/>
        <v>33.766666666666666</v>
      </c>
      <c r="F63" s="54">
        <f t="shared" si="19"/>
        <v>53.466666666666661</v>
      </c>
      <c r="G63" s="54">
        <f t="shared" si="20"/>
        <v>74.166666666666671</v>
      </c>
      <c r="H63" s="54">
        <f t="shared" si="21"/>
        <v>95.733333333333334</v>
      </c>
      <c r="I63" s="54">
        <f t="shared" si="22"/>
        <v>117.79166666666667</v>
      </c>
      <c r="J63" s="54">
        <f t="shared" si="23"/>
        <v>140.27916666666667</v>
      </c>
      <c r="K63" s="54">
        <f t="shared" si="24"/>
        <v>163.30833333333331</v>
      </c>
      <c r="L63" s="54">
        <v>186.53</v>
      </c>
      <c r="M63" s="54">
        <f t="shared" si="25"/>
        <v>210.02916666666667</v>
      </c>
      <c r="N63" s="54">
        <f t="shared" si="26"/>
        <v>233.93333333333331</v>
      </c>
      <c r="O63" s="54">
        <f t="shared" si="27"/>
        <v>257.99583333333334</v>
      </c>
      <c r="P63" s="54">
        <f t="shared" si="28"/>
        <v>282.32916666666665</v>
      </c>
      <c r="Q63" s="55">
        <f t="shared" si="29"/>
        <v>294.60416666666663</v>
      </c>
    </row>
    <row r="64" spans="1:17" x14ac:dyDescent="0.3">
      <c r="A64" s="16">
        <v>6</v>
      </c>
      <c r="B64" s="53">
        <v>0</v>
      </c>
      <c r="C64" s="54">
        <f t="shared" si="16"/>
        <v>8.8125</v>
      </c>
      <c r="D64" s="54">
        <f t="shared" si="17"/>
        <v>18.891666666666666</v>
      </c>
      <c r="E64" s="54">
        <f t="shared" si="18"/>
        <v>40.141666666666666</v>
      </c>
      <c r="F64" s="54">
        <f t="shared" si="19"/>
        <v>62.724999999999994</v>
      </c>
      <c r="G64" s="54">
        <f t="shared" si="20"/>
        <v>86.05416666666666</v>
      </c>
      <c r="H64" s="54">
        <f t="shared" si="21"/>
        <v>109.85833333333332</v>
      </c>
      <c r="I64" s="54">
        <f t="shared" si="22"/>
        <v>134.01666666666665</v>
      </c>
      <c r="J64" s="54">
        <f t="shared" si="23"/>
        <v>158.4666666666667</v>
      </c>
      <c r="K64" s="54">
        <f t="shared" si="24"/>
        <v>183.13333333333333</v>
      </c>
      <c r="L64" s="54">
        <v>207.89</v>
      </c>
      <c r="M64" s="54">
        <f t="shared" si="25"/>
        <v>232.90416666666664</v>
      </c>
      <c r="N64" s="54">
        <f t="shared" si="26"/>
        <v>258.05833333333328</v>
      </c>
      <c r="O64" s="54">
        <f t="shared" si="27"/>
        <v>283.33749999999998</v>
      </c>
      <c r="P64" s="54">
        <f t="shared" si="28"/>
        <v>308.84166666666664</v>
      </c>
      <c r="Q64" s="55">
        <f t="shared" si="29"/>
        <v>321.64166666666665</v>
      </c>
    </row>
    <row r="65" spans="1:17" x14ac:dyDescent="0.3">
      <c r="A65" s="16">
        <v>7</v>
      </c>
      <c r="B65" s="53">
        <v>0</v>
      </c>
      <c r="C65" s="54">
        <f t="shared" si="16"/>
        <v>9.8000000000000007</v>
      </c>
      <c r="D65" s="54">
        <f t="shared" si="17"/>
        <v>20.766666666666666</v>
      </c>
      <c r="E65" s="54">
        <f t="shared" si="18"/>
        <v>43.566666666666663</v>
      </c>
      <c r="F65" s="54">
        <f t="shared" si="19"/>
        <v>67.633333333333326</v>
      </c>
      <c r="G65" s="54">
        <f t="shared" si="20"/>
        <v>92.466666666666654</v>
      </c>
      <c r="H65" s="54">
        <f t="shared" si="21"/>
        <v>117.7</v>
      </c>
      <c r="I65" s="54">
        <f t="shared" si="22"/>
        <v>143.1</v>
      </c>
      <c r="J65" s="54">
        <f t="shared" si="23"/>
        <v>168.62916666666666</v>
      </c>
      <c r="K65" s="54">
        <f t="shared" si="24"/>
        <v>194.27499999999998</v>
      </c>
      <c r="L65" s="54">
        <v>219.86699999999999</v>
      </c>
      <c r="M65" s="54">
        <f t="shared" si="25"/>
        <v>245.42916666666667</v>
      </c>
      <c r="N65" s="54">
        <f t="shared" si="26"/>
        <v>271.06666666666666</v>
      </c>
      <c r="O65" s="54">
        <f t="shared" si="27"/>
        <v>296.62916666666666</v>
      </c>
      <c r="P65" s="54">
        <f t="shared" si="28"/>
        <v>322.22916666666669</v>
      </c>
      <c r="Q65" s="55">
        <f t="shared" si="29"/>
        <v>335.0291666666667</v>
      </c>
    </row>
    <row r="66" spans="1:17" x14ac:dyDescent="0.3">
      <c r="A66" s="16">
        <v>8</v>
      </c>
      <c r="B66" s="53">
        <v>0</v>
      </c>
      <c r="C66" s="54">
        <f t="shared" si="16"/>
        <v>10.225</v>
      </c>
      <c r="D66" s="54">
        <f t="shared" si="17"/>
        <v>21.599999999999998</v>
      </c>
      <c r="E66" s="54">
        <f t="shared" si="18"/>
        <v>45.2</v>
      </c>
      <c r="F66" s="54">
        <f t="shared" si="19"/>
        <v>69.833333333333329</v>
      </c>
      <c r="G66" s="54">
        <f t="shared" si="20"/>
        <v>95.024999999999991</v>
      </c>
      <c r="H66" s="54">
        <f t="shared" si="21"/>
        <v>120.66666666666667</v>
      </c>
      <c r="I66" s="54">
        <f t="shared" si="22"/>
        <v>146.27500000000001</v>
      </c>
      <c r="J66" s="54">
        <f t="shared" si="23"/>
        <v>171.78750000000002</v>
      </c>
      <c r="K66" s="54">
        <f t="shared" si="24"/>
        <v>197.46666666666667</v>
      </c>
      <c r="L66" s="54">
        <v>223.06700000000001</v>
      </c>
      <c r="M66" s="54">
        <f t="shared" si="25"/>
        <v>248.58750000000001</v>
      </c>
      <c r="N66" s="54">
        <f t="shared" si="26"/>
        <v>274.26666666666671</v>
      </c>
      <c r="O66" s="54">
        <f t="shared" si="27"/>
        <v>299.78750000000002</v>
      </c>
      <c r="P66" s="54">
        <f t="shared" si="28"/>
        <v>325.38750000000005</v>
      </c>
      <c r="Q66" s="55">
        <f t="shared" si="29"/>
        <v>338.18750000000006</v>
      </c>
    </row>
    <row r="67" spans="1:17" x14ac:dyDescent="0.3">
      <c r="A67" s="16">
        <v>9</v>
      </c>
      <c r="B67" s="53">
        <v>0</v>
      </c>
      <c r="C67" s="54">
        <f t="shared" si="16"/>
        <v>10.225</v>
      </c>
      <c r="D67" s="54">
        <f t="shared" si="17"/>
        <v>21.599999999999998</v>
      </c>
      <c r="E67" s="54">
        <f t="shared" si="18"/>
        <v>45.2</v>
      </c>
      <c r="F67" s="54">
        <f t="shared" si="19"/>
        <v>69.833333333333329</v>
      </c>
      <c r="G67" s="54">
        <f t="shared" si="20"/>
        <v>95.024999999999991</v>
      </c>
      <c r="H67" s="54">
        <f t="shared" si="21"/>
        <v>120.66666666666667</v>
      </c>
      <c r="I67" s="54">
        <f t="shared" si="22"/>
        <v>146.27500000000001</v>
      </c>
      <c r="J67" s="54">
        <f t="shared" si="23"/>
        <v>171.78750000000002</v>
      </c>
      <c r="K67" s="54">
        <f t="shared" si="24"/>
        <v>197.46666666666667</v>
      </c>
      <c r="L67" s="54">
        <v>223.07</v>
      </c>
      <c r="M67" s="54">
        <f t="shared" si="25"/>
        <v>248.58750000000001</v>
      </c>
      <c r="N67" s="54">
        <f t="shared" si="26"/>
        <v>274.26666666666671</v>
      </c>
      <c r="O67" s="54">
        <f t="shared" si="27"/>
        <v>299.78750000000002</v>
      </c>
      <c r="P67" s="54">
        <f t="shared" si="28"/>
        <v>325.38750000000005</v>
      </c>
      <c r="Q67" s="55">
        <f t="shared" si="29"/>
        <v>338.18750000000006</v>
      </c>
    </row>
    <row r="68" spans="1:17" x14ac:dyDescent="0.3">
      <c r="A68" s="16">
        <v>10</v>
      </c>
      <c r="B68" s="53">
        <v>0</v>
      </c>
      <c r="C68" s="54">
        <f t="shared" si="16"/>
        <v>10.225</v>
      </c>
      <c r="D68" s="54">
        <f t="shared" si="17"/>
        <v>21.599999999999998</v>
      </c>
      <c r="E68" s="54">
        <f t="shared" si="18"/>
        <v>45.2</v>
      </c>
      <c r="F68" s="54">
        <f t="shared" si="19"/>
        <v>69.833333333333329</v>
      </c>
      <c r="G68" s="54">
        <f t="shared" si="20"/>
        <v>95.024999999999991</v>
      </c>
      <c r="H68" s="54">
        <f t="shared" si="21"/>
        <v>120.66666666666667</v>
      </c>
      <c r="I68" s="54">
        <f t="shared" si="22"/>
        <v>146.27500000000001</v>
      </c>
      <c r="J68" s="54">
        <f t="shared" si="23"/>
        <v>171.78750000000002</v>
      </c>
      <c r="K68" s="54">
        <f t="shared" si="24"/>
        <v>197.46666666666667</v>
      </c>
      <c r="L68" s="54">
        <v>223.07</v>
      </c>
      <c r="M68" s="54">
        <f t="shared" si="25"/>
        <v>248.58750000000001</v>
      </c>
      <c r="N68" s="54">
        <f t="shared" si="26"/>
        <v>274.26666666666671</v>
      </c>
      <c r="O68" s="54">
        <f t="shared" si="27"/>
        <v>299.78750000000002</v>
      </c>
      <c r="P68" s="54">
        <f t="shared" si="28"/>
        <v>325.38750000000005</v>
      </c>
      <c r="Q68" s="55">
        <f t="shared" si="29"/>
        <v>338.18750000000006</v>
      </c>
    </row>
    <row r="69" spans="1:17" x14ac:dyDescent="0.3">
      <c r="A69" s="16">
        <v>11</v>
      </c>
      <c r="B69" s="53">
        <v>0</v>
      </c>
      <c r="C69" s="54">
        <f t="shared" si="16"/>
        <v>10.225</v>
      </c>
      <c r="D69" s="54">
        <f t="shared" si="17"/>
        <v>21.599999999999998</v>
      </c>
      <c r="E69" s="54">
        <f t="shared" si="18"/>
        <v>45.2</v>
      </c>
      <c r="F69" s="54">
        <f t="shared" si="19"/>
        <v>69.833333333333329</v>
      </c>
      <c r="G69" s="54">
        <f t="shared" si="20"/>
        <v>95.024999999999991</v>
      </c>
      <c r="H69" s="54">
        <f t="shared" si="21"/>
        <v>120.66666666666667</v>
      </c>
      <c r="I69" s="54">
        <f t="shared" si="22"/>
        <v>146.27500000000001</v>
      </c>
      <c r="J69" s="54">
        <f t="shared" si="23"/>
        <v>171.78750000000002</v>
      </c>
      <c r="K69" s="54">
        <f t="shared" si="24"/>
        <v>197.46666666666667</v>
      </c>
      <c r="L69" s="54">
        <v>223.07</v>
      </c>
      <c r="M69" s="54">
        <f t="shared" si="25"/>
        <v>248.58750000000001</v>
      </c>
      <c r="N69" s="54">
        <f t="shared" si="26"/>
        <v>274.26666666666671</v>
      </c>
      <c r="O69" s="54">
        <f t="shared" si="27"/>
        <v>299.78750000000002</v>
      </c>
      <c r="P69" s="54">
        <f t="shared" si="28"/>
        <v>325.38750000000005</v>
      </c>
      <c r="Q69" s="55">
        <f t="shared" si="29"/>
        <v>338.18750000000006</v>
      </c>
    </row>
    <row r="70" spans="1:17" x14ac:dyDescent="0.3">
      <c r="A70" s="16">
        <v>12</v>
      </c>
      <c r="B70" s="53">
        <v>0</v>
      </c>
      <c r="C70" s="54">
        <f t="shared" si="16"/>
        <v>9.65</v>
      </c>
      <c r="D70" s="54">
        <f t="shared" si="17"/>
        <v>20.316666666666663</v>
      </c>
      <c r="E70" s="54">
        <f t="shared" si="18"/>
        <v>42.86666666666666</v>
      </c>
      <c r="F70" s="54">
        <f t="shared" si="19"/>
        <v>66.61666666666666</v>
      </c>
      <c r="G70" s="54">
        <f t="shared" si="20"/>
        <v>90.779166666666654</v>
      </c>
      <c r="H70" s="54">
        <f t="shared" si="21"/>
        <v>115.54999999999998</v>
      </c>
      <c r="I70" s="54">
        <f t="shared" si="22"/>
        <v>140.60833333333332</v>
      </c>
      <c r="J70" s="54">
        <f t="shared" si="23"/>
        <v>165.87291666666664</v>
      </c>
      <c r="K70" s="54">
        <f t="shared" si="24"/>
        <v>191.46874999999997</v>
      </c>
      <c r="L70" s="54">
        <v>217.083</v>
      </c>
      <c r="M70" s="54">
        <f t="shared" si="25"/>
        <v>242.61666666666665</v>
      </c>
      <c r="N70" s="54">
        <f t="shared" si="26"/>
        <v>268.28333333333336</v>
      </c>
      <c r="O70" s="54">
        <f t="shared" si="27"/>
        <v>293.81666666666666</v>
      </c>
      <c r="P70" s="54">
        <f t="shared" si="28"/>
        <v>319.41666666666663</v>
      </c>
      <c r="Q70" s="55">
        <f t="shared" si="29"/>
        <v>332.21666666666664</v>
      </c>
    </row>
    <row r="71" spans="1:17" x14ac:dyDescent="0.3">
      <c r="A71" s="16">
        <v>13</v>
      </c>
      <c r="B71" s="53">
        <v>0</v>
      </c>
      <c r="C71" s="54">
        <f t="shared" si="16"/>
        <v>8.5749999999999993</v>
      </c>
      <c r="D71" s="54">
        <f t="shared" si="17"/>
        <v>18.383333333333329</v>
      </c>
      <c r="E71" s="54">
        <f t="shared" si="18"/>
        <v>39.033333333333331</v>
      </c>
      <c r="F71" s="54">
        <f t="shared" si="19"/>
        <v>60.98333333333332</v>
      </c>
      <c r="G71" s="54">
        <f t="shared" si="20"/>
        <v>83.67083333333332</v>
      </c>
      <c r="H71" s="54">
        <f t="shared" si="21"/>
        <v>107.08333333333333</v>
      </c>
      <c r="I71" s="54">
        <f t="shared" si="22"/>
        <v>130.93333333333334</v>
      </c>
      <c r="J71" s="54">
        <f t="shared" si="23"/>
        <v>155.20208333333335</v>
      </c>
      <c r="K71" s="54">
        <f t="shared" si="24"/>
        <v>179.92708333333331</v>
      </c>
      <c r="L71" s="54">
        <v>204.68299999999999</v>
      </c>
      <c r="M71" s="54">
        <f t="shared" si="25"/>
        <v>229.65833333333336</v>
      </c>
      <c r="N71" s="54">
        <f t="shared" si="26"/>
        <v>255.06666666666663</v>
      </c>
      <c r="O71" s="54">
        <f t="shared" si="27"/>
        <v>280.52500000000003</v>
      </c>
      <c r="P71" s="54">
        <f t="shared" si="28"/>
        <v>306.13958333333335</v>
      </c>
      <c r="Q71" s="55">
        <f t="shared" si="29"/>
        <v>318.93958333333336</v>
      </c>
    </row>
    <row r="72" spans="1:17" x14ac:dyDescent="0.3">
      <c r="A72" s="16">
        <v>14</v>
      </c>
      <c r="B72" s="53">
        <v>0</v>
      </c>
      <c r="C72" s="54">
        <f t="shared" si="16"/>
        <v>7.0750000000000002</v>
      </c>
      <c r="D72" s="54">
        <f t="shared" si="17"/>
        <v>15.549999999999999</v>
      </c>
      <c r="E72" s="54">
        <f t="shared" si="18"/>
        <v>33.65</v>
      </c>
      <c r="F72" s="54">
        <f t="shared" si="19"/>
        <v>53.216666666666661</v>
      </c>
      <c r="G72" s="54">
        <f t="shared" si="20"/>
        <v>73.825000000000003</v>
      </c>
      <c r="H72" s="54">
        <f t="shared" si="21"/>
        <v>95.35</v>
      </c>
      <c r="I72" s="54">
        <f t="shared" si="22"/>
        <v>117.63333333333333</v>
      </c>
      <c r="J72" s="54">
        <f t="shared" si="23"/>
        <v>140.66125</v>
      </c>
      <c r="K72" s="54">
        <f t="shared" si="24"/>
        <v>164.39875000000001</v>
      </c>
      <c r="L72" s="54">
        <v>188.46299999999999</v>
      </c>
      <c r="M72" s="54">
        <f t="shared" si="25"/>
        <v>212.97999999999996</v>
      </c>
      <c r="N72" s="54">
        <f t="shared" si="26"/>
        <v>237.99666666666667</v>
      </c>
      <c r="O72" s="54">
        <f t="shared" si="27"/>
        <v>263.14666666666665</v>
      </c>
      <c r="P72" s="54">
        <f t="shared" si="28"/>
        <v>288.57999999999993</v>
      </c>
      <c r="Q72" s="55">
        <f t="shared" si="29"/>
        <v>301.37999999999994</v>
      </c>
    </row>
    <row r="73" spans="1:17" x14ac:dyDescent="0.3">
      <c r="A73" s="16">
        <v>15</v>
      </c>
      <c r="B73" s="53">
        <v>0</v>
      </c>
      <c r="C73" s="54">
        <f t="shared" si="16"/>
        <v>5.1624999999999996</v>
      </c>
      <c r="D73" s="54">
        <f t="shared" si="17"/>
        <v>11.808333333333332</v>
      </c>
      <c r="E73" s="54">
        <f t="shared" si="18"/>
        <v>26.458333333333329</v>
      </c>
      <c r="F73" s="54">
        <f t="shared" si="19"/>
        <v>43.041666666666657</v>
      </c>
      <c r="G73" s="54">
        <f t="shared" si="20"/>
        <v>60.895833333333336</v>
      </c>
      <c r="H73" s="54">
        <f t="shared" si="21"/>
        <v>79.74166666666666</v>
      </c>
      <c r="I73" s="54">
        <f t="shared" si="22"/>
        <v>99.783333333333331</v>
      </c>
      <c r="J73" s="54">
        <f t="shared" si="23"/>
        <v>120.74583333333334</v>
      </c>
      <c r="K73" s="54">
        <f t="shared" si="24"/>
        <v>142.25416666666666</v>
      </c>
      <c r="L73" s="54">
        <v>164.542</v>
      </c>
      <c r="M73" s="54">
        <f t="shared" si="25"/>
        <v>187.64583333333334</v>
      </c>
      <c r="N73" s="54">
        <f t="shared" si="26"/>
        <v>211.14166666666665</v>
      </c>
      <c r="O73" s="54">
        <f t="shared" si="27"/>
        <v>235.64583333333334</v>
      </c>
      <c r="P73" s="54">
        <f t="shared" si="28"/>
        <v>260.50833333333333</v>
      </c>
      <c r="Q73" s="55">
        <f t="shared" si="29"/>
        <v>273.00833333333333</v>
      </c>
    </row>
    <row r="74" spans="1:17" x14ac:dyDescent="0.3">
      <c r="A74" s="16">
        <v>16</v>
      </c>
      <c r="B74" s="53">
        <v>0</v>
      </c>
      <c r="C74" s="54">
        <f t="shared" si="16"/>
        <v>3.125</v>
      </c>
      <c r="D74" s="54">
        <f t="shared" si="17"/>
        <v>7.5</v>
      </c>
      <c r="E74" s="54">
        <f t="shared" si="18"/>
        <v>18</v>
      </c>
      <c r="F74" s="54">
        <f t="shared" si="19"/>
        <v>30.533333333333331</v>
      </c>
      <c r="G74" s="54">
        <f t="shared" si="20"/>
        <v>44.625</v>
      </c>
      <c r="H74" s="54">
        <f t="shared" si="21"/>
        <v>60.233333333333327</v>
      </c>
      <c r="I74" s="54">
        <f t="shared" si="22"/>
        <v>77.083333333333329</v>
      </c>
      <c r="J74" s="54">
        <f t="shared" si="23"/>
        <v>95.118750000000006</v>
      </c>
      <c r="K74" s="54">
        <f t="shared" si="24"/>
        <v>114.28958333333333</v>
      </c>
      <c r="L74" s="54">
        <v>134.167</v>
      </c>
      <c r="M74" s="54">
        <f t="shared" si="25"/>
        <v>154.95000000000002</v>
      </c>
      <c r="N74" s="54">
        <f t="shared" si="26"/>
        <v>176.93333333333334</v>
      </c>
      <c r="O74" s="54">
        <f t="shared" si="27"/>
        <v>199.05</v>
      </c>
      <c r="P74" s="54">
        <f t="shared" si="28"/>
        <v>222.18750000000003</v>
      </c>
      <c r="Q74" s="55">
        <f t="shared" si="29"/>
        <v>233.91250000000002</v>
      </c>
    </row>
    <row r="75" spans="1:17" x14ac:dyDescent="0.3">
      <c r="A75" s="16">
        <v>17</v>
      </c>
      <c r="B75" s="53">
        <v>0</v>
      </c>
      <c r="C75" s="54">
        <f t="shared" si="16"/>
        <v>1.9</v>
      </c>
      <c r="D75" s="54">
        <f t="shared" si="17"/>
        <v>4.6333333333333329</v>
      </c>
      <c r="E75" s="54">
        <f t="shared" si="18"/>
        <v>11.283333333333333</v>
      </c>
      <c r="F75" s="54">
        <f t="shared" si="19"/>
        <v>19.599999999999998</v>
      </c>
      <c r="G75" s="54">
        <f t="shared" si="20"/>
        <v>29.420833333333331</v>
      </c>
      <c r="H75" s="54">
        <f t="shared" si="21"/>
        <v>40.566666666666663</v>
      </c>
      <c r="I75" s="54">
        <f t="shared" si="22"/>
        <v>53.016666666666659</v>
      </c>
      <c r="J75" s="54">
        <f t="shared" si="23"/>
        <v>66.733333333333348</v>
      </c>
      <c r="K75" s="54">
        <f t="shared" si="24"/>
        <v>81.666666666666657</v>
      </c>
      <c r="L75" s="54">
        <v>97.73</v>
      </c>
      <c r="M75" s="54">
        <f t="shared" si="25"/>
        <v>114.58333333333334</v>
      </c>
      <c r="N75" s="54">
        <f t="shared" si="26"/>
        <v>132.79999999999998</v>
      </c>
      <c r="O75" s="54">
        <f t="shared" si="27"/>
        <v>151.61666666666667</v>
      </c>
      <c r="P75" s="54">
        <f t="shared" si="28"/>
        <v>171.54583333333335</v>
      </c>
      <c r="Q75" s="55">
        <f t="shared" si="29"/>
        <v>181.79583333333335</v>
      </c>
    </row>
    <row r="76" spans="1:17" x14ac:dyDescent="0.3">
      <c r="A76" s="16">
        <v>18</v>
      </c>
      <c r="B76" s="53">
        <v>0</v>
      </c>
      <c r="C76" s="54">
        <f t="shared" si="16"/>
        <v>1.05</v>
      </c>
      <c r="D76" s="54">
        <f t="shared" si="17"/>
        <v>2.8166666666666664</v>
      </c>
      <c r="E76" s="54">
        <f t="shared" si="18"/>
        <v>7.0666666666666664</v>
      </c>
      <c r="F76" s="54">
        <f t="shared" si="19"/>
        <v>12.383333333333333</v>
      </c>
      <c r="G76" s="54">
        <f t="shared" si="20"/>
        <v>18.566666666666666</v>
      </c>
      <c r="H76" s="54">
        <f t="shared" si="21"/>
        <v>25.45</v>
      </c>
      <c r="I76" s="54">
        <f t="shared" si="22"/>
        <v>33.299999999999997</v>
      </c>
      <c r="J76" s="54">
        <f t="shared" si="23"/>
        <v>42.097916666666677</v>
      </c>
      <c r="K76" s="54">
        <f t="shared" si="24"/>
        <v>51.568749999999994</v>
      </c>
      <c r="L76" s="54">
        <v>61.81</v>
      </c>
      <c r="M76" s="54">
        <f t="shared" si="25"/>
        <v>73.01666666666668</v>
      </c>
      <c r="N76" s="54">
        <f t="shared" si="26"/>
        <v>85.35</v>
      </c>
      <c r="O76" s="54">
        <f t="shared" si="27"/>
        <v>98.616666666666674</v>
      </c>
      <c r="P76" s="54">
        <f t="shared" si="28"/>
        <v>112.95416666666668</v>
      </c>
      <c r="Q76" s="55">
        <f t="shared" si="29"/>
        <v>120.55416666666667</v>
      </c>
    </row>
    <row r="77" spans="1:17" x14ac:dyDescent="0.3">
      <c r="A77" s="16">
        <v>18.5</v>
      </c>
      <c r="B77" s="53">
        <v>0</v>
      </c>
      <c r="C77" s="54">
        <f t="shared" si="16"/>
        <v>0.66250000000000009</v>
      </c>
      <c r="D77" s="54">
        <f t="shared" si="17"/>
        <v>1.9583333333333333</v>
      </c>
      <c r="E77" s="54">
        <f t="shared" si="18"/>
        <v>5.208333333333333</v>
      </c>
      <c r="F77" s="54">
        <f t="shared" si="19"/>
        <v>9.3250000000000011</v>
      </c>
      <c r="G77" s="54">
        <f t="shared" si="20"/>
        <v>14.145833333333334</v>
      </c>
      <c r="H77" s="54">
        <f t="shared" si="21"/>
        <v>19.491666666666664</v>
      </c>
      <c r="I77" s="54">
        <f t="shared" si="22"/>
        <v>25.279166666666665</v>
      </c>
      <c r="J77" s="54">
        <f t="shared" si="23"/>
        <v>31.452083333333334</v>
      </c>
      <c r="K77" s="54">
        <f t="shared" si="24"/>
        <v>37.960416666666667</v>
      </c>
      <c r="L77" s="54">
        <v>44.625</v>
      </c>
      <c r="M77" s="54">
        <f t="shared" si="25"/>
        <v>51.77708333333333</v>
      </c>
      <c r="N77" s="54">
        <f t="shared" si="26"/>
        <v>59.891666666666659</v>
      </c>
      <c r="O77" s="54">
        <f t="shared" si="27"/>
        <v>69.043749999999989</v>
      </c>
      <c r="P77" s="54">
        <f t="shared" si="28"/>
        <v>79.54583333333332</v>
      </c>
      <c r="Q77" s="55">
        <f t="shared" si="29"/>
        <v>85.333333333333314</v>
      </c>
    </row>
    <row r="78" spans="1:17" x14ac:dyDescent="0.3">
      <c r="A78" s="16">
        <v>19</v>
      </c>
      <c r="B78" s="53">
        <v>0</v>
      </c>
      <c r="C78" s="54">
        <f t="shared" si="16"/>
        <v>0.3125</v>
      </c>
      <c r="D78" s="54">
        <f t="shared" si="17"/>
        <v>1.0916666666666666</v>
      </c>
      <c r="E78" s="54">
        <f t="shared" si="18"/>
        <v>3.7966666666666669</v>
      </c>
      <c r="F78" s="54">
        <f t="shared" si="19"/>
        <v>7.254999999999999</v>
      </c>
      <c r="G78" s="54">
        <f t="shared" si="20"/>
        <v>11.246666666666666</v>
      </c>
      <c r="H78" s="54">
        <f t="shared" si="21"/>
        <v>15.571666666666665</v>
      </c>
      <c r="I78" s="54">
        <f t="shared" si="22"/>
        <v>19.98833333333333</v>
      </c>
      <c r="J78" s="54">
        <f t="shared" si="23"/>
        <v>24.259166666666669</v>
      </c>
      <c r="K78" s="54">
        <f t="shared" si="24"/>
        <v>28.171666666666663</v>
      </c>
      <c r="L78" s="54">
        <v>31.771999999999998</v>
      </c>
      <c r="M78" s="54">
        <f t="shared" si="25"/>
        <v>35.471666666666678</v>
      </c>
      <c r="N78" s="54">
        <f t="shared" si="26"/>
        <v>39.204999999999998</v>
      </c>
      <c r="O78" s="54">
        <f t="shared" si="27"/>
        <v>42.805000000000014</v>
      </c>
      <c r="P78" s="54">
        <f t="shared" si="28"/>
        <v>49.534166666666678</v>
      </c>
      <c r="Q78" s="55">
        <f t="shared" si="29"/>
        <v>53.334166666666675</v>
      </c>
    </row>
    <row r="79" spans="1:17" x14ac:dyDescent="0.3">
      <c r="A79" s="16">
        <v>19.5</v>
      </c>
      <c r="B79" s="53">
        <v>0</v>
      </c>
      <c r="C79" s="54">
        <f t="shared" si="16"/>
        <v>0.32500000000000001</v>
      </c>
      <c r="D79" s="54">
        <f t="shared" si="17"/>
        <v>1.0333333333333334</v>
      </c>
      <c r="E79" s="54">
        <f t="shared" si="18"/>
        <v>3.0333333333333332</v>
      </c>
      <c r="F79" s="54">
        <f t="shared" si="19"/>
        <v>5.7833333333333332</v>
      </c>
      <c r="G79" s="54">
        <f t="shared" si="20"/>
        <v>9.0770833333333325</v>
      </c>
      <c r="H79" s="54">
        <f t="shared" si="21"/>
        <v>12.733333333333331</v>
      </c>
      <c r="I79" s="54">
        <f t="shared" si="22"/>
        <v>16.599999999999998</v>
      </c>
      <c r="J79" s="54">
        <f t="shared" si="23"/>
        <v>20.214583333333334</v>
      </c>
      <c r="K79" s="54">
        <f t="shared" si="24"/>
        <v>22.708333333333332</v>
      </c>
      <c r="L79" s="54">
        <v>24.1</v>
      </c>
      <c r="M79" s="54">
        <f t="shared" si="25"/>
        <v>25.464583333333334</v>
      </c>
      <c r="N79" s="54">
        <f t="shared" si="26"/>
        <v>27.2</v>
      </c>
      <c r="O79" s="54">
        <f t="shared" si="27"/>
        <v>29.164583333333333</v>
      </c>
      <c r="P79" s="54">
        <f t="shared" si="28"/>
        <v>32.964583333333337</v>
      </c>
      <c r="Q79" s="55">
        <f t="shared" si="29"/>
        <v>35.239583333333336</v>
      </c>
    </row>
    <row r="80" spans="1:17" x14ac:dyDescent="0.3">
      <c r="A80" s="17">
        <v>20</v>
      </c>
      <c r="B80" s="56">
        <v>0</v>
      </c>
      <c r="C80" s="57">
        <f>(0.5)*(B28+C28)</f>
        <v>0</v>
      </c>
      <c r="D80" s="57">
        <f t="shared" si="17"/>
        <v>0.18333333333333335</v>
      </c>
      <c r="E80" s="57">
        <f t="shared" si="18"/>
        <v>1.6833333333333333</v>
      </c>
      <c r="F80" s="57">
        <f t="shared" si="19"/>
        <v>3.9166666666666661</v>
      </c>
      <c r="G80" s="57">
        <f t="shared" si="20"/>
        <v>6.708333333333333</v>
      </c>
      <c r="H80" s="57">
        <f t="shared" si="21"/>
        <v>9.9833333333333343</v>
      </c>
      <c r="I80" s="57">
        <f t="shared" si="22"/>
        <v>13.3</v>
      </c>
      <c r="J80" s="57">
        <f t="shared" si="23"/>
        <v>16.120833333333334</v>
      </c>
      <c r="K80" s="57">
        <f t="shared" si="24"/>
        <v>17.670833333333334</v>
      </c>
      <c r="L80" s="57">
        <v>17.882999999999999</v>
      </c>
      <c r="M80" s="57">
        <f t="shared" si="25"/>
        <v>17.808333333333334</v>
      </c>
      <c r="N80" s="57">
        <f t="shared" si="26"/>
        <v>18.416666666666664</v>
      </c>
      <c r="O80" s="57">
        <f t="shared" si="27"/>
        <v>19.475000000000001</v>
      </c>
      <c r="P80" s="57">
        <f t="shared" si="28"/>
        <v>21.558333333333334</v>
      </c>
      <c r="Q80" s="58">
        <f t="shared" si="29"/>
        <v>23.008333333333333</v>
      </c>
    </row>
  </sheetData>
  <mergeCells count="6">
    <mergeCell ref="H53:I53"/>
    <mergeCell ref="H51:I51"/>
    <mergeCell ref="U3:V3"/>
    <mergeCell ref="U23:V23"/>
    <mergeCell ref="I1:J1"/>
    <mergeCell ref="H32:J32"/>
  </mergeCells>
  <pageMargins left="0.7" right="0.7" top="0.75" bottom="0.75" header="0.3" footer="0.3"/>
  <pageSetup orientation="portrait" horizontalDpi="300" verticalDpi="300" r:id="rId1"/>
  <ignoredErrors>
    <ignoredError sqref="C44 L44 D44:K44 M44:P44 C43:P43 Q43:Q44 C48:Q4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43"/>
  <sheetViews>
    <sheetView workbookViewId="0">
      <selection activeCell="C5" sqref="C5"/>
    </sheetView>
  </sheetViews>
  <sheetFormatPr defaultRowHeight="14.4" x14ac:dyDescent="0.3"/>
  <sheetData>
    <row r="1" spans="2:25" x14ac:dyDescent="0.3">
      <c r="B1" s="64"/>
      <c r="C1" s="64"/>
      <c r="D1" s="64"/>
      <c r="E1" s="64"/>
      <c r="F1" s="64"/>
      <c r="G1" s="64"/>
      <c r="H1" s="64"/>
      <c r="I1" s="64"/>
      <c r="J1" s="102"/>
      <c r="K1" s="102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2" spans="2:25" x14ac:dyDescent="0.3"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</row>
    <row r="3" spans="2:25" x14ac:dyDescent="0.3">
      <c r="B3" s="64"/>
      <c r="C3" s="64"/>
      <c r="D3" s="66"/>
      <c r="E3" s="72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r="4" spans="2:25" x14ac:dyDescent="0.3">
      <c r="B4" s="64"/>
      <c r="C4" s="64"/>
      <c r="D4" s="66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spans="2:25" x14ac:dyDescent="0.3">
      <c r="B5" s="64"/>
      <c r="C5" s="64"/>
      <c r="D5" s="66"/>
      <c r="E5" s="64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64"/>
      <c r="W5" s="64"/>
      <c r="X5" s="64"/>
      <c r="Y5" s="64"/>
    </row>
    <row r="6" spans="2:25" x14ac:dyDescent="0.3">
      <c r="B6" s="64"/>
      <c r="C6" s="64"/>
      <c r="D6" s="66"/>
      <c r="E6" s="64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64"/>
      <c r="W6" s="64"/>
      <c r="X6" s="64"/>
      <c r="Y6" s="64"/>
    </row>
    <row r="7" spans="2:25" x14ac:dyDescent="0.3">
      <c r="B7" s="64"/>
      <c r="C7" s="64"/>
      <c r="D7" s="66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</row>
    <row r="8" spans="2:25" x14ac:dyDescent="0.3">
      <c r="B8" s="64"/>
      <c r="C8" s="64"/>
      <c r="D8" s="66"/>
      <c r="E8" s="64"/>
      <c r="F8" s="64"/>
      <c r="G8" s="65"/>
      <c r="H8" s="65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64"/>
    </row>
    <row r="9" spans="2:25" x14ac:dyDescent="0.3">
      <c r="B9" s="64"/>
      <c r="C9" s="64"/>
      <c r="D9" s="66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</row>
    <row r="10" spans="2:25" x14ac:dyDescent="0.3">
      <c r="B10" s="64"/>
      <c r="C10" s="64"/>
      <c r="D10" s="66"/>
      <c r="E10" s="64"/>
      <c r="F10" s="64"/>
      <c r="G10" s="64"/>
      <c r="H10" s="64"/>
      <c r="I10" s="75"/>
      <c r="J10" s="75"/>
      <c r="K10" s="75"/>
      <c r="L10" s="75"/>
      <c r="M10" s="75"/>
      <c r="N10" s="77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</row>
    <row r="11" spans="2:25" x14ac:dyDescent="0.3">
      <c r="B11" s="64"/>
      <c r="C11" s="64"/>
      <c r="D11" s="66"/>
      <c r="E11" s="64"/>
      <c r="F11" s="64"/>
      <c r="G11" s="64"/>
      <c r="H11" s="64"/>
      <c r="I11" s="75"/>
      <c r="J11" s="75"/>
      <c r="K11" s="75"/>
      <c r="L11" s="75"/>
      <c r="M11" s="75"/>
      <c r="N11" s="77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</row>
    <row r="12" spans="2:25" x14ac:dyDescent="0.3">
      <c r="B12" s="64"/>
      <c r="C12" s="64"/>
      <c r="D12" s="66"/>
      <c r="E12" s="64"/>
      <c r="F12" s="64"/>
      <c r="G12" s="64"/>
      <c r="H12" s="64"/>
      <c r="I12" s="75"/>
      <c r="J12" s="75"/>
      <c r="K12" s="75"/>
      <c r="L12" s="75"/>
      <c r="M12" s="75"/>
      <c r="N12" s="77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</row>
    <row r="13" spans="2:25" x14ac:dyDescent="0.3">
      <c r="B13" s="64"/>
      <c r="C13" s="64"/>
      <c r="D13" s="66"/>
      <c r="E13" s="64"/>
      <c r="F13" s="64"/>
      <c r="G13" s="64"/>
      <c r="H13" s="64"/>
      <c r="I13" s="75"/>
      <c r="J13" s="75"/>
      <c r="K13" s="75"/>
      <c r="L13" s="75"/>
      <c r="M13" s="75"/>
      <c r="N13" s="77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</row>
    <row r="14" spans="2:25" x14ac:dyDescent="0.3">
      <c r="B14" s="64"/>
      <c r="C14" s="64"/>
      <c r="D14" s="66"/>
      <c r="E14" s="64"/>
      <c r="F14" s="64"/>
      <c r="G14" s="64"/>
      <c r="H14" s="64"/>
      <c r="I14" s="75"/>
      <c r="J14" s="75"/>
      <c r="K14" s="75"/>
      <c r="L14" s="75"/>
      <c r="M14" s="75"/>
      <c r="N14" s="77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</row>
    <row r="15" spans="2:25" x14ac:dyDescent="0.3">
      <c r="B15" s="64"/>
      <c r="C15" s="64"/>
      <c r="D15" s="66"/>
      <c r="E15" s="64"/>
      <c r="F15" s="64"/>
      <c r="G15" s="64"/>
      <c r="H15" s="64"/>
      <c r="I15" s="75"/>
      <c r="J15" s="75"/>
      <c r="K15" s="75"/>
      <c r="L15" s="75"/>
      <c r="M15" s="75"/>
      <c r="N15" s="77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</row>
    <row r="16" spans="2:25" x14ac:dyDescent="0.3">
      <c r="B16" s="64"/>
      <c r="C16" s="64"/>
      <c r="D16" s="66"/>
      <c r="E16" s="64"/>
      <c r="F16" s="64"/>
      <c r="G16" s="64"/>
      <c r="H16" s="64"/>
      <c r="I16" s="75"/>
      <c r="J16" s="75"/>
      <c r="K16" s="75"/>
      <c r="L16" s="75"/>
      <c r="M16" s="75"/>
      <c r="N16" s="77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</row>
    <row r="17" spans="2:25" x14ac:dyDescent="0.3">
      <c r="B17" s="64"/>
      <c r="C17" s="64"/>
      <c r="D17" s="66"/>
      <c r="E17" s="64"/>
      <c r="F17" s="64"/>
      <c r="G17" s="64"/>
      <c r="H17" s="64"/>
      <c r="I17" s="75"/>
      <c r="J17" s="75"/>
      <c r="K17" s="75"/>
      <c r="L17" s="75"/>
      <c r="M17" s="75"/>
      <c r="N17" s="77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</row>
    <row r="18" spans="2:25" x14ac:dyDescent="0.3">
      <c r="B18" s="64"/>
      <c r="C18" s="64"/>
      <c r="D18" s="66"/>
      <c r="E18" s="64"/>
      <c r="F18" s="64"/>
      <c r="G18" s="64"/>
      <c r="H18" s="64"/>
      <c r="I18" s="75"/>
      <c r="J18" s="75"/>
      <c r="K18" s="75"/>
      <c r="L18" s="75"/>
      <c r="M18" s="75"/>
      <c r="N18" s="77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</row>
    <row r="19" spans="2:25" x14ac:dyDescent="0.3">
      <c r="B19" s="64"/>
      <c r="C19" s="65"/>
      <c r="D19" s="64"/>
      <c r="E19" s="64"/>
      <c r="F19" s="64"/>
      <c r="G19" s="64"/>
      <c r="H19" s="64"/>
      <c r="I19" s="75"/>
      <c r="J19" s="75"/>
      <c r="K19" s="75"/>
      <c r="L19" s="75"/>
      <c r="M19" s="75"/>
      <c r="N19" s="67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</row>
    <row r="20" spans="2:25" x14ac:dyDescent="0.3">
      <c r="B20" s="64"/>
      <c r="C20" s="65"/>
      <c r="D20" s="64"/>
      <c r="E20" s="64"/>
      <c r="F20" s="64"/>
      <c r="G20" s="64"/>
      <c r="H20" s="64"/>
      <c r="I20" s="75"/>
      <c r="J20" s="75"/>
      <c r="K20" s="75"/>
      <c r="L20" s="75"/>
      <c r="M20" s="75"/>
      <c r="N20" s="67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</row>
    <row r="21" spans="2:25" x14ac:dyDescent="0.3">
      <c r="B21" s="64"/>
      <c r="C21" s="65"/>
      <c r="D21" s="64"/>
      <c r="E21" s="64"/>
      <c r="F21" s="64"/>
      <c r="G21" s="64"/>
      <c r="H21" s="64"/>
      <c r="I21" s="75"/>
      <c r="J21" s="75"/>
      <c r="K21" s="75"/>
      <c r="L21" s="75"/>
      <c r="M21" s="75"/>
      <c r="N21" s="67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</row>
    <row r="22" spans="2:25" x14ac:dyDescent="0.3">
      <c r="B22" s="64"/>
      <c r="C22" s="65"/>
      <c r="D22" s="64"/>
      <c r="E22" s="64"/>
      <c r="F22" s="64"/>
      <c r="G22" s="64"/>
      <c r="H22" s="64"/>
      <c r="I22" s="75"/>
      <c r="J22" s="75"/>
      <c r="K22" s="75"/>
      <c r="L22" s="75"/>
      <c r="M22" s="75"/>
      <c r="N22" s="66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</row>
    <row r="23" spans="2:25" x14ac:dyDescent="0.3">
      <c r="B23" s="64"/>
      <c r="C23" s="65"/>
      <c r="D23" s="64"/>
      <c r="E23" s="64"/>
      <c r="F23" s="64"/>
      <c r="G23" s="64"/>
      <c r="H23" s="64"/>
      <c r="I23" s="75"/>
      <c r="J23" s="75"/>
      <c r="K23" s="75"/>
      <c r="L23" s="75"/>
      <c r="M23" s="75"/>
      <c r="N23" s="66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</row>
    <row r="24" spans="2:25" x14ac:dyDescent="0.3">
      <c r="B24" s="64"/>
      <c r="C24" s="65"/>
      <c r="D24" s="64"/>
      <c r="E24" s="64"/>
      <c r="F24" s="64"/>
      <c r="G24" s="64"/>
      <c r="H24" s="64"/>
      <c r="I24" s="75"/>
      <c r="J24" s="75"/>
      <c r="K24" s="75"/>
      <c r="L24" s="75"/>
      <c r="M24" s="75"/>
      <c r="N24" s="66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</row>
    <row r="25" spans="2:25" x14ac:dyDescent="0.3">
      <c r="B25" s="64"/>
      <c r="C25" s="64"/>
      <c r="D25" s="64"/>
      <c r="E25" s="64"/>
      <c r="F25" s="64"/>
      <c r="G25" s="64"/>
      <c r="H25" s="64"/>
      <c r="I25" s="75"/>
      <c r="J25" s="75"/>
      <c r="K25" s="75"/>
      <c r="L25" s="75"/>
      <c r="M25" s="75"/>
      <c r="N25" s="67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</row>
    <row r="26" spans="2:25" x14ac:dyDescent="0.3"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</row>
    <row r="27" spans="2:25" x14ac:dyDescent="0.3"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</row>
    <row r="28" spans="2:25" x14ac:dyDescent="0.3"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</row>
    <row r="29" spans="2:25" x14ac:dyDescent="0.3"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</row>
    <row r="31" spans="2:25" x14ac:dyDescent="0.3">
      <c r="I31" s="95"/>
      <c r="J31" s="95"/>
    </row>
    <row r="34" spans="5:20" x14ac:dyDescent="0.3">
      <c r="E34">
        <v>0</v>
      </c>
      <c r="F34">
        <v>8.5749999999999993</v>
      </c>
      <c r="G34">
        <v>18.383333333333329</v>
      </c>
      <c r="H34">
        <v>39.033333333333331</v>
      </c>
      <c r="I34">
        <v>60.98333333333332</v>
      </c>
      <c r="J34">
        <v>83.67083333333332</v>
      </c>
      <c r="K34">
        <v>107.08333333333333</v>
      </c>
      <c r="L34">
        <v>130.93333333333334</v>
      </c>
      <c r="M34">
        <v>155.20208333333335</v>
      </c>
      <c r="N34">
        <v>179.92708333333331</v>
      </c>
      <c r="O34">
        <v>204.68299999999999</v>
      </c>
      <c r="P34">
        <v>229.65833333333336</v>
      </c>
      <c r="Q34">
        <v>255.06666666666663</v>
      </c>
      <c r="R34">
        <v>280.52500000000003</v>
      </c>
      <c r="S34">
        <v>306.13958333333335</v>
      </c>
      <c r="T34">
        <v>318.93958333333336</v>
      </c>
    </row>
    <row r="35" spans="5:20" x14ac:dyDescent="0.3">
      <c r="E35">
        <v>0</v>
      </c>
      <c r="F35">
        <v>7.0750000000000002</v>
      </c>
      <c r="G35">
        <v>15.549999999999999</v>
      </c>
      <c r="H35">
        <v>33.65</v>
      </c>
      <c r="I35">
        <v>53.216666666666661</v>
      </c>
      <c r="J35">
        <v>73.825000000000003</v>
      </c>
      <c r="K35">
        <v>95.35</v>
      </c>
      <c r="L35">
        <v>117.63333333333333</v>
      </c>
      <c r="M35">
        <v>140.66125</v>
      </c>
      <c r="N35">
        <v>164.39875000000001</v>
      </c>
      <c r="O35">
        <v>188.46299999999999</v>
      </c>
      <c r="P35">
        <v>212.97999999999996</v>
      </c>
      <c r="Q35">
        <v>237.99666666666667</v>
      </c>
      <c r="R35">
        <v>263.14666666666665</v>
      </c>
      <c r="S35">
        <v>288.57999999999993</v>
      </c>
      <c r="T35">
        <v>301.37999999999994</v>
      </c>
    </row>
    <row r="36" spans="5:20" x14ac:dyDescent="0.3">
      <c r="E36">
        <v>0</v>
      </c>
      <c r="F36">
        <v>5.1624999999999996</v>
      </c>
      <c r="G36">
        <v>11.808333333333332</v>
      </c>
      <c r="H36">
        <v>26.458333333333329</v>
      </c>
      <c r="I36">
        <v>43.041666666666657</v>
      </c>
      <c r="J36">
        <v>60.895833333333336</v>
      </c>
      <c r="K36">
        <v>79.74166666666666</v>
      </c>
      <c r="L36">
        <v>99.783333333333331</v>
      </c>
      <c r="M36">
        <v>120.74583333333334</v>
      </c>
      <c r="N36">
        <v>142.25416666666666</v>
      </c>
      <c r="O36">
        <v>164.542</v>
      </c>
      <c r="P36">
        <v>187.64583333333334</v>
      </c>
      <c r="Q36">
        <v>211.14166666666665</v>
      </c>
      <c r="R36">
        <v>235.64583333333334</v>
      </c>
      <c r="S36">
        <v>260.50833333333333</v>
      </c>
      <c r="T36">
        <v>273.00833333333333</v>
      </c>
    </row>
    <row r="37" spans="5:20" x14ac:dyDescent="0.3">
      <c r="E37">
        <v>0</v>
      </c>
      <c r="F37">
        <v>3.125</v>
      </c>
      <c r="G37">
        <v>7.5</v>
      </c>
      <c r="H37">
        <v>18</v>
      </c>
      <c r="I37">
        <v>30.533333333333331</v>
      </c>
      <c r="J37">
        <v>44.625</v>
      </c>
      <c r="K37">
        <v>60.233333333333327</v>
      </c>
      <c r="L37">
        <v>77.083333333333329</v>
      </c>
      <c r="M37">
        <v>95.118750000000006</v>
      </c>
      <c r="N37">
        <v>114.28958333333333</v>
      </c>
      <c r="O37">
        <v>134.167</v>
      </c>
      <c r="P37">
        <v>154.95000000000002</v>
      </c>
      <c r="Q37">
        <v>176.93333333333334</v>
      </c>
      <c r="R37">
        <v>199.05</v>
      </c>
      <c r="S37">
        <v>222.18750000000003</v>
      </c>
      <c r="T37">
        <v>233.91250000000002</v>
      </c>
    </row>
    <row r="38" spans="5:20" x14ac:dyDescent="0.3">
      <c r="E38">
        <v>0</v>
      </c>
      <c r="F38">
        <v>1.9</v>
      </c>
      <c r="G38">
        <v>4.6333333333333329</v>
      </c>
      <c r="H38">
        <v>11.283333333333333</v>
      </c>
      <c r="I38">
        <v>19.599999999999998</v>
      </c>
      <c r="J38">
        <v>29.420833333333331</v>
      </c>
      <c r="K38">
        <v>40.566666666666663</v>
      </c>
      <c r="L38">
        <v>53.016666666666659</v>
      </c>
      <c r="M38">
        <v>66.733333333333348</v>
      </c>
      <c r="N38">
        <v>81.666666666666657</v>
      </c>
      <c r="O38">
        <v>97.73</v>
      </c>
      <c r="P38">
        <v>114.58333333333334</v>
      </c>
      <c r="Q38">
        <v>132.79999999999998</v>
      </c>
      <c r="R38">
        <v>151.61666666666667</v>
      </c>
      <c r="S38">
        <v>171.54583333333335</v>
      </c>
      <c r="T38">
        <v>181.79583333333335</v>
      </c>
    </row>
    <row r="39" spans="5:20" x14ac:dyDescent="0.3">
      <c r="E39">
        <v>0</v>
      </c>
      <c r="F39">
        <v>1.05</v>
      </c>
      <c r="G39">
        <v>2.8166666666666664</v>
      </c>
      <c r="H39">
        <v>7.0666666666666664</v>
      </c>
      <c r="I39">
        <v>12.383333333333333</v>
      </c>
      <c r="J39">
        <v>18.566666666666666</v>
      </c>
      <c r="K39">
        <v>25.45</v>
      </c>
      <c r="L39">
        <v>33.299999999999997</v>
      </c>
      <c r="M39">
        <v>42.097916666666677</v>
      </c>
      <c r="N39">
        <v>51.568749999999994</v>
      </c>
      <c r="O39">
        <v>61.81</v>
      </c>
      <c r="P39">
        <v>73.01666666666668</v>
      </c>
      <c r="Q39">
        <v>85.35</v>
      </c>
      <c r="R39">
        <v>98.616666666666674</v>
      </c>
      <c r="S39">
        <v>112.95416666666668</v>
      </c>
      <c r="T39">
        <v>120.55416666666667</v>
      </c>
    </row>
    <row r="40" spans="5:20" x14ac:dyDescent="0.3">
      <c r="E40">
        <v>0</v>
      </c>
      <c r="F40">
        <v>0.66250000000000009</v>
      </c>
      <c r="G40">
        <v>1.9583333333333333</v>
      </c>
      <c r="H40">
        <v>5.208333333333333</v>
      </c>
      <c r="I40">
        <v>9.3250000000000011</v>
      </c>
      <c r="J40">
        <v>14.145833333333334</v>
      </c>
      <c r="K40">
        <v>19.491666666666664</v>
      </c>
      <c r="L40">
        <v>25.279166666666665</v>
      </c>
      <c r="M40">
        <v>31.452083333333334</v>
      </c>
      <c r="N40">
        <v>37.960416666666667</v>
      </c>
      <c r="O40">
        <v>44.625</v>
      </c>
      <c r="P40">
        <v>51.77708333333333</v>
      </c>
      <c r="Q40">
        <v>59.891666666666659</v>
      </c>
      <c r="R40">
        <v>69.043749999999989</v>
      </c>
      <c r="S40">
        <v>79.54583333333332</v>
      </c>
      <c r="T40">
        <v>85.333333333333314</v>
      </c>
    </row>
    <row r="41" spans="5:20" x14ac:dyDescent="0.3">
      <c r="E41">
        <v>0</v>
      </c>
      <c r="F41">
        <v>0.3125</v>
      </c>
      <c r="G41">
        <v>1.0916666666666666</v>
      </c>
      <c r="H41">
        <v>3.7966666666666669</v>
      </c>
      <c r="I41">
        <v>7.254999999999999</v>
      </c>
      <c r="J41">
        <v>11.246666666666666</v>
      </c>
      <c r="K41">
        <v>15.571666666666665</v>
      </c>
      <c r="L41">
        <v>19.98833333333333</v>
      </c>
      <c r="M41">
        <v>24.259166666666669</v>
      </c>
      <c r="N41">
        <v>28.171666666666663</v>
      </c>
      <c r="O41">
        <v>31.771999999999998</v>
      </c>
      <c r="P41">
        <v>35.471666666666678</v>
      </c>
      <c r="Q41">
        <v>39.204999999999998</v>
      </c>
      <c r="R41">
        <v>42.805000000000014</v>
      </c>
      <c r="S41">
        <v>49.534166666666678</v>
      </c>
      <c r="T41">
        <v>53.334166666666675</v>
      </c>
    </row>
    <row r="42" spans="5:20" x14ac:dyDescent="0.3">
      <c r="E42">
        <v>0</v>
      </c>
      <c r="F42">
        <v>0.32500000000000001</v>
      </c>
      <c r="G42">
        <v>1.0333333333333334</v>
      </c>
      <c r="H42">
        <v>3.0333333333333332</v>
      </c>
      <c r="I42">
        <v>5.7833333333333332</v>
      </c>
      <c r="J42">
        <v>9.0770833333333325</v>
      </c>
      <c r="K42">
        <v>12.733333333333331</v>
      </c>
      <c r="L42">
        <v>16.599999999999998</v>
      </c>
      <c r="M42">
        <v>20.214583333333334</v>
      </c>
      <c r="N42">
        <v>22.708333333333332</v>
      </c>
      <c r="O42">
        <v>24.1</v>
      </c>
      <c r="P42">
        <v>25.464583333333334</v>
      </c>
      <c r="Q42">
        <v>27.2</v>
      </c>
      <c r="R42">
        <v>29.164583333333333</v>
      </c>
      <c r="S42">
        <v>32.964583333333337</v>
      </c>
      <c r="T42">
        <v>35.239583333333336</v>
      </c>
    </row>
    <row r="43" spans="5:20" x14ac:dyDescent="0.3">
      <c r="E43">
        <v>0</v>
      </c>
      <c r="F43">
        <v>0</v>
      </c>
      <c r="G43">
        <v>0.18333333333333335</v>
      </c>
      <c r="H43">
        <v>1.6833333333333333</v>
      </c>
      <c r="I43">
        <v>3.9166666666666661</v>
      </c>
      <c r="J43">
        <v>6.708333333333333</v>
      </c>
      <c r="K43">
        <v>9.9833333333333343</v>
      </c>
      <c r="L43">
        <v>13.3</v>
      </c>
      <c r="M43">
        <v>16.120833333333334</v>
      </c>
      <c r="N43">
        <v>17.670833333333334</v>
      </c>
      <c r="O43">
        <v>17.882999999999999</v>
      </c>
      <c r="P43">
        <v>17.808333333333334</v>
      </c>
      <c r="Q43">
        <v>18.416666666666664</v>
      </c>
      <c r="R43">
        <v>19.475000000000001</v>
      </c>
      <c r="S43">
        <v>21.558333333333334</v>
      </c>
      <c r="T43">
        <v>23.008333333333333</v>
      </c>
    </row>
  </sheetData>
  <mergeCells count="2">
    <mergeCell ref="I31:J31"/>
    <mergeCell ref="J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T26"/>
  <sheetViews>
    <sheetView workbookViewId="0"/>
  </sheetViews>
  <sheetFormatPr defaultRowHeight="14.4" x14ac:dyDescent="0.3"/>
  <sheetData>
    <row r="3" spans="3:20" x14ac:dyDescent="0.3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</row>
    <row r="4" spans="3:20" x14ac:dyDescent="0.3">
      <c r="C4" s="66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6"/>
      <c r="Q4" s="66"/>
      <c r="R4" s="66"/>
      <c r="S4" s="67"/>
      <c r="T4" s="64"/>
    </row>
    <row r="5" spans="3:20" x14ac:dyDescent="0.3">
      <c r="C5" s="67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4"/>
    </row>
    <row r="6" spans="3:20" x14ac:dyDescent="0.3"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</row>
    <row r="7" spans="3:20" x14ac:dyDescent="0.3">
      <c r="C7" s="66"/>
      <c r="D7" s="67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</row>
    <row r="8" spans="3:20" x14ac:dyDescent="0.3">
      <c r="C8" s="67"/>
      <c r="D8" s="65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</row>
    <row r="9" spans="3:20" x14ac:dyDescent="0.3">
      <c r="C9" s="67"/>
      <c r="D9" s="65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</row>
    <row r="10" spans="3:20" x14ac:dyDescent="0.3">
      <c r="C10" s="67"/>
      <c r="D10" s="65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</row>
    <row r="11" spans="3:20" x14ac:dyDescent="0.3">
      <c r="C11" s="67"/>
      <c r="D11" s="65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</row>
    <row r="12" spans="3:20" x14ac:dyDescent="0.3">
      <c r="C12" s="67"/>
      <c r="D12" s="65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</row>
    <row r="13" spans="3:20" x14ac:dyDescent="0.3">
      <c r="C13" s="67"/>
      <c r="D13" s="65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</row>
    <row r="14" spans="3:20" x14ac:dyDescent="0.3">
      <c r="C14" s="67"/>
      <c r="D14" s="65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</row>
    <row r="15" spans="3:20" x14ac:dyDescent="0.3">
      <c r="C15" s="67"/>
      <c r="D15" s="65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</row>
    <row r="16" spans="3:20" x14ac:dyDescent="0.3">
      <c r="C16" s="67"/>
      <c r="D16" s="65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</row>
    <row r="17" spans="3:20" x14ac:dyDescent="0.3">
      <c r="C17" s="67"/>
      <c r="D17" s="65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</row>
    <row r="18" spans="3:20" x14ac:dyDescent="0.3">
      <c r="C18" s="67"/>
      <c r="D18" s="65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</row>
    <row r="19" spans="3:20" x14ac:dyDescent="0.3">
      <c r="C19" s="67"/>
      <c r="D19" s="65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</row>
    <row r="20" spans="3:20" x14ac:dyDescent="0.3">
      <c r="C20" s="66"/>
      <c r="D20" s="65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</row>
    <row r="21" spans="3:20" x14ac:dyDescent="0.3">
      <c r="C21" s="66"/>
      <c r="D21" s="65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</row>
    <row r="22" spans="3:20" x14ac:dyDescent="0.3">
      <c r="C22" s="66"/>
      <c r="D22" s="65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</row>
    <row r="23" spans="3:20" x14ac:dyDescent="0.3">
      <c r="C23" s="67"/>
      <c r="D23" s="65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</row>
    <row r="24" spans="3:20" x14ac:dyDescent="0.3"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</row>
    <row r="25" spans="3:20" x14ac:dyDescent="0.3"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</row>
    <row r="26" spans="3:20" x14ac:dyDescent="0.3"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Offset Table</dc:title>
  <dc:creator>Dilip Kumar</dc:creator>
  <cp:lastModifiedBy>Windows User</cp:lastModifiedBy>
  <dcterms:created xsi:type="dcterms:W3CDTF">2019-03-06T08:39:56Z</dcterms:created>
  <dcterms:modified xsi:type="dcterms:W3CDTF">2019-03-17T18:04:50Z</dcterms:modified>
</cp:coreProperties>
</file>